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pivotTables/pivotTable2.xml" ContentType="application/vnd.openxmlformats-officedocument.spreadsheetml.pivotTable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PROJECT\74. 우진공업\2024Y04M_Pre ChargeRelay 특성평가 시험장비\1.HW\02_BOM 및 견적서\"/>
    </mc:Choice>
  </mc:AlternateContent>
  <xr:revisionPtr revIDLastSave="0" documentId="13_ncr:1_{2D3C6DFC-EDF4-49C2-A496-755D6BE328EE}" xr6:coauthVersionLast="45" xr6:coauthVersionMax="47" xr10:uidLastSave="{00000000-0000-0000-0000-000000000000}"/>
  <bookViews>
    <workbookView xWindow="28680" yWindow="3360" windowWidth="29040" windowHeight="15720" tabRatio="905" activeTab="6" xr2:uid="{00000000-000D-0000-FFFF-FFFF00000000}"/>
  </bookViews>
  <sheets>
    <sheet name="9ch확장" sheetId="69" r:id="rId1"/>
    <sheet name="신뢰성 시험_4안r1_6ch확장" sheetId="63" r:id="rId2"/>
    <sheet name="전매 발주 LIST_FIVOT" sheetId="55" r:id="rId3"/>
    <sheet name="일정안1" sheetId="51" r:id="rId4"/>
    <sheet name="일정안2" sheetId="52" r:id="rId5"/>
    <sheet name="일정안3" sheetId="56" r:id="rId6"/>
    <sheet name="일정_240924" sheetId="70" r:id="rId7"/>
    <sheet name="일정_240821" sheetId="68" r:id="rId8"/>
    <sheet name="일정_240813" sheetId="67" r:id="rId9"/>
    <sheet name="일정_240726" sheetId="65" r:id="rId10"/>
    <sheet name="일정_240701" sheetId="66" r:id="rId11"/>
    <sheet name="기본 특성 시험_4안r1" sheetId="41" r:id="rId12"/>
    <sheet name="메카니컬 신뢰성 시험_4안r1" sheetId="42" r:id="rId13"/>
    <sheet name="환경 신뢰성 시험_4안r1" sheetId="45" r:id="rId14"/>
    <sheet name="내구 ES 수명 시험_4안r1" sheetId="44" r:id="rId15"/>
    <sheet name="전매 발주 LIST" sheetId="54" r:id="rId16"/>
    <sheet name="요약" sheetId="40" r:id="rId17"/>
    <sheet name="전원사양" sheetId="53" r:id="rId18"/>
    <sheet name="Sheet1 (2)" sheetId="58" r:id="rId19"/>
    <sheet name="저항 검토" sheetId="62" r:id="rId20"/>
    <sheet name="저항 수량 확인" sheetId="64" r:id="rId21"/>
    <sheet name="기본 특성 시험_4안" sheetId="47" r:id="rId22"/>
    <sheet name="메카니컬 신뢰성 시험_4안" sheetId="48" r:id="rId23"/>
    <sheet name="환경 신뢰성 시험_4안" sheetId="49" r:id="rId24"/>
    <sheet name="내구 ES 수명 시험_4안" sheetId="50" r:id="rId25"/>
    <sheet name="기본 특성 시험_3안" sheetId="36" r:id="rId26"/>
    <sheet name="메카니컬 신뢰성 시험_3안" sheetId="37" r:id="rId27"/>
    <sheet name="환경 신뢰성 시험_3안" sheetId="38" r:id="rId28"/>
    <sheet name="내구 ES 수명 시험_3안" sheetId="39" r:id="rId29"/>
    <sheet name="기본 특성 시험" sheetId="17" r:id="rId30"/>
    <sheet name="BOM (2)" sheetId="18" r:id="rId31"/>
    <sheet name="메카니컬 신뢰성 - R,RC_1안" sheetId="29" r:id="rId32"/>
    <sheet name="메카니컬 신뢰성 - R,RC_2안" sheetId="22" r:id="rId33"/>
    <sheet name="환경 신뢰성 - R,RC_1안" sheetId="32" r:id="rId34"/>
    <sheet name="환경 신뢰성 - R,RC_2안" sheetId="35" r:id="rId35"/>
    <sheet name="내구 ES 수명 시험_1안" sheetId="24" r:id="rId36"/>
    <sheet name="내구 ES 수명 시험_2안" sheetId="33" r:id="rId37"/>
    <sheet name="단가산출근거" sheetId="10" r:id="rId38"/>
    <sheet name="Sheet1" sheetId="27" r:id="rId39"/>
    <sheet name="Sheet7" sheetId="46" r:id="rId40"/>
    <sheet name="메카니컬 신뢰성 - R,RC_3안_(내부용)" sheetId="30" r:id="rId41"/>
  </sheets>
  <definedNames>
    <definedName name="_xlnm._FilterDatabase" localSheetId="15" hidden="1">'전매 발주 LIST'!$A$4:$T$132</definedName>
    <definedName name="_xlnm.Print_Area" localSheetId="0">'9ch확장'!$A$1:$S$34</definedName>
    <definedName name="_xlnm.Print_Area" localSheetId="30">'BOM (2)'!$A$1:$S$106</definedName>
    <definedName name="_xlnm.Print_Area" localSheetId="29">'기본 특성 시험'!$A$1:$S$73</definedName>
    <definedName name="_xlnm.Print_Area" localSheetId="25">'기본 특성 시험_3안'!$B:$S</definedName>
    <definedName name="_xlnm.Print_Area" localSheetId="21">'기본 특성 시험_4안'!$B:$S</definedName>
    <definedName name="_xlnm.Print_Area" localSheetId="11">'기본 특성 시험_4안r1'!$B:$S</definedName>
    <definedName name="_xlnm.Print_Area" localSheetId="35">'내구 ES 수명 시험_1안'!$A$1:$S$72</definedName>
    <definedName name="_xlnm.Print_Area" localSheetId="36">'내구 ES 수명 시험_2안'!$A$1:$S$85</definedName>
    <definedName name="_xlnm.Print_Area" localSheetId="28">'내구 ES 수명 시험_3안'!$B:$S</definedName>
    <definedName name="_xlnm.Print_Area" localSheetId="24">'내구 ES 수명 시험_4안'!$B:$S</definedName>
    <definedName name="_xlnm.Print_Area" localSheetId="14">'내구 ES 수명 시험_4안r1'!$B:$S</definedName>
    <definedName name="_xlnm.Print_Area" localSheetId="31">'메카니컬 신뢰성 - R,RC_1안'!$A$1:$S$72</definedName>
    <definedName name="_xlnm.Print_Area" localSheetId="32">'메카니컬 신뢰성 - R,RC_2안'!$A$1:$S$79</definedName>
    <definedName name="_xlnm.Print_Area" localSheetId="40">'메카니컬 신뢰성 - R,RC_3안_(내부용)'!$A$1:$T$63</definedName>
    <definedName name="_xlnm.Print_Area" localSheetId="26">'메카니컬 신뢰성 시험_3안'!$A$1:$S$62</definedName>
    <definedName name="_xlnm.Print_Area" localSheetId="22">'메카니컬 신뢰성 시험_4안'!$A$1:$S$65</definedName>
    <definedName name="_xlnm.Print_Area" localSheetId="12">'메카니컬 신뢰성 시험_4안r1'!$A$1:$S$56</definedName>
    <definedName name="_xlnm.Print_Area" localSheetId="1">'신뢰성 시험_4안r1_6ch확장'!$A$1:$S$59</definedName>
    <definedName name="_xlnm.Print_Area" localSheetId="8">일정_240813!$B$1:$Y$38</definedName>
    <definedName name="_xlnm.Print_Area" localSheetId="7">일정_240821!$B$1:$Y$38</definedName>
    <definedName name="_xlnm.Print_Area" localSheetId="6">일정_240924!$B$1:$Y$38</definedName>
    <definedName name="_xlnm.Print_Area" localSheetId="15">'전매 발주 LIST'!$C:$N</definedName>
    <definedName name="_xlnm.Print_Area" localSheetId="2">'전매 발주 LIST_FIVOT'!$A$1:$H$58</definedName>
    <definedName name="_xlnm.Print_Area" localSheetId="33">'환경 신뢰성 - R,RC_1안'!$A$1:$S$72</definedName>
    <definedName name="_xlnm.Print_Area" localSheetId="34">'환경 신뢰성 - R,RC_2안'!$A$1:$S$79</definedName>
    <definedName name="_xlnm.Print_Area" localSheetId="27">'환경 신뢰성 시험_3안'!$A$1:$S$80</definedName>
    <definedName name="_xlnm.Print_Area" localSheetId="23">'환경 신뢰성 시험_4안'!$A$1:$S$64</definedName>
    <definedName name="_xlnm.Print_Area" localSheetId="13">'환경 신뢰성 시험_4안r1'!$A$1:$S$54</definedName>
  </definedNames>
  <calcPr calcId="191029"/>
  <pivotCaches>
    <pivotCache cacheId="0" r:id="rId42"/>
    <pivotCache cacheId="1" r:id="rId4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7" i="40" l="1"/>
  <c r="N36" i="40"/>
  <c r="N35" i="40"/>
  <c r="N10" i="53" l="1"/>
  <c r="O34" i="69" l="1"/>
  <c r="M34" i="69"/>
  <c r="O33" i="69"/>
  <c r="M33" i="69"/>
  <c r="O32" i="69"/>
  <c r="M32" i="69"/>
  <c r="O31" i="69"/>
  <c r="M31" i="69"/>
  <c r="O30" i="69"/>
  <c r="M30" i="69"/>
  <c r="O29" i="69"/>
  <c r="M29" i="69"/>
  <c r="O28" i="69"/>
  <c r="M28" i="69"/>
  <c r="O26" i="69"/>
  <c r="M26" i="69"/>
  <c r="O25" i="69"/>
  <c r="M25" i="69"/>
  <c r="O22" i="69"/>
  <c r="M22" i="69"/>
  <c r="O21" i="69"/>
  <c r="M21" i="69"/>
  <c r="O20" i="69"/>
  <c r="M20" i="69"/>
  <c r="O18" i="69"/>
  <c r="K18" i="69"/>
  <c r="M18" i="69" s="1"/>
  <c r="O16" i="69"/>
  <c r="M16" i="69"/>
  <c r="O15" i="69"/>
  <c r="M15" i="69"/>
  <c r="O14" i="69"/>
  <c r="M14" i="69"/>
  <c r="O12" i="69"/>
  <c r="K12" i="69"/>
  <c r="M12" i="69" s="1"/>
  <c r="O10" i="69"/>
  <c r="M10" i="69"/>
  <c r="O9" i="69"/>
  <c r="M9" i="69"/>
  <c r="O8" i="69"/>
  <c r="M8" i="69"/>
  <c r="O6" i="69"/>
  <c r="K6" i="69"/>
  <c r="M6" i="69" s="1"/>
  <c r="O23" i="69" l="1"/>
  <c r="O36" i="69" s="1"/>
  <c r="O37" i="69" s="1"/>
  <c r="O38" i="69" s="1"/>
  <c r="O39" i="69" s="1"/>
  <c r="M35" i="69"/>
  <c r="O35" i="69"/>
  <c r="M23" i="69"/>
  <c r="Q46" i="69" s="1"/>
  <c r="S46" i="69" s="1"/>
  <c r="O44" i="69" l="1"/>
  <c r="Q44" i="69" s="1"/>
  <c r="S44" i="69" s="1"/>
  <c r="O42" i="69"/>
  <c r="Q42" i="69" s="1"/>
  <c r="S42" i="69" s="1"/>
  <c r="O45" i="69"/>
  <c r="Q45" i="69" s="1"/>
  <c r="S45" i="69" s="1"/>
  <c r="O43" i="69"/>
  <c r="Q43" i="69" s="1"/>
  <c r="S43" i="69" s="1"/>
  <c r="T78" i="41" l="1"/>
  <c r="T77" i="41"/>
  <c r="T76" i="41"/>
  <c r="T75" i="41"/>
  <c r="T74" i="41"/>
  <c r="I29" i="53" l="1"/>
  <c r="N9" i="53"/>
  <c r="F27" i="53"/>
  <c r="F26" i="53"/>
  <c r="F25" i="53"/>
  <c r="P121" i="54"/>
  <c r="P60" i="54"/>
  <c r="P25" i="54"/>
  <c r="M18" i="53"/>
  <c r="P2" i="54"/>
  <c r="K11" i="53"/>
  <c r="K22" i="53"/>
  <c r="P110" i="54"/>
  <c r="P109" i="54"/>
  <c r="P80" i="54"/>
  <c r="P79" i="54"/>
  <c r="P50" i="54"/>
  <c r="P49" i="54"/>
  <c r="P12" i="54"/>
  <c r="P11" i="54"/>
  <c r="M4" i="53"/>
  <c r="M31" i="64" l="1"/>
  <c r="M30" i="64"/>
  <c r="M29" i="64"/>
  <c r="M28" i="64"/>
  <c r="M27" i="64"/>
  <c r="M26" i="64"/>
  <c r="M25" i="64"/>
  <c r="U24" i="64"/>
  <c r="M24" i="64"/>
  <c r="U23" i="64"/>
  <c r="M23" i="64"/>
  <c r="M22" i="64"/>
  <c r="R21" i="64"/>
  <c r="M21" i="64"/>
  <c r="M20" i="64"/>
  <c r="M19" i="64"/>
  <c r="M18" i="64"/>
  <c r="M17" i="64"/>
  <c r="M16" i="64"/>
  <c r="M15" i="64"/>
  <c r="M14" i="64"/>
  <c r="M13" i="64"/>
  <c r="M12" i="64"/>
  <c r="M11" i="64"/>
  <c r="M10" i="64"/>
  <c r="M9" i="64"/>
  <c r="M8" i="64"/>
  <c r="M7" i="64"/>
  <c r="M6" i="64"/>
  <c r="M5" i="64"/>
  <c r="M4" i="64"/>
  <c r="M52" i="41"/>
  <c r="M51" i="41"/>
  <c r="M50" i="41"/>
  <c r="M49" i="41"/>
  <c r="M48" i="41"/>
  <c r="M41" i="44"/>
  <c r="M39" i="42"/>
  <c r="O50" i="63" l="1"/>
  <c r="M50" i="63"/>
  <c r="O49" i="63" l="1"/>
  <c r="M49" i="63"/>
  <c r="U25" i="63"/>
  <c r="O25" i="63"/>
  <c r="M25" i="63"/>
  <c r="O32" i="63" l="1"/>
  <c r="M32" i="63"/>
  <c r="O30" i="63"/>
  <c r="M30" i="63"/>
  <c r="O22" i="63"/>
  <c r="K22" i="63"/>
  <c r="M22" i="63" s="1"/>
  <c r="K19" i="63"/>
  <c r="M19" i="63" s="1"/>
  <c r="O19" i="63"/>
  <c r="O59" i="63"/>
  <c r="M59" i="63"/>
  <c r="O58" i="63"/>
  <c r="M58" i="63"/>
  <c r="O57" i="63"/>
  <c r="M57" i="63"/>
  <c r="O56" i="63"/>
  <c r="M56" i="63"/>
  <c r="O55" i="63"/>
  <c r="M55" i="63"/>
  <c r="O54" i="63"/>
  <c r="M54" i="63"/>
  <c r="O53" i="63"/>
  <c r="M53" i="63"/>
  <c r="O51" i="63"/>
  <c r="O48" i="63"/>
  <c r="M48" i="63"/>
  <c r="O47" i="63"/>
  <c r="M47" i="63"/>
  <c r="O44" i="63"/>
  <c r="M44" i="63"/>
  <c r="O42" i="63"/>
  <c r="M42" i="63"/>
  <c r="O41" i="63"/>
  <c r="O40" i="63"/>
  <c r="M40" i="63"/>
  <c r="O39" i="63"/>
  <c r="M39" i="63"/>
  <c r="O38" i="63"/>
  <c r="M38" i="63"/>
  <c r="O37" i="63"/>
  <c r="M37" i="63"/>
  <c r="O36" i="63"/>
  <c r="M36" i="63"/>
  <c r="U35" i="63"/>
  <c r="O35" i="63"/>
  <c r="M35" i="63"/>
  <c r="O34" i="63"/>
  <c r="M34" i="63"/>
  <c r="O33" i="63"/>
  <c r="M33" i="63"/>
  <c r="O31" i="63"/>
  <c r="M31" i="63"/>
  <c r="O29" i="63"/>
  <c r="M29" i="63"/>
  <c r="U28" i="63"/>
  <c r="O28" i="63"/>
  <c r="M28" i="63"/>
  <c r="O27" i="63"/>
  <c r="M27" i="63"/>
  <c r="O26" i="63"/>
  <c r="M26" i="63"/>
  <c r="U24" i="63"/>
  <c r="O24" i="63"/>
  <c r="M24" i="63"/>
  <c r="O21" i="63"/>
  <c r="K21" i="63"/>
  <c r="M21" i="63" s="1"/>
  <c r="O20" i="63"/>
  <c r="K20" i="63"/>
  <c r="M20" i="63" s="1"/>
  <c r="O18" i="63"/>
  <c r="K18" i="63"/>
  <c r="M18" i="63" s="1"/>
  <c r="W16" i="63"/>
  <c r="Y16" i="63" s="1"/>
  <c r="O16" i="63"/>
  <c r="K16" i="63"/>
  <c r="M16" i="63" s="1"/>
  <c r="W15" i="63"/>
  <c r="Y15" i="63" s="1"/>
  <c r="L15" i="63"/>
  <c r="O15" i="63" s="1"/>
  <c r="K15" i="63"/>
  <c r="M15" i="63" s="1"/>
  <c r="O14" i="63"/>
  <c r="K14" i="63"/>
  <c r="M14" i="63" s="1"/>
  <c r="O13" i="63"/>
  <c r="K13" i="63"/>
  <c r="M13" i="63" s="1"/>
  <c r="O12" i="63"/>
  <c r="K12" i="63"/>
  <c r="M12" i="63" s="1"/>
  <c r="O11" i="63"/>
  <c r="K11" i="63"/>
  <c r="M11" i="63" s="1"/>
  <c r="O10" i="63"/>
  <c r="K10" i="63"/>
  <c r="M10" i="63" s="1"/>
  <c r="O9" i="63"/>
  <c r="K9" i="63"/>
  <c r="M9" i="63" s="1"/>
  <c r="O8" i="63"/>
  <c r="K8" i="63"/>
  <c r="M8" i="63" s="1"/>
  <c r="O7" i="63"/>
  <c r="K7" i="63"/>
  <c r="M7" i="63" s="1"/>
  <c r="O6" i="63"/>
  <c r="K6" i="63"/>
  <c r="M6" i="63" s="1"/>
  <c r="O60" i="63" l="1"/>
  <c r="M60" i="63"/>
  <c r="O45" i="63"/>
  <c r="O61" i="63" s="1"/>
  <c r="M45" i="63"/>
  <c r="Q71" i="63" s="1"/>
  <c r="S71" i="63" s="1"/>
  <c r="P8" i="58"/>
  <c r="P9" i="58"/>
  <c r="P5" i="58"/>
  <c r="P7" i="58"/>
  <c r="P12" i="58"/>
  <c r="P11" i="58"/>
  <c r="P3" i="58"/>
  <c r="P10" i="58"/>
  <c r="P6" i="58"/>
  <c r="I12" i="62"/>
  <c r="I11" i="62"/>
  <c r="H12" i="62"/>
  <c r="H11" i="62"/>
  <c r="O62" i="63" l="1"/>
  <c r="O63" i="63" s="1"/>
  <c r="O64" i="63" s="1"/>
  <c r="O70" i="63" s="1"/>
  <c r="Q70" i="63" s="1"/>
  <c r="S70" i="63" s="1"/>
  <c r="P17" i="58"/>
  <c r="I25" i="62"/>
  <c r="I24" i="62"/>
  <c r="I4" i="62"/>
  <c r="I3" i="62"/>
  <c r="H25" i="62"/>
  <c r="H24" i="62"/>
  <c r="I23" i="62"/>
  <c r="H23" i="62"/>
  <c r="I22" i="62"/>
  <c r="H22" i="62"/>
  <c r="H18" i="62"/>
  <c r="I20" i="62"/>
  <c r="I19" i="62"/>
  <c r="H20" i="62"/>
  <c r="H19" i="62"/>
  <c r="I18" i="62"/>
  <c r="I16" i="62"/>
  <c r="H16" i="62"/>
  <c r="I15" i="62"/>
  <c r="I5" i="62"/>
  <c r="I6" i="62"/>
  <c r="I7" i="62"/>
  <c r="I8" i="62"/>
  <c r="I9" i="62"/>
  <c r="I10" i="62"/>
  <c r="H13" i="62"/>
  <c r="H3" i="62"/>
  <c r="H15" i="62"/>
  <c r="H14" i="62"/>
  <c r="H10" i="62"/>
  <c r="H9" i="62"/>
  <c r="H8" i="62"/>
  <c r="H7" i="62"/>
  <c r="H6" i="62"/>
  <c r="H5" i="62"/>
  <c r="H4" i="62"/>
  <c r="O67" i="63" l="1"/>
  <c r="Q67" i="63" s="1"/>
  <c r="S67" i="63" s="1"/>
  <c r="O68" i="63"/>
  <c r="Q68" i="63" s="1"/>
  <c r="S68" i="63" s="1"/>
  <c r="O69" i="63"/>
  <c r="Q69" i="63" s="1"/>
  <c r="S69" i="63" s="1"/>
  <c r="O42" i="42"/>
  <c r="L24" i="54" l="1"/>
  <c r="J24" i="54"/>
  <c r="O31" i="44"/>
  <c r="M31" i="44"/>
  <c r="O29" i="41"/>
  <c r="M29" i="41"/>
  <c r="O30" i="45"/>
  <c r="M30" i="45"/>
  <c r="M42" i="42"/>
  <c r="O30" i="41" l="1"/>
  <c r="M30" i="41"/>
  <c r="O30" i="42"/>
  <c r="M30" i="42"/>
  <c r="L132" i="54"/>
  <c r="J132" i="54"/>
  <c r="L118" i="54" l="1"/>
  <c r="J118" i="54"/>
  <c r="L88" i="54"/>
  <c r="J88" i="54"/>
  <c r="O28" i="44"/>
  <c r="M28" i="44"/>
  <c r="O28" i="45"/>
  <c r="M28" i="45"/>
  <c r="J23" i="54"/>
  <c r="V28" i="41"/>
  <c r="O28" i="41"/>
  <c r="M28" i="41"/>
  <c r="O31" i="41" l="1"/>
  <c r="M31" i="41"/>
  <c r="L131" i="54" l="1"/>
  <c r="J131" i="54"/>
  <c r="L130" i="54"/>
  <c r="L129" i="54"/>
  <c r="J129" i="54"/>
  <c r="L128" i="54"/>
  <c r="J128" i="54"/>
  <c r="L127" i="54"/>
  <c r="J127" i="54"/>
  <c r="L126" i="54"/>
  <c r="J126" i="54"/>
  <c r="L125" i="54"/>
  <c r="J125" i="54"/>
  <c r="L124" i="54"/>
  <c r="J124" i="54"/>
  <c r="L123" i="54"/>
  <c r="J123" i="54"/>
  <c r="L122" i="54"/>
  <c r="J122" i="54"/>
  <c r="L121" i="54"/>
  <c r="J121" i="54"/>
  <c r="L120" i="54"/>
  <c r="J120" i="54"/>
  <c r="L119" i="54"/>
  <c r="J119" i="54"/>
  <c r="L117" i="54"/>
  <c r="J117" i="54"/>
  <c r="L116" i="54"/>
  <c r="J116" i="54"/>
  <c r="L115" i="54"/>
  <c r="J115" i="54"/>
  <c r="L114" i="54"/>
  <c r="H114" i="54"/>
  <c r="J114" i="54" s="1"/>
  <c r="L113" i="54"/>
  <c r="H113" i="54"/>
  <c r="J113" i="54" s="1"/>
  <c r="L112" i="54"/>
  <c r="H112" i="54"/>
  <c r="J112" i="54" s="1"/>
  <c r="L111" i="54"/>
  <c r="H111" i="54"/>
  <c r="J111" i="54" s="1"/>
  <c r="H110" i="54"/>
  <c r="G110" i="54"/>
  <c r="L110" i="54" s="1"/>
  <c r="I109" i="54"/>
  <c r="L109" i="54" s="1"/>
  <c r="L108" i="54"/>
  <c r="H108" i="54"/>
  <c r="J108" i="54" s="1"/>
  <c r="L107" i="54"/>
  <c r="H107" i="54"/>
  <c r="J107" i="54" s="1"/>
  <c r="L106" i="54"/>
  <c r="H106" i="54"/>
  <c r="J106" i="54" s="1"/>
  <c r="L105" i="54"/>
  <c r="H105" i="54"/>
  <c r="J105" i="54" s="1"/>
  <c r="L104" i="54"/>
  <c r="H104" i="54"/>
  <c r="J104" i="54" s="1"/>
  <c r="L103" i="54"/>
  <c r="H103" i="54"/>
  <c r="J103" i="54" s="1"/>
  <c r="L102" i="54"/>
  <c r="H102" i="54"/>
  <c r="J102" i="54" s="1"/>
  <c r="L101" i="54"/>
  <c r="H101" i="54"/>
  <c r="J101" i="54" s="1"/>
  <c r="L100" i="54"/>
  <c r="H100" i="54"/>
  <c r="J100" i="54" s="1"/>
  <c r="L99" i="54"/>
  <c r="J99" i="54"/>
  <c r="L98" i="54"/>
  <c r="L97" i="54"/>
  <c r="J97" i="54"/>
  <c r="L96" i="54"/>
  <c r="J96" i="54"/>
  <c r="L95" i="54"/>
  <c r="J95" i="54"/>
  <c r="L94" i="54"/>
  <c r="J94" i="54"/>
  <c r="L93" i="54"/>
  <c r="J93" i="54"/>
  <c r="L92" i="54"/>
  <c r="J92" i="54"/>
  <c r="L91" i="54"/>
  <c r="J91" i="54"/>
  <c r="L90" i="54"/>
  <c r="J90" i="54"/>
  <c r="L89" i="54"/>
  <c r="J89" i="54"/>
  <c r="L87" i="54"/>
  <c r="J87" i="54"/>
  <c r="L86" i="54"/>
  <c r="J86" i="54"/>
  <c r="L85" i="54"/>
  <c r="J85" i="54"/>
  <c r="L84" i="54"/>
  <c r="H84" i="54"/>
  <c r="J84" i="54" s="1"/>
  <c r="L83" i="54"/>
  <c r="H83" i="54"/>
  <c r="J83" i="54" s="1"/>
  <c r="L82" i="54"/>
  <c r="H82" i="54"/>
  <c r="J82" i="54" s="1"/>
  <c r="L81" i="54"/>
  <c r="H81" i="54"/>
  <c r="J81" i="54" s="1"/>
  <c r="L80" i="54"/>
  <c r="H80" i="54"/>
  <c r="J80" i="54" s="1"/>
  <c r="I79" i="54"/>
  <c r="L79" i="54" s="1"/>
  <c r="L78" i="54"/>
  <c r="H78" i="54"/>
  <c r="J78" i="54" s="1"/>
  <c r="L77" i="54"/>
  <c r="H77" i="54"/>
  <c r="J77" i="54" s="1"/>
  <c r="L76" i="54"/>
  <c r="H76" i="54"/>
  <c r="J76" i="54" s="1"/>
  <c r="L75" i="54"/>
  <c r="H75" i="54"/>
  <c r="J75" i="54" s="1"/>
  <c r="L74" i="54"/>
  <c r="H74" i="54"/>
  <c r="J74" i="54" s="1"/>
  <c r="L73" i="54"/>
  <c r="H73" i="54"/>
  <c r="J73" i="54" s="1"/>
  <c r="L72" i="54"/>
  <c r="H72" i="54"/>
  <c r="J72" i="54" s="1"/>
  <c r="L71" i="54"/>
  <c r="H71" i="54"/>
  <c r="J71" i="54" s="1"/>
  <c r="L70" i="54"/>
  <c r="H70" i="54"/>
  <c r="J70" i="54" s="1"/>
  <c r="L69" i="54"/>
  <c r="J69" i="54"/>
  <c r="L68" i="54"/>
  <c r="L67" i="54"/>
  <c r="J67" i="54"/>
  <c r="L66" i="54"/>
  <c r="J66" i="54"/>
  <c r="L65" i="54"/>
  <c r="J65" i="54"/>
  <c r="L64" i="54"/>
  <c r="J64" i="54"/>
  <c r="L63" i="54"/>
  <c r="J63" i="54"/>
  <c r="L62" i="54"/>
  <c r="J62" i="54"/>
  <c r="L61" i="54"/>
  <c r="J61" i="54"/>
  <c r="L60" i="54"/>
  <c r="J60" i="54"/>
  <c r="L59" i="54"/>
  <c r="J59" i="54"/>
  <c r="L58" i="54"/>
  <c r="J58" i="54"/>
  <c r="L57" i="54"/>
  <c r="J57" i="54"/>
  <c r="L56" i="54"/>
  <c r="J56" i="54"/>
  <c r="L55" i="54"/>
  <c r="J55" i="54"/>
  <c r="L54" i="54"/>
  <c r="H54" i="54"/>
  <c r="J54" i="54" s="1"/>
  <c r="L53" i="54"/>
  <c r="H53" i="54"/>
  <c r="J53" i="54" s="1"/>
  <c r="L52" i="54"/>
  <c r="H52" i="54"/>
  <c r="J52" i="54" s="1"/>
  <c r="L51" i="54"/>
  <c r="H51" i="54"/>
  <c r="J51" i="54" s="1"/>
  <c r="L50" i="54"/>
  <c r="H50" i="54"/>
  <c r="J50" i="54" s="1"/>
  <c r="I49" i="54"/>
  <c r="L49" i="54" s="1"/>
  <c r="L48" i="54"/>
  <c r="H48" i="54"/>
  <c r="J48" i="54" s="1"/>
  <c r="L47" i="54"/>
  <c r="H47" i="54"/>
  <c r="J47" i="54" s="1"/>
  <c r="L46" i="54"/>
  <c r="H46" i="54"/>
  <c r="J46" i="54" s="1"/>
  <c r="L45" i="54"/>
  <c r="H45" i="54"/>
  <c r="J45" i="54" s="1"/>
  <c r="L44" i="54"/>
  <c r="H44" i="54"/>
  <c r="J44" i="54" s="1"/>
  <c r="L43" i="54"/>
  <c r="H43" i="54"/>
  <c r="J43" i="54" s="1"/>
  <c r="L42" i="54"/>
  <c r="H42" i="54"/>
  <c r="J42" i="54" s="1"/>
  <c r="L41" i="54"/>
  <c r="H41" i="54"/>
  <c r="J41" i="54" s="1"/>
  <c r="L40" i="54"/>
  <c r="H40" i="54"/>
  <c r="J40" i="54" s="1"/>
  <c r="L39" i="54"/>
  <c r="J39" i="54"/>
  <c r="L38" i="54"/>
  <c r="J38" i="54"/>
  <c r="L37" i="54"/>
  <c r="J37" i="54"/>
  <c r="L36" i="54"/>
  <c r="J36" i="54"/>
  <c r="L35" i="54"/>
  <c r="J35" i="54"/>
  <c r="L34" i="54"/>
  <c r="J34" i="54"/>
  <c r="L33" i="54"/>
  <c r="J33" i="54"/>
  <c r="L32" i="54"/>
  <c r="J32" i="54"/>
  <c r="L31" i="54"/>
  <c r="J31" i="54"/>
  <c r="L30" i="54"/>
  <c r="J30" i="54"/>
  <c r="L29" i="54"/>
  <c r="J29" i="54"/>
  <c r="L28" i="54"/>
  <c r="J28" i="54"/>
  <c r="L27" i="54"/>
  <c r="J27" i="54"/>
  <c r="L26" i="54"/>
  <c r="J26" i="54"/>
  <c r="L25" i="54"/>
  <c r="J25" i="54"/>
  <c r="L23" i="54"/>
  <c r="L22" i="54"/>
  <c r="J22" i="54"/>
  <c r="L21" i="54"/>
  <c r="J21" i="54"/>
  <c r="L20" i="54"/>
  <c r="J20" i="54"/>
  <c r="L19" i="54"/>
  <c r="H19" i="54"/>
  <c r="J19" i="54" s="1"/>
  <c r="L18" i="54"/>
  <c r="H18" i="54"/>
  <c r="J18" i="54" s="1"/>
  <c r="L17" i="54"/>
  <c r="H17" i="54"/>
  <c r="J17" i="54" s="1"/>
  <c r="L16" i="54"/>
  <c r="H16" i="54"/>
  <c r="J16" i="54" s="1"/>
  <c r="L15" i="54"/>
  <c r="H15" i="54"/>
  <c r="J15" i="54" s="1"/>
  <c r="L14" i="54"/>
  <c r="H14" i="54"/>
  <c r="J14" i="54" s="1"/>
  <c r="L13" i="54"/>
  <c r="H13" i="54"/>
  <c r="J13" i="54" s="1"/>
  <c r="L12" i="54"/>
  <c r="H12" i="54"/>
  <c r="J12" i="54" s="1"/>
  <c r="I11" i="54"/>
  <c r="L11" i="54" s="1"/>
  <c r="L10" i="54"/>
  <c r="H10" i="54"/>
  <c r="J10" i="54" s="1"/>
  <c r="L9" i="54"/>
  <c r="H9" i="54"/>
  <c r="J9" i="54" s="1"/>
  <c r="L8" i="54"/>
  <c r="H8" i="54"/>
  <c r="J8" i="54" s="1"/>
  <c r="L7" i="54"/>
  <c r="L6" i="54"/>
  <c r="H6" i="54"/>
  <c r="J6" i="54" s="1"/>
  <c r="I5" i="54"/>
  <c r="L5" i="54" s="1"/>
  <c r="H5" i="54"/>
  <c r="J5" i="54" s="1"/>
  <c r="H109" i="54" l="1"/>
  <c r="J109" i="54" s="1"/>
  <c r="H49" i="54"/>
  <c r="J49" i="54" s="1"/>
  <c r="J110" i="54"/>
  <c r="H79" i="54"/>
  <c r="J79" i="54" s="1"/>
  <c r="H11" i="54"/>
  <c r="J11" i="54" s="1"/>
  <c r="O10" i="53" l="1"/>
  <c r="O9" i="53"/>
  <c r="O40" i="42" l="1"/>
  <c r="M40" i="42"/>
  <c r="O39" i="42"/>
  <c r="O38" i="42"/>
  <c r="M38" i="42"/>
  <c r="O37" i="42"/>
  <c r="M37" i="42"/>
  <c r="O36" i="42"/>
  <c r="M36" i="42"/>
  <c r="O35" i="42"/>
  <c r="M35" i="42"/>
  <c r="O34" i="42"/>
  <c r="M34" i="42"/>
  <c r="O33" i="42"/>
  <c r="M33" i="42"/>
  <c r="O32" i="42"/>
  <c r="M32" i="42"/>
  <c r="O31" i="42"/>
  <c r="M31" i="42"/>
  <c r="O29" i="42"/>
  <c r="M29" i="42"/>
  <c r="O28" i="42"/>
  <c r="M28" i="42"/>
  <c r="O27" i="42"/>
  <c r="M27" i="42"/>
  <c r="O26" i="42"/>
  <c r="M26" i="42"/>
  <c r="O25" i="42"/>
  <c r="M25" i="42"/>
  <c r="O16" i="42"/>
  <c r="K16" i="42"/>
  <c r="M16" i="42" s="1"/>
  <c r="L15" i="42"/>
  <c r="K15" i="42" s="1"/>
  <c r="M15" i="42" s="1"/>
  <c r="O14" i="42"/>
  <c r="K14" i="42"/>
  <c r="M14" i="42" s="1"/>
  <c r="O13" i="42"/>
  <c r="K13" i="42"/>
  <c r="M13" i="42" s="1"/>
  <c r="O12" i="42"/>
  <c r="K12" i="42"/>
  <c r="M12" i="42" s="1"/>
  <c r="O11" i="42"/>
  <c r="K11" i="42"/>
  <c r="M11" i="42" s="1"/>
  <c r="O10" i="42"/>
  <c r="K10" i="42"/>
  <c r="M10" i="42" s="1"/>
  <c r="O9" i="42"/>
  <c r="K9" i="42"/>
  <c r="M9" i="42" s="1"/>
  <c r="O8" i="42"/>
  <c r="K8" i="42"/>
  <c r="M8" i="42" s="1"/>
  <c r="O7" i="42"/>
  <c r="K7" i="42"/>
  <c r="M7" i="42" s="1"/>
  <c r="O6" i="42"/>
  <c r="K6" i="42"/>
  <c r="M6" i="42" s="1"/>
  <c r="O40" i="45"/>
  <c r="M40" i="45"/>
  <c r="O39" i="45"/>
  <c r="O38" i="45"/>
  <c r="M38" i="45"/>
  <c r="O37" i="45"/>
  <c r="M37" i="45"/>
  <c r="O36" i="45"/>
  <c r="M36" i="45"/>
  <c r="O35" i="45"/>
  <c r="M35" i="45"/>
  <c r="O34" i="45"/>
  <c r="M34" i="45"/>
  <c r="O33" i="45"/>
  <c r="M33" i="45"/>
  <c r="O32" i="45"/>
  <c r="M32" i="45"/>
  <c r="O31" i="45"/>
  <c r="M31" i="45"/>
  <c r="O29" i="45"/>
  <c r="M29" i="45"/>
  <c r="O27" i="45"/>
  <c r="M27" i="45"/>
  <c r="O26" i="45"/>
  <c r="M26" i="45"/>
  <c r="O25" i="45"/>
  <c r="M25" i="45"/>
  <c r="O15" i="42" l="1"/>
  <c r="M44" i="41" l="1"/>
  <c r="G37" i="40" l="1"/>
  <c r="G36" i="40"/>
  <c r="G35" i="40"/>
  <c r="G24" i="40"/>
  <c r="G23" i="40"/>
  <c r="G22" i="40"/>
  <c r="G21" i="40"/>
  <c r="O70" i="50" l="1"/>
  <c r="M70" i="50"/>
  <c r="O69" i="50"/>
  <c r="M69" i="50"/>
  <c r="O68" i="50"/>
  <c r="M68" i="50"/>
  <c r="O67" i="50"/>
  <c r="M67" i="50"/>
  <c r="O66" i="50"/>
  <c r="M66" i="50"/>
  <c r="O65" i="50"/>
  <c r="M65" i="50"/>
  <c r="M71" i="50" s="1"/>
  <c r="O64" i="50"/>
  <c r="M64" i="50"/>
  <c r="O62" i="50"/>
  <c r="O61" i="50"/>
  <c r="O71" i="50" s="1"/>
  <c r="M61" i="50"/>
  <c r="O60" i="50"/>
  <c r="M60" i="50"/>
  <c r="U56" i="50"/>
  <c r="O56" i="50"/>
  <c r="M56" i="50"/>
  <c r="O55" i="50"/>
  <c r="M55" i="50"/>
  <c r="O54" i="50"/>
  <c r="X53" i="50"/>
  <c r="O53" i="50"/>
  <c r="M53" i="50"/>
  <c r="X52" i="50"/>
  <c r="O52" i="50"/>
  <c r="M52" i="50"/>
  <c r="O51" i="50"/>
  <c r="M51" i="50"/>
  <c r="O50" i="50"/>
  <c r="M50" i="50"/>
  <c r="O49" i="50"/>
  <c r="M49" i="50"/>
  <c r="O48" i="50"/>
  <c r="M48" i="50"/>
  <c r="O47" i="50"/>
  <c r="M47" i="50"/>
  <c r="U46" i="50"/>
  <c r="O46" i="50"/>
  <c r="M46" i="50"/>
  <c r="O45" i="50"/>
  <c r="M45" i="50"/>
  <c r="O44" i="50"/>
  <c r="M44" i="50"/>
  <c r="O43" i="50"/>
  <c r="M43" i="50"/>
  <c r="O42" i="50"/>
  <c r="M42" i="50"/>
  <c r="O41" i="50"/>
  <c r="M41" i="50"/>
  <c r="O40" i="50"/>
  <c r="M40" i="50"/>
  <c r="U39" i="50"/>
  <c r="O39" i="50"/>
  <c r="M39" i="50"/>
  <c r="O36" i="50"/>
  <c r="K36" i="50"/>
  <c r="M36" i="50" s="1"/>
  <c r="O35" i="50"/>
  <c r="K35" i="50"/>
  <c r="M35" i="50" s="1"/>
  <c r="O34" i="50"/>
  <c r="K34" i="50"/>
  <c r="M34" i="50" s="1"/>
  <c r="O33" i="50"/>
  <c r="K33" i="50"/>
  <c r="M33" i="50" s="1"/>
  <c r="O30" i="50"/>
  <c r="M30" i="50"/>
  <c r="K30" i="50"/>
  <c r="O29" i="50"/>
  <c r="K29" i="50"/>
  <c r="M29" i="50" s="1"/>
  <c r="O28" i="50"/>
  <c r="K28" i="50"/>
  <c r="M28" i="50" s="1"/>
  <c r="O27" i="50"/>
  <c r="K27" i="50"/>
  <c r="M27" i="50" s="1"/>
  <c r="O26" i="50"/>
  <c r="K26" i="50"/>
  <c r="M26" i="50" s="1"/>
  <c r="O25" i="50"/>
  <c r="K25" i="50"/>
  <c r="M25" i="50" s="1"/>
  <c r="O24" i="50"/>
  <c r="K24" i="50"/>
  <c r="M24" i="50" s="1"/>
  <c r="O23" i="50"/>
  <c r="K23" i="50"/>
  <c r="M23" i="50" s="1"/>
  <c r="O22" i="50"/>
  <c r="K22" i="50"/>
  <c r="M22" i="50" s="1"/>
  <c r="O21" i="50"/>
  <c r="K21" i="50"/>
  <c r="M21" i="50" s="1"/>
  <c r="O20" i="50"/>
  <c r="K20" i="50"/>
  <c r="M20" i="50" s="1"/>
  <c r="O19" i="50"/>
  <c r="M19" i="50"/>
  <c r="K18" i="50"/>
  <c r="J18" i="50"/>
  <c r="O18" i="50" s="1"/>
  <c r="L17" i="50"/>
  <c r="O17" i="50" s="1"/>
  <c r="K17" i="50"/>
  <c r="M17" i="50" s="1"/>
  <c r="O16" i="50"/>
  <c r="K16" i="50"/>
  <c r="M16" i="50" s="1"/>
  <c r="O15" i="50"/>
  <c r="M15" i="50"/>
  <c r="K15" i="50"/>
  <c r="O14" i="50"/>
  <c r="M14" i="50"/>
  <c r="K14" i="50"/>
  <c r="O13" i="50"/>
  <c r="K13" i="50"/>
  <c r="M13" i="50" s="1"/>
  <c r="O12" i="50"/>
  <c r="K12" i="50"/>
  <c r="M12" i="50" s="1"/>
  <c r="O11" i="50"/>
  <c r="M11" i="50"/>
  <c r="K11" i="50"/>
  <c r="O10" i="50"/>
  <c r="M10" i="50"/>
  <c r="K10" i="50"/>
  <c r="O9" i="50"/>
  <c r="K9" i="50"/>
  <c r="M9" i="50" s="1"/>
  <c r="O8" i="50"/>
  <c r="K8" i="50"/>
  <c r="M8" i="50" s="1"/>
  <c r="O7" i="50"/>
  <c r="M7" i="50"/>
  <c r="K7" i="50"/>
  <c r="O6" i="50"/>
  <c r="M6" i="50"/>
  <c r="K6" i="50"/>
  <c r="O64" i="49"/>
  <c r="M64" i="49"/>
  <c r="O63" i="49"/>
  <c r="M63" i="49"/>
  <c r="O62" i="49"/>
  <c r="M62" i="49"/>
  <c r="O61" i="49"/>
  <c r="M61" i="49"/>
  <c r="O60" i="49"/>
  <c r="M60" i="49"/>
  <c r="O59" i="49"/>
  <c r="M59" i="49"/>
  <c r="O58" i="49"/>
  <c r="M58" i="49"/>
  <c r="O56" i="49"/>
  <c r="O55" i="49"/>
  <c r="M55" i="49"/>
  <c r="M65" i="49" s="1"/>
  <c r="O54" i="49"/>
  <c r="O65" i="49" s="1"/>
  <c r="M54" i="49"/>
  <c r="U50" i="49"/>
  <c r="O50" i="49"/>
  <c r="M50" i="49"/>
  <c r="O49" i="49"/>
  <c r="M49" i="49"/>
  <c r="O48" i="49"/>
  <c r="O47" i="49"/>
  <c r="M47" i="49"/>
  <c r="O46" i="49"/>
  <c r="M46" i="49"/>
  <c r="O45" i="49"/>
  <c r="M45" i="49"/>
  <c r="O44" i="49"/>
  <c r="M44" i="49"/>
  <c r="O43" i="49"/>
  <c r="M43" i="49"/>
  <c r="U42" i="49"/>
  <c r="O42" i="49"/>
  <c r="M42" i="49"/>
  <c r="O41" i="49"/>
  <c r="M41" i="49"/>
  <c r="O40" i="49"/>
  <c r="M40" i="49"/>
  <c r="O39" i="49"/>
  <c r="M39" i="49"/>
  <c r="O38" i="49"/>
  <c r="M38" i="49"/>
  <c r="O37" i="49"/>
  <c r="M37" i="49"/>
  <c r="O36" i="49"/>
  <c r="M36" i="49"/>
  <c r="U35" i="49"/>
  <c r="O35" i="49"/>
  <c r="M35" i="49"/>
  <c r="O32" i="49"/>
  <c r="K32" i="49"/>
  <c r="M32" i="49" s="1"/>
  <c r="O31" i="49"/>
  <c r="K31" i="49"/>
  <c r="M31" i="49" s="1"/>
  <c r="O30" i="49"/>
  <c r="M30" i="49"/>
  <c r="K30" i="49"/>
  <c r="O29" i="49"/>
  <c r="M29" i="49"/>
  <c r="K29" i="49"/>
  <c r="U27" i="49"/>
  <c r="U26" i="49"/>
  <c r="O26" i="49"/>
  <c r="M26" i="49"/>
  <c r="K26" i="49"/>
  <c r="O25" i="49"/>
  <c r="K25" i="49"/>
  <c r="M25" i="49" s="1"/>
  <c r="O24" i="49"/>
  <c r="K24" i="49"/>
  <c r="M24" i="49" s="1"/>
  <c r="O23" i="49"/>
  <c r="K23" i="49"/>
  <c r="M23" i="49" s="1"/>
  <c r="O22" i="49"/>
  <c r="M22" i="49"/>
  <c r="K22" i="49"/>
  <c r="U21" i="49"/>
  <c r="O21" i="49"/>
  <c r="M21" i="49"/>
  <c r="K21" i="49"/>
  <c r="O20" i="49"/>
  <c r="M20" i="49"/>
  <c r="O19" i="49"/>
  <c r="K19" i="49"/>
  <c r="M19" i="49" s="1"/>
  <c r="O18" i="49"/>
  <c r="M18" i="49"/>
  <c r="K18" i="49"/>
  <c r="Y17" i="49"/>
  <c r="W17" i="49"/>
  <c r="O17" i="49"/>
  <c r="K17" i="49"/>
  <c r="M17" i="49" s="1"/>
  <c r="Y16" i="49"/>
  <c r="W16" i="49"/>
  <c r="L16" i="49"/>
  <c r="O16" i="49" s="1"/>
  <c r="K16" i="49"/>
  <c r="M16" i="49" s="1"/>
  <c r="O15" i="49"/>
  <c r="M15" i="49"/>
  <c r="K15" i="49"/>
  <c r="O14" i="49"/>
  <c r="K14" i="49"/>
  <c r="M14" i="49" s="1"/>
  <c r="O13" i="49"/>
  <c r="M13" i="49"/>
  <c r="K13" i="49"/>
  <c r="O12" i="49"/>
  <c r="K12" i="49"/>
  <c r="M12" i="49" s="1"/>
  <c r="O11" i="49"/>
  <c r="M11" i="49"/>
  <c r="K11" i="49"/>
  <c r="O10" i="49"/>
  <c r="K10" i="49"/>
  <c r="M10" i="49" s="1"/>
  <c r="O9" i="49"/>
  <c r="M9" i="49"/>
  <c r="K9" i="49"/>
  <c r="O8" i="49"/>
  <c r="K8" i="49"/>
  <c r="M8" i="49" s="1"/>
  <c r="O7" i="49"/>
  <c r="M7" i="49"/>
  <c r="K7" i="49"/>
  <c r="O6" i="49"/>
  <c r="K6" i="49"/>
  <c r="M6" i="49" s="1"/>
  <c r="O65" i="48"/>
  <c r="M65" i="48"/>
  <c r="O64" i="48"/>
  <c r="M64" i="48"/>
  <c r="O63" i="48"/>
  <c r="M63" i="48"/>
  <c r="O62" i="48"/>
  <c r="M62" i="48"/>
  <c r="O61" i="48"/>
  <c r="M61" i="48"/>
  <c r="O60" i="48"/>
  <c r="M60" i="48"/>
  <c r="O59" i="48"/>
  <c r="M59" i="48"/>
  <c r="M66" i="48" s="1"/>
  <c r="O57" i="48"/>
  <c r="O56" i="48"/>
  <c r="O66" i="48" s="1"/>
  <c r="M56" i="48"/>
  <c r="O55" i="48"/>
  <c r="M55" i="48"/>
  <c r="U51" i="48"/>
  <c r="O51" i="48"/>
  <c r="M51" i="48"/>
  <c r="O50" i="48"/>
  <c r="M50" i="48"/>
  <c r="O49" i="48"/>
  <c r="O48" i="48"/>
  <c r="M48" i="48"/>
  <c r="O47" i="48"/>
  <c r="M47" i="48"/>
  <c r="O46" i="48"/>
  <c r="M46" i="48"/>
  <c r="O45" i="48"/>
  <c r="M45" i="48"/>
  <c r="O44" i="48"/>
  <c r="M44" i="48"/>
  <c r="U43" i="48"/>
  <c r="O43" i="48"/>
  <c r="M43" i="48"/>
  <c r="O42" i="48"/>
  <c r="M42" i="48"/>
  <c r="O41" i="48"/>
  <c r="M41" i="48"/>
  <c r="O40" i="48"/>
  <c r="M40" i="48"/>
  <c r="O39" i="48"/>
  <c r="M39" i="48"/>
  <c r="O38" i="48"/>
  <c r="M38" i="48"/>
  <c r="O37" i="48"/>
  <c r="M37" i="48"/>
  <c r="U36" i="48"/>
  <c r="O36" i="48"/>
  <c r="M36" i="48"/>
  <c r="O33" i="48"/>
  <c r="K33" i="48"/>
  <c r="M33" i="48" s="1"/>
  <c r="O32" i="48"/>
  <c r="K32" i="48"/>
  <c r="M32" i="48" s="1"/>
  <c r="O31" i="48"/>
  <c r="K31" i="48"/>
  <c r="M31" i="48" s="1"/>
  <c r="O30" i="48"/>
  <c r="K30" i="48"/>
  <c r="M30" i="48" s="1"/>
  <c r="U28" i="48"/>
  <c r="L27" i="48"/>
  <c r="O27" i="48" s="1"/>
  <c r="K27" i="48"/>
  <c r="M27" i="48" s="1"/>
  <c r="U26" i="48"/>
  <c r="O26" i="48"/>
  <c r="K26" i="48"/>
  <c r="M26" i="48" s="1"/>
  <c r="O25" i="48"/>
  <c r="K25" i="48"/>
  <c r="M25" i="48" s="1"/>
  <c r="O24" i="48"/>
  <c r="K24" i="48"/>
  <c r="M24" i="48" s="1"/>
  <c r="O23" i="48"/>
  <c r="K23" i="48"/>
  <c r="M23" i="48" s="1"/>
  <c r="O22" i="48"/>
  <c r="K22" i="48"/>
  <c r="M22" i="48" s="1"/>
  <c r="U21" i="48"/>
  <c r="O21" i="48"/>
  <c r="K21" i="48"/>
  <c r="M21" i="48" s="1"/>
  <c r="O20" i="48"/>
  <c r="M20" i="48"/>
  <c r="O19" i="48"/>
  <c r="K19" i="48"/>
  <c r="M19" i="48" s="1"/>
  <c r="O18" i="48"/>
  <c r="K18" i="48"/>
  <c r="M18" i="48" s="1"/>
  <c r="W17" i="48"/>
  <c r="Y17" i="48" s="1"/>
  <c r="O17" i="48"/>
  <c r="K17" i="48"/>
  <c r="M17" i="48" s="1"/>
  <c r="W16" i="48"/>
  <c r="Y16" i="48" s="1"/>
  <c r="L16" i="48"/>
  <c r="O16" i="48" s="1"/>
  <c r="K16" i="48"/>
  <c r="M16" i="48" s="1"/>
  <c r="O15" i="48"/>
  <c r="K15" i="48"/>
  <c r="M15" i="48" s="1"/>
  <c r="O14" i="48"/>
  <c r="K14" i="48"/>
  <c r="M14" i="48" s="1"/>
  <c r="O13" i="48"/>
  <c r="K13" i="48"/>
  <c r="M13" i="48" s="1"/>
  <c r="O12" i="48"/>
  <c r="K12" i="48"/>
  <c r="M12" i="48" s="1"/>
  <c r="O11" i="48"/>
  <c r="K11" i="48"/>
  <c r="M11" i="48" s="1"/>
  <c r="O10" i="48"/>
  <c r="K10" i="48"/>
  <c r="M10" i="48" s="1"/>
  <c r="O9" i="48"/>
  <c r="K9" i="48"/>
  <c r="M9" i="48" s="1"/>
  <c r="O8" i="48"/>
  <c r="K8" i="48"/>
  <c r="M8" i="48" s="1"/>
  <c r="O7" i="48"/>
  <c r="K7" i="48"/>
  <c r="M7" i="48" s="1"/>
  <c r="O6" i="48"/>
  <c r="K6" i="48"/>
  <c r="M6" i="48" s="1"/>
  <c r="O63" i="47"/>
  <c r="M63" i="47"/>
  <c r="O62" i="47"/>
  <c r="M62" i="47"/>
  <c r="O61" i="47"/>
  <c r="M61" i="47"/>
  <c r="O60" i="47"/>
  <c r="M60" i="47"/>
  <c r="O59" i="47"/>
  <c r="M59" i="47"/>
  <c r="O58" i="47"/>
  <c r="M58" i="47"/>
  <c r="O57" i="47"/>
  <c r="M57" i="47"/>
  <c r="O56" i="47"/>
  <c r="M56" i="47"/>
  <c r="O54" i="47"/>
  <c r="O53" i="47"/>
  <c r="M53" i="47"/>
  <c r="O52" i="47"/>
  <c r="M52" i="47"/>
  <c r="U48" i="47"/>
  <c r="O48" i="47"/>
  <c r="M48" i="47"/>
  <c r="O47" i="47"/>
  <c r="M47" i="47"/>
  <c r="O46" i="47"/>
  <c r="O45" i="47"/>
  <c r="M45" i="47"/>
  <c r="O44" i="47"/>
  <c r="M44" i="47"/>
  <c r="O43" i="47"/>
  <c r="M43" i="47"/>
  <c r="O42" i="47"/>
  <c r="M42" i="47"/>
  <c r="O41" i="47"/>
  <c r="M41" i="47"/>
  <c r="O40" i="47"/>
  <c r="M40" i="47"/>
  <c r="O39" i="47"/>
  <c r="M39" i="47"/>
  <c r="O38" i="47"/>
  <c r="M38" i="47"/>
  <c r="O37" i="47"/>
  <c r="M37" i="47"/>
  <c r="O36" i="47"/>
  <c r="M36" i="47"/>
  <c r="U35" i="47"/>
  <c r="O35" i="47"/>
  <c r="M35" i="47"/>
  <c r="O34" i="47"/>
  <c r="M34" i="47"/>
  <c r="O33" i="47"/>
  <c r="M33" i="47"/>
  <c r="O32" i="47"/>
  <c r="M32" i="47"/>
  <c r="O31" i="47"/>
  <c r="M31" i="47"/>
  <c r="O30" i="47"/>
  <c r="M30" i="47"/>
  <c r="O29" i="47"/>
  <c r="M29" i="47"/>
  <c r="U28" i="47"/>
  <c r="O28" i="47"/>
  <c r="M28" i="47"/>
  <c r="O25" i="47"/>
  <c r="M25" i="47"/>
  <c r="K25" i="47"/>
  <c r="O24" i="47"/>
  <c r="M24" i="47"/>
  <c r="K24" i="47"/>
  <c r="O23" i="47"/>
  <c r="M23" i="47"/>
  <c r="K23" i="47"/>
  <c r="O22" i="47"/>
  <c r="M22" i="47"/>
  <c r="K22" i="47"/>
  <c r="O19" i="47"/>
  <c r="M19" i="47"/>
  <c r="K19" i="47"/>
  <c r="O18" i="47"/>
  <c r="M18" i="47"/>
  <c r="K18" i="47"/>
  <c r="O17" i="47"/>
  <c r="M17" i="47"/>
  <c r="K17" i="47"/>
  <c r="O16" i="47"/>
  <c r="M16" i="47"/>
  <c r="K16" i="47"/>
  <c r="O15" i="47"/>
  <c r="M15" i="47"/>
  <c r="K15" i="47"/>
  <c r="O14" i="47"/>
  <c r="M14" i="47"/>
  <c r="K14" i="47"/>
  <c r="O13" i="47"/>
  <c r="M13" i="47"/>
  <c r="L13" i="47"/>
  <c r="K13" i="47"/>
  <c r="O12" i="47"/>
  <c r="M12" i="47"/>
  <c r="K12" i="47"/>
  <c r="O11" i="47"/>
  <c r="M11" i="47"/>
  <c r="K11" i="47"/>
  <c r="O10" i="47"/>
  <c r="M10" i="47"/>
  <c r="K10" i="47"/>
  <c r="O9" i="47"/>
  <c r="M9" i="47"/>
  <c r="K9" i="47"/>
  <c r="O8" i="47"/>
  <c r="O7" i="47"/>
  <c r="M7" i="47"/>
  <c r="K7" i="47"/>
  <c r="O6" i="47"/>
  <c r="M6" i="47"/>
  <c r="L6" i="47"/>
  <c r="K6" i="47"/>
  <c r="O52" i="49" l="1"/>
  <c r="O66" i="49" s="1"/>
  <c r="O67" i="49" s="1"/>
  <c r="O68" i="49" s="1"/>
  <c r="O69" i="49" s="1"/>
  <c r="O53" i="48"/>
  <c r="O67" i="48" s="1"/>
  <c r="O68" i="48" s="1"/>
  <c r="O69" i="48" s="1"/>
  <c r="O70" i="48" s="1"/>
  <c r="O50" i="47"/>
  <c r="O64" i="47" s="1"/>
  <c r="O65" i="47" s="1"/>
  <c r="O66" i="47" s="1"/>
  <c r="O67" i="47" s="1"/>
  <c r="M50" i="47"/>
  <c r="Q74" i="47" s="1"/>
  <c r="S74" i="47" s="1"/>
  <c r="M58" i="50"/>
  <c r="Q82" i="50" s="1"/>
  <c r="S82" i="50" s="1"/>
  <c r="O58" i="50"/>
  <c r="O72" i="50" s="1"/>
  <c r="O73" i="50" s="1"/>
  <c r="M18" i="50"/>
  <c r="M52" i="49"/>
  <c r="Q76" i="49" s="1"/>
  <c r="S76" i="49" s="1"/>
  <c r="M53" i="48"/>
  <c r="Q77" i="48" s="1"/>
  <c r="S77" i="48" s="1"/>
  <c r="K13" i="45"/>
  <c r="K14" i="44"/>
  <c r="K19" i="44"/>
  <c r="M19" i="44" s="1"/>
  <c r="K10" i="41"/>
  <c r="O74" i="50" l="1"/>
  <c r="O75" i="50" s="1"/>
  <c r="O72" i="49"/>
  <c r="Q72" i="49" s="1"/>
  <c r="S72" i="49" s="1"/>
  <c r="O75" i="49"/>
  <c r="Q75" i="49" s="1"/>
  <c r="S75" i="49" s="1"/>
  <c r="O74" i="49"/>
  <c r="Q74" i="49" s="1"/>
  <c r="S74" i="49" s="1"/>
  <c r="O73" i="49"/>
  <c r="Q73" i="49" s="1"/>
  <c r="S73" i="49" s="1"/>
  <c r="O73" i="48"/>
  <c r="Q73" i="48" s="1"/>
  <c r="S73" i="48" s="1"/>
  <c r="O74" i="48"/>
  <c r="Q74" i="48" s="1"/>
  <c r="S74" i="48" s="1"/>
  <c r="O76" i="48"/>
  <c r="Q76" i="48" s="1"/>
  <c r="S76" i="48" s="1"/>
  <c r="O75" i="48"/>
  <c r="Q75" i="48" s="1"/>
  <c r="S75" i="48" s="1"/>
  <c r="O72" i="47"/>
  <c r="Q72" i="47" s="1"/>
  <c r="S72" i="47" s="1"/>
  <c r="O70" i="47"/>
  <c r="Q70" i="47" s="1"/>
  <c r="S70" i="47" s="1"/>
  <c r="O71" i="47"/>
  <c r="Q71" i="47" s="1"/>
  <c r="S71" i="47" s="1"/>
  <c r="O73" i="47"/>
  <c r="Q73" i="47" s="1"/>
  <c r="S73" i="47" s="1"/>
  <c r="V25" i="41"/>
  <c r="V33" i="41"/>
  <c r="V33" i="42"/>
  <c r="V28" i="42"/>
  <c r="V25" i="42"/>
  <c r="V40" i="45"/>
  <c r="V32" i="45"/>
  <c r="V25" i="45"/>
  <c r="V34" i="44"/>
  <c r="V25" i="44"/>
  <c r="M33" i="44"/>
  <c r="M32" i="41"/>
  <c r="O78" i="50" l="1"/>
  <c r="Q78" i="50" s="1"/>
  <c r="S78" i="50" s="1"/>
  <c r="O81" i="50"/>
  <c r="Q81" i="50" s="1"/>
  <c r="S81" i="50" s="1"/>
  <c r="O80" i="50"/>
  <c r="Q80" i="50" s="1"/>
  <c r="S80" i="50" s="1"/>
  <c r="O79" i="50"/>
  <c r="Q79" i="50" s="1"/>
  <c r="S79" i="50" s="1"/>
  <c r="F8" i="40"/>
  <c r="Y39" i="44" l="1"/>
  <c r="Y40" i="44"/>
  <c r="O41" i="41"/>
  <c r="M41" i="41"/>
  <c r="O40" i="41"/>
  <c r="M40" i="41"/>
  <c r="O36" i="41"/>
  <c r="M36" i="41"/>
  <c r="O37" i="41"/>
  <c r="M37" i="41"/>
  <c r="G13" i="46" l="1"/>
  <c r="G12" i="46"/>
  <c r="G11" i="46"/>
  <c r="G10" i="46"/>
  <c r="G9" i="46"/>
  <c r="G8" i="46"/>
  <c r="G7" i="46"/>
  <c r="G4" i="46"/>
  <c r="O16" i="45"/>
  <c r="K16" i="45"/>
  <c r="M16" i="45" s="1"/>
  <c r="L15" i="45"/>
  <c r="K15" i="45" s="1"/>
  <c r="M15" i="45" s="1"/>
  <c r="O14" i="45"/>
  <c r="K14" i="45"/>
  <c r="M14" i="45" s="1"/>
  <c r="O13" i="45"/>
  <c r="M13" i="45"/>
  <c r="O12" i="45"/>
  <c r="K12" i="45"/>
  <c r="M12" i="45" s="1"/>
  <c r="O11" i="45"/>
  <c r="K11" i="45"/>
  <c r="M11" i="45" s="1"/>
  <c r="O10" i="45"/>
  <c r="K10" i="45"/>
  <c r="M10" i="45" s="1"/>
  <c r="O9" i="45"/>
  <c r="K9" i="45"/>
  <c r="M9" i="45" s="1"/>
  <c r="O8" i="45"/>
  <c r="K8" i="45"/>
  <c r="M8" i="45" s="1"/>
  <c r="O7" i="45"/>
  <c r="K7" i="45"/>
  <c r="M7" i="45" s="1"/>
  <c r="O6" i="45"/>
  <c r="K6" i="45"/>
  <c r="M6" i="45" s="1"/>
  <c r="O15" i="45" l="1"/>
  <c r="O44" i="45"/>
  <c r="M44" i="45"/>
  <c r="O7" i="44"/>
  <c r="K7" i="44"/>
  <c r="M7" i="44" s="1"/>
  <c r="O45" i="41"/>
  <c r="M45" i="41"/>
  <c r="O14" i="44"/>
  <c r="M14" i="44"/>
  <c r="O10" i="44"/>
  <c r="K10" i="44"/>
  <c r="M10" i="44" s="1"/>
  <c r="O55" i="45"/>
  <c r="O54" i="45"/>
  <c r="M54" i="45"/>
  <c r="O53" i="45"/>
  <c r="M53" i="45"/>
  <c r="O52" i="45"/>
  <c r="M52" i="45"/>
  <c r="O51" i="45"/>
  <c r="M51" i="45"/>
  <c r="O50" i="45"/>
  <c r="M50" i="45"/>
  <c r="O49" i="45"/>
  <c r="M49" i="45"/>
  <c r="O48" i="45"/>
  <c r="M48" i="45"/>
  <c r="O46" i="45"/>
  <c r="O45" i="45"/>
  <c r="M45" i="45"/>
  <c r="O22" i="45"/>
  <c r="K22" i="45"/>
  <c r="M22" i="45" s="1"/>
  <c r="O21" i="45"/>
  <c r="K21" i="45"/>
  <c r="M21" i="45" s="1"/>
  <c r="O20" i="45"/>
  <c r="K20" i="45"/>
  <c r="M20" i="45" s="1"/>
  <c r="O19" i="45"/>
  <c r="K19" i="45"/>
  <c r="M19" i="45" s="1"/>
  <c r="V17" i="45"/>
  <c r="X16" i="45"/>
  <c r="Z16" i="45" s="1"/>
  <c r="X15" i="45"/>
  <c r="Z15" i="45" s="1"/>
  <c r="M55" i="45" l="1"/>
  <c r="O42" i="45"/>
  <c r="O56" i="45" s="1"/>
  <c r="O57" i="45" s="1"/>
  <c r="O58" i="45" s="1"/>
  <c r="O59" i="45" s="1"/>
  <c r="C6" i="40" s="1"/>
  <c r="M42" i="45"/>
  <c r="O10" i="41"/>
  <c r="M10" i="41"/>
  <c r="O56" i="44"/>
  <c r="M56" i="44"/>
  <c r="O55" i="44"/>
  <c r="M55" i="44"/>
  <c r="O54" i="44"/>
  <c r="M54" i="44"/>
  <c r="O53" i="44"/>
  <c r="M53" i="44"/>
  <c r="O52" i="44"/>
  <c r="M52" i="44"/>
  <c r="O51" i="44"/>
  <c r="M51" i="44"/>
  <c r="O50" i="44"/>
  <c r="M50" i="44"/>
  <c r="O48" i="44"/>
  <c r="O47" i="44"/>
  <c r="M47" i="44"/>
  <c r="O46" i="44"/>
  <c r="M46" i="44"/>
  <c r="O34" i="44"/>
  <c r="M34" i="44"/>
  <c r="O42" i="44"/>
  <c r="M42" i="44"/>
  <c r="O41" i="44"/>
  <c r="O40" i="44"/>
  <c r="M40" i="44"/>
  <c r="O39" i="44"/>
  <c r="M39" i="44"/>
  <c r="O38" i="44"/>
  <c r="M38" i="44"/>
  <c r="O33" i="44"/>
  <c r="O32" i="44"/>
  <c r="M32" i="44"/>
  <c r="O30" i="44"/>
  <c r="M30" i="44"/>
  <c r="O29" i="44"/>
  <c r="M29" i="44"/>
  <c r="O27" i="44"/>
  <c r="M27" i="44"/>
  <c r="O26" i="44"/>
  <c r="M26" i="44"/>
  <c r="O37" i="44"/>
  <c r="M37" i="44"/>
  <c r="O36" i="44"/>
  <c r="M36" i="44"/>
  <c r="O35" i="44"/>
  <c r="M35" i="44"/>
  <c r="O25" i="44"/>
  <c r="M25" i="44"/>
  <c r="O22" i="44"/>
  <c r="K22" i="44"/>
  <c r="M22" i="44" s="1"/>
  <c r="O21" i="44"/>
  <c r="K21" i="44"/>
  <c r="M21" i="44" s="1"/>
  <c r="O20" i="44"/>
  <c r="K20" i="44"/>
  <c r="M20" i="44" s="1"/>
  <c r="O19" i="44"/>
  <c r="K16" i="44"/>
  <c r="J16" i="44"/>
  <c r="O16" i="44" s="1"/>
  <c r="L15" i="44"/>
  <c r="O15" i="44" s="1"/>
  <c r="K15" i="44"/>
  <c r="M15" i="44" s="1"/>
  <c r="O13" i="44"/>
  <c r="K13" i="44"/>
  <c r="M13" i="44" s="1"/>
  <c r="O12" i="44"/>
  <c r="K12" i="44"/>
  <c r="M12" i="44" s="1"/>
  <c r="O11" i="44"/>
  <c r="K11" i="44"/>
  <c r="M11" i="44" s="1"/>
  <c r="O9" i="44"/>
  <c r="K9" i="44"/>
  <c r="M9" i="44" s="1"/>
  <c r="O8" i="44"/>
  <c r="K8" i="44"/>
  <c r="M8" i="44" s="1"/>
  <c r="O6" i="44"/>
  <c r="K6" i="44"/>
  <c r="M6" i="44" s="1"/>
  <c r="O56" i="42"/>
  <c r="M56" i="42"/>
  <c r="O55" i="42"/>
  <c r="M55" i="42"/>
  <c r="O54" i="42"/>
  <c r="M54" i="42"/>
  <c r="O53" i="42"/>
  <c r="M53" i="42"/>
  <c r="O52" i="42"/>
  <c r="M52" i="42"/>
  <c r="O51" i="42"/>
  <c r="M51" i="42"/>
  <c r="O50" i="42"/>
  <c r="M50" i="42"/>
  <c r="O48" i="42"/>
  <c r="O47" i="42"/>
  <c r="M47" i="42"/>
  <c r="O46" i="42"/>
  <c r="M46" i="42"/>
  <c r="O22" i="42"/>
  <c r="K22" i="42"/>
  <c r="M22" i="42" s="1"/>
  <c r="O21" i="42"/>
  <c r="K21" i="42"/>
  <c r="M21" i="42" s="1"/>
  <c r="O20" i="42"/>
  <c r="K20" i="42"/>
  <c r="M20" i="42" s="1"/>
  <c r="O19" i="42"/>
  <c r="K19" i="42"/>
  <c r="M19" i="42" s="1"/>
  <c r="V17" i="42"/>
  <c r="X16" i="42"/>
  <c r="Z16" i="42" s="1"/>
  <c r="X15" i="42"/>
  <c r="Z15" i="42" s="1"/>
  <c r="O66" i="41"/>
  <c r="M66" i="41"/>
  <c r="O65" i="41"/>
  <c r="M65" i="41"/>
  <c r="O64" i="41"/>
  <c r="M64" i="41"/>
  <c r="O63" i="41"/>
  <c r="M63" i="41"/>
  <c r="O62" i="41"/>
  <c r="M62" i="41"/>
  <c r="O61" i="41"/>
  <c r="M61" i="41"/>
  <c r="O60" i="41"/>
  <c r="M60" i="41"/>
  <c r="O58" i="41"/>
  <c r="O57" i="41"/>
  <c r="M57" i="41"/>
  <c r="O56" i="41"/>
  <c r="M56" i="41"/>
  <c r="O33" i="41"/>
  <c r="M33" i="41"/>
  <c r="O44" i="41"/>
  <c r="O43" i="41"/>
  <c r="M43" i="41"/>
  <c r="O42" i="41"/>
  <c r="M42" i="41"/>
  <c r="O39" i="41"/>
  <c r="M39" i="41"/>
  <c r="O38" i="41"/>
  <c r="M38" i="41"/>
  <c r="O32" i="41"/>
  <c r="O27" i="41"/>
  <c r="M27" i="41"/>
  <c r="O26" i="41"/>
  <c r="M26" i="41"/>
  <c r="O35" i="41"/>
  <c r="M35" i="41"/>
  <c r="O34" i="41"/>
  <c r="M34" i="41"/>
  <c r="O25" i="41"/>
  <c r="M25" i="41"/>
  <c r="O22" i="41"/>
  <c r="K22" i="41"/>
  <c r="M22" i="41" s="1"/>
  <c r="O21" i="41"/>
  <c r="K21" i="41"/>
  <c r="M21" i="41" s="1"/>
  <c r="O20" i="41"/>
  <c r="K20" i="41"/>
  <c r="M20" i="41" s="1"/>
  <c r="O19" i="41"/>
  <c r="K19" i="41"/>
  <c r="M19" i="41" s="1"/>
  <c r="O16" i="41"/>
  <c r="K16" i="41"/>
  <c r="M16" i="41" s="1"/>
  <c r="O15" i="41"/>
  <c r="K15" i="41"/>
  <c r="M15" i="41" s="1"/>
  <c r="O14" i="41"/>
  <c r="K14" i="41"/>
  <c r="M14" i="41" s="1"/>
  <c r="O13" i="41"/>
  <c r="K13" i="41"/>
  <c r="M13" i="41" s="1"/>
  <c r="L12" i="41"/>
  <c r="O12" i="41" s="1"/>
  <c r="O11" i="41"/>
  <c r="K11" i="41"/>
  <c r="M11" i="41" s="1"/>
  <c r="O9" i="41"/>
  <c r="K9" i="41"/>
  <c r="M9" i="41" s="1"/>
  <c r="O8" i="41"/>
  <c r="O7" i="41"/>
  <c r="K7" i="41"/>
  <c r="M7" i="41" s="1"/>
  <c r="L6" i="41"/>
  <c r="O6" i="41" s="1"/>
  <c r="K6" i="41"/>
  <c r="M6" i="41" s="1"/>
  <c r="M67" i="41" l="1"/>
  <c r="O57" i="44"/>
  <c r="O67" i="41"/>
  <c r="K12" i="41"/>
  <c r="M12" i="41" s="1"/>
  <c r="M54" i="41" s="1"/>
  <c r="Q66" i="45"/>
  <c r="S66" i="45" s="1"/>
  <c r="D6" i="40"/>
  <c r="O62" i="45"/>
  <c r="Q62" i="45" s="1"/>
  <c r="S62" i="45" s="1"/>
  <c r="O64" i="45"/>
  <c r="Q64" i="45" s="1"/>
  <c r="S64" i="45" s="1"/>
  <c r="O63" i="45"/>
  <c r="Q63" i="45" s="1"/>
  <c r="S63" i="45" s="1"/>
  <c r="O65" i="45"/>
  <c r="Q65" i="45" s="1"/>
  <c r="S65" i="45" s="1"/>
  <c r="M57" i="44"/>
  <c r="O57" i="42"/>
  <c r="M57" i="42"/>
  <c r="O44" i="42"/>
  <c r="O58" i="42" s="1"/>
  <c r="M44" i="42"/>
  <c r="O54" i="41"/>
  <c r="O68" i="41" s="1"/>
  <c r="O69" i="41" s="1"/>
  <c r="O70" i="41" s="1"/>
  <c r="O44" i="44"/>
  <c r="O58" i="44" s="1"/>
  <c r="O59" i="44" s="1"/>
  <c r="M16" i="44"/>
  <c r="M44" i="44" s="1"/>
  <c r="O59" i="42" l="1"/>
  <c r="O60" i="42" s="1"/>
  <c r="O61" i="42" s="1"/>
  <c r="C5" i="40" s="1"/>
  <c r="Q68" i="44"/>
  <c r="S68" i="44" s="1"/>
  <c r="D7" i="40"/>
  <c r="Q68" i="42"/>
  <c r="S68" i="42" s="1"/>
  <c r="D5" i="40"/>
  <c r="Q78" i="41"/>
  <c r="S78" i="41" s="1"/>
  <c r="D4" i="40"/>
  <c r="O71" i="41"/>
  <c r="O60" i="44"/>
  <c r="O61" i="44" s="1"/>
  <c r="C7" i="40" s="1"/>
  <c r="O40" i="36"/>
  <c r="M40" i="36"/>
  <c r="O41" i="36"/>
  <c r="M41" i="36"/>
  <c r="O64" i="42" l="1"/>
  <c r="Q64" i="42" s="1"/>
  <c r="S64" i="42" s="1"/>
  <c r="O65" i="42"/>
  <c r="Q65" i="42" s="1"/>
  <c r="S65" i="42" s="1"/>
  <c r="O66" i="42"/>
  <c r="Q66" i="42" s="1"/>
  <c r="S66" i="42" s="1"/>
  <c r="O67" i="42"/>
  <c r="Q67" i="42" s="1"/>
  <c r="S67" i="42" s="1"/>
  <c r="O74" i="41"/>
  <c r="Q74" i="41" s="1"/>
  <c r="S74" i="41" s="1"/>
  <c r="C4" i="40"/>
  <c r="O77" i="41"/>
  <c r="Q77" i="41" s="1"/>
  <c r="S77" i="41" s="1"/>
  <c r="O75" i="41"/>
  <c r="Q75" i="41" s="1"/>
  <c r="S75" i="41" s="1"/>
  <c r="O76" i="41"/>
  <c r="Q76" i="41" s="1"/>
  <c r="S76" i="41" s="1"/>
  <c r="O64" i="44"/>
  <c r="Q64" i="44" s="1"/>
  <c r="S64" i="44" s="1"/>
  <c r="O67" i="44"/>
  <c r="Q67" i="44" s="1"/>
  <c r="S67" i="44" s="1"/>
  <c r="O66" i="44"/>
  <c r="Q66" i="44" s="1"/>
  <c r="S66" i="44" s="1"/>
  <c r="O65" i="44"/>
  <c r="Q65" i="44" s="1"/>
  <c r="S65" i="44" s="1"/>
  <c r="O42" i="38"/>
  <c r="M42" i="38"/>
  <c r="K34" i="39" l="1"/>
  <c r="K30" i="38"/>
  <c r="K25" i="36"/>
  <c r="G24" i="27"/>
  <c r="H24" i="27" s="1"/>
  <c r="U25" i="37"/>
  <c r="Y14" i="37"/>
  <c r="Y15" i="37"/>
  <c r="W14" i="37"/>
  <c r="W15" i="37"/>
  <c r="U19" i="37"/>
  <c r="U24" i="37"/>
  <c r="O32" i="39"/>
  <c r="M32" i="39"/>
  <c r="K32" i="39"/>
  <c r="O28" i="38"/>
  <c r="K28" i="38"/>
  <c r="M28" i="38" s="1"/>
  <c r="L12" i="36" l="1"/>
  <c r="L14" i="37"/>
  <c r="L14" i="38"/>
  <c r="L15" i="39"/>
  <c r="K31" i="39" l="1"/>
  <c r="O42" i="37" l="1"/>
  <c r="M42" i="37"/>
  <c r="O41" i="37"/>
  <c r="M41" i="37"/>
  <c r="O41" i="38"/>
  <c r="M41" i="38"/>
  <c r="O45" i="39"/>
  <c r="M45" i="39"/>
  <c r="O47" i="39"/>
  <c r="M47" i="39"/>
  <c r="G43" i="39"/>
  <c r="K6" i="36"/>
  <c r="L6" i="36"/>
  <c r="O21" i="37"/>
  <c r="K21" i="37"/>
  <c r="M21" i="37" s="1"/>
  <c r="O20" i="37"/>
  <c r="K20" i="37"/>
  <c r="M20" i="37" s="1"/>
  <c r="O19" i="37"/>
  <c r="K19" i="37"/>
  <c r="M19" i="37" s="1"/>
  <c r="O18" i="37"/>
  <c r="M18" i="37"/>
  <c r="O17" i="37"/>
  <c r="K17" i="37"/>
  <c r="M17" i="37" s="1"/>
  <c r="O16" i="37"/>
  <c r="K16" i="37"/>
  <c r="M16" i="37" s="1"/>
  <c r="O12" i="37"/>
  <c r="K12" i="37"/>
  <c r="M12" i="37" s="1"/>
  <c r="O24" i="37"/>
  <c r="K24" i="37"/>
  <c r="M24" i="37" s="1"/>
  <c r="O23" i="37"/>
  <c r="K23" i="37"/>
  <c r="M23" i="37" s="1"/>
  <c r="O22" i="37"/>
  <c r="K22" i="37"/>
  <c r="M22" i="37" s="1"/>
  <c r="O11" i="37"/>
  <c r="K11" i="37"/>
  <c r="M11" i="37" s="1"/>
  <c r="O10" i="37"/>
  <c r="K10" i="37"/>
  <c r="M10" i="37" s="1"/>
  <c r="O9" i="37"/>
  <c r="K9" i="37"/>
  <c r="M9" i="37" s="1"/>
  <c r="O8" i="37"/>
  <c r="K8" i="37"/>
  <c r="M8" i="37" s="1"/>
  <c r="O7" i="37"/>
  <c r="K7" i="37"/>
  <c r="M7" i="37" s="1"/>
  <c r="O6" i="37"/>
  <c r="K6" i="37"/>
  <c r="M6" i="37" s="1"/>
  <c r="O21" i="38"/>
  <c r="K21" i="38"/>
  <c r="M21" i="38" s="1"/>
  <c r="O20" i="38"/>
  <c r="K20" i="38"/>
  <c r="M20" i="38" s="1"/>
  <c r="O19" i="38"/>
  <c r="K19" i="38"/>
  <c r="M19" i="38" s="1"/>
  <c r="O18" i="38"/>
  <c r="M18" i="38"/>
  <c r="O17" i="38"/>
  <c r="K17" i="38"/>
  <c r="M17" i="38" s="1"/>
  <c r="O16" i="38"/>
  <c r="K16" i="38"/>
  <c r="M16" i="38" s="1"/>
  <c r="O12" i="38"/>
  <c r="K12" i="38"/>
  <c r="M12" i="38" s="1"/>
  <c r="O24" i="38"/>
  <c r="K24" i="38"/>
  <c r="M24" i="38" s="1"/>
  <c r="O23" i="38"/>
  <c r="K23" i="38"/>
  <c r="M23" i="38" s="1"/>
  <c r="O22" i="38"/>
  <c r="K22" i="38"/>
  <c r="M22" i="38" s="1"/>
  <c r="O11" i="38"/>
  <c r="K11" i="38"/>
  <c r="M11" i="38" s="1"/>
  <c r="O10" i="38"/>
  <c r="K10" i="38"/>
  <c r="M10" i="38" s="1"/>
  <c r="O9" i="38"/>
  <c r="K9" i="38"/>
  <c r="M9" i="38" s="1"/>
  <c r="O8" i="38"/>
  <c r="K8" i="38"/>
  <c r="M8" i="38" s="1"/>
  <c r="O7" i="38"/>
  <c r="K7" i="38"/>
  <c r="M7" i="38" s="1"/>
  <c r="O6" i="38"/>
  <c r="K6" i="38"/>
  <c r="M6" i="38" s="1"/>
  <c r="O8" i="36" l="1"/>
  <c r="O68" i="39"/>
  <c r="M68" i="39"/>
  <c r="O67" i="39"/>
  <c r="M67" i="39"/>
  <c r="O66" i="39"/>
  <c r="M66" i="39"/>
  <c r="O65" i="39"/>
  <c r="M65" i="39"/>
  <c r="O64" i="39"/>
  <c r="M64" i="39"/>
  <c r="O63" i="39"/>
  <c r="M63" i="39"/>
  <c r="O62" i="39"/>
  <c r="M62" i="39"/>
  <c r="O60" i="39"/>
  <c r="O59" i="39"/>
  <c r="M59" i="39"/>
  <c r="O58" i="39"/>
  <c r="F21" i="27" s="1"/>
  <c r="M58" i="39"/>
  <c r="O54" i="39"/>
  <c r="M54" i="39"/>
  <c r="O53" i="39"/>
  <c r="M53" i="39"/>
  <c r="O52" i="39"/>
  <c r="O51" i="39"/>
  <c r="M51" i="39"/>
  <c r="O50" i="39"/>
  <c r="M50" i="39"/>
  <c r="O49" i="39"/>
  <c r="M49" i="39"/>
  <c r="O48" i="39"/>
  <c r="M48" i="39"/>
  <c r="O46" i="39"/>
  <c r="O44" i="39"/>
  <c r="M44" i="39"/>
  <c r="O43" i="39"/>
  <c r="M43" i="39"/>
  <c r="O42" i="39"/>
  <c r="M42" i="39"/>
  <c r="O41" i="39"/>
  <c r="M41" i="39"/>
  <c r="O40" i="39"/>
  <c r="M40" i="39"/>
  <c r="O39" i="39"/>
  <c r="M39" i="39"/>
  <c r="O38" i="39"/>
  <c r="M38" i="39"/>
  <c r="O37" i="39"/>
  <c r="M37" i="39"/>
  <c r="O34" i="39"/>
  <c r="M34" i="39"/>
  <c r="O33" i="39"/>
  <c r="K33" i="39"/>
  <c r="M33" i="39" s="1"/>
  <c r="O31" i="39"/>
  <c r="M31" i="39"/>
  <c r="O25" i="39"/>
  <c r="K25" i="39"/>
  <c r="M25" i="39" s="1"/>
  <c r="O13" i="39"/>
  <c r="K13" i="39"/>
  <c r="M13" i="39" s="1"/>
  <c r="O20" i="39"/>
  <c r="K20" i="39"/>
  <c r="M20" i="39" s="1"/>
  <c r="O19" i="39"/>
  <c r="K19" i="39"/>
  <c r="M19" i="39" s="1"/>
  <c r="O18" i="39"/>
  <c r="K18" i="39"/>
  <c r="M18" i="39" s="1"/>
  <c r="O17" i="39"/>
  <c r="M17" i="39"/>
  <c r="J16" i="39"/>
  <c r="O24" i="39"/>
  <c r="K24" i="39"/>
  <c r="M24" i="39" s="1"/>
  <c r="O23" i="39"/>
  <c r="K23" i="39"/>
  <c r="M23" i="39" s="1"/>
  <c r="O22" i="39"/>
  <c r="K22" i="39"/>
  <c r="M22" i="39" s="1"/>
  <c r="O21" i="39"/>
  <c r="K21" i="39"/>
  <c r="M21" i="39" s="1"/>
  <c r="O28" i="39"/>
  <c r="K28" i="39"/>
  <c r="M28" i="39" s="1"/>
  <c r="O27" i="39"/>
  <c r="K27" i="39"/>
  <c r="M27" i="39" s="1"/>
  <c r="O26" i="39"/>
  <c r="K26" i="39"/>
  <c r="M26" i="39" s="1"/>
  <c r="O12" i="39"/>
  <c r="K12" i="39"/>
  <c r="M12" i="39" s="1"/>
  <c r="O11" i="39"/>
  <c r="K11" i="39"/>
  <c r="M11" i="39" s="1"/>
  <c r="O10" i="39"/>
  <c r="K10" i="39"/>
  <c r="M10" i="39" s="1"/>
  <c r="O9" i="39"/>
  <c r="K9" i="39"/>
  <c r="M9" i="39" s="1"/>
  <c r="O8" i="39"/>
  <c r="K8" i="39"/>
  <c r="M8" i="39" s="1"/>
  <c r="O7" i="39"/>
  <c r="K7" i="39"/>
  <c r="M7" i="39" s="1"/>
  <c r="O6" i="39"/>
  <c r="K6" i="39"/>
  <c r="M6" i="39" s="1"/>
  <c r="O62" i="38"/>
  <c r="M62" i="38"/>
  <c r="O61" i="38"/>
  <c r="M61" i="38"/>
  <c r="O60" i="38"/>
  <c r="M60" i="38"/>
  <c r="O59" i="38"/>
  <c r="M59" i="38"/>
  <c r="O58" i="38"/>
  <c r="M58" i="38"/>
  <c r="O57" i="38"/>
  <c r="M57" i="38"/>
  <c r="O56" i="38"/>
  <c r="M56" i="38"/>
  <c r="O54" i="38"/>
  <c r="O53" i="38"/>
  <c r="M53" i="38"/>
  <c r="O52" i="38"/>
  <c r="M52" i="38"/>
  <c r="O48" i="38"/>
  <c r="M48" i="38"/>
  <c r="O47" i="38"/>
  <c r="M47" i="38"/>
  <c r="O46" i="38"/>
  <c r="O45" i="38"/>
  <c r="M45" i="38"/>
  <c r="O44" i="38"/>
  <c r="M44" i="38"/>
  <c r="O43" i="38"/>
  <c r="M43" i="38"/>
  <c r="O40" i="38"/>
  <c r="M40" i="38"/>
  <c r="O39" i="38"/>
  <c r="M39" i="38"/>
  <c r="O38" i="38"/>
  <c r="M38" i="38"/>
  <c r="O37" i="38"/>
  <c r="M37" i="38"/>
  <c r="O36" i="38"/>
  <c r="M36" i="38"/>
  <c r="O35" i="38"/>
  <c r="M35" i="38"/>
  <c r="O34" i="38"/>
  <c r="M34" i="38"/>
  <c r="O33" i="38"/>
  <c r="M33" i="38"/>
  <c r="O30" i="38"/>
  <c r="M30" i="38"/>
  <c r="O29" i="38"/>
  <c r="K29" i="38"/>
  <c r="M29" i="38" s="1"/>
  <c r="O27" i="38"/>
  <c r="K27" i="38"/>
  <c r="M27" i="38" s="1"/>
  <c r="O62" i="37"/>
  <c r="M62" i="37"/>
  <c r="O61" i="37"/>
  <c r="M61" i="37"/>
  <c r="O60" i="37"/>
  <c r="M60" i="37"/>
  <c r="O59" i="37"/>
  <c r="M59" i="37"/>
  <c r="O58" i="37"/>
  <c r="M58" i="37"/>
  <c r="O57" i="37"/>
  <c r="M57" i="37"/>
  <c r="O56" i="37"/>
  <c r="M56" i="37"/>
  <c r="O54" i="37"/>
  <c r="O53" i="37"/>
  <c r="M53" i="37"/>
  <c r="O52" i="37"/>
  <c r="M52" i="37"/>
  <c r="O48" i="37"/>
  <c r="M48" i="37"/>
  <c r="O47" i="37"/>
  <c r="M47" i="37"/>
  <c r="O46" i="37"/>
  <c r="O45" i="37"/>
  <c r="M45" i="37"/>
  <c r="O44" i="37"/>
  <c r="M44" i="37"/>
  <c r="O43" i="37"/>
  <c r="M43" i="37"/>
  <c r="O40" i="37"/>
  <c r="M40" i="37"/>
  <c r="O39" i="37"/>
  <c r="M39" i="37"/>
  <c r="O38" i="37"/>
  <c r="M38" i="37"/>
  <c r="O37" i="37"/>
  <c r="M37" i="37"/>
  <c r="O36" i="37"/>
  <c r="M36" i="37"/>
  <c r="O35" i="37"/>
  <c r="M35" i="37"/>
  <c r="O34" i="37"/>
  <c r="M34" i="37"/>
  <c r="O33" i="37"/>
  <c r="M33" i="37"/>
  <c r="O30" i="37"/>
  <c r="K30" i="37"/>
  <c r="M30" i="37" s="1"/>
  <c r="O29" i="37"/>
  <c r="K29" i="37"/>
  <c r="M29" i="37" s="1"/>
  <c r="O28" i="37"/>
  <c r="K28" i="37"/>
  <c r="M28" i="37" s="1"/>
  <c r="O27" i="37"/>
  <c r="K27" i="37"/>
  <c r="M27" i="37" s="1"/>
  <c r="O57" i="36"/>
  <c r="M57" i="36"/>
  <c r="O56" i="36"/>
  <c r="M56" i="36"/>
  <c r="O55" i="36"/>
  <c r="M55" i="36"/>
  <c r="O54" i="36"/>
  <c r="M54" i="36"/>
  <c r="O53" i="36"/>
  <c r="M53" i="36"/>
  <c r="O52" i="36"/>
  <c r="M52" i="36"/>
  <c r="O51" i="36"/>
  <c r="M51" i="36"/>
  <c r="O49" i="36"/>
  <c r="O48" i="36"/>
  <c r="M48" i="36"/>
  <c r="O47" i="36"/>
  <c r="F18" i="27" s="1"/>
  <c r="M47" i="36"/>
  <c r="O43" i="36"/>
  <c r="M43" i="36"/>
  <c r="O42" i="36"/>
  <c r="O39" i="36"/>
  <c r="M39" i="36"/>
  <c r="O38" i="36"/>
  <c r="M38" i="36"/>
  <c r="O37" i="36"/>
  <c r="M37" i="36"/>
  <c r="O36" i="36"/>
  <c r="O35" i="36"/>
  <c r="M35" i="36"/>
  <c r="O34" i="36"/>
  <c r="M34" i="36"/>
  <c r="O33" i="36"/>
  <c r="M33" i="36"/>
  <c r="O32" i="36"/>
  <c r="M32" i="36"/>
  <c r="O31" i="36"/>
  <c r="M31" i="36"/>
  <c r="O30" i="36"/>
  <c r="M30" i="36"/>
  <c r="O29" i="36"/>
  <c r="M29" i="36"/>
  <c r="O28" i="36"/>
  <c r="M28" i="36"/>
  <c r="O25" i="36"/>
  <c r="M25" i="36"/>
  <c r="O24" i="36"/>
  <c r="K24" i="36"/>
  <c r="M24" i="36" s="1"/>
  <c r="O23" i="36"/>
  <c r="K23" i="36"/>
  <c r="M23" i="36" s="1"/>
  <c r="O22" i="36"/>
  <c r="K22" i="36"/>
  <c r="M22" i="36" s="1"/>
  <c r="O19" i="36"/>
  <c r="K19" i="36"/>
  <c r="M19" i="36" s="1"/>
  <c r="O18" i="36"/>
  <c r="K18" i="36"/>
  <c r="M18" i="36" s="1"/>
  <c r="O17" i="36"/>
  <c r="M17" i="36"/>
  <c r="O9" i="36"/>
  <c r="K9" i="36"/>
  <c r="M9" i="36" s="1"/>
  <c r="O7" i="36"/>
  <c r="M7" i="36"/>
  <c r="K7" i="36"/>
  <c r="O6" i="36"/>
  <c r="M6" i="36"/>
  <c r="F20" i="27" l="1"/>
  <c r="O63" i="37"/>
  <c r="F19" i="27"/>
  <c r="F22" i="27" s="1"/>
  <c r="F24" i="27" s="1"/>
  <c r="M69" i="39"/>
  <c r="O63" i="38"/>
  <c r="M63" i="38"/>
  <c r="M63" i="37"/>
  <c r="O69" i="39"/>
  <c r="M58" i="36"/>
  <c r="O58" i="36"/>
  <c r="M46" i="39"/>
  <c r="M36" i="36"/>
  <c r="K20" i="35"/>
  <c r="K19" i="35"/>
  <c r="AF19" i="22"/>
  <c r="AD20" i="22"/>
  <c r="K12" i="33" l="1"/>
  <c r="M12" i="33"/>
  <c r="O12" i="33"/>
  <c r="O46" i="22" l="1"/>
  <c r="M46" i="22"/>
  <c r="O46" i="35"/>
  <c r="M46" i="35"/>
  <c r="M19" i="35" l="1"/>
  <c r="K20" i="22"/>
  <c r="K19" i="22"/>
  <c r="K14" i="17"/>
  <c r="K13" i="17"/>
  <c r="O22" i="35"/>
  <c r="K22" i="35"/>
  <c r="M22" i="35" s="1"/>
  <c r="O21" i="35"/>
  <c r="M21" i="35"/>
  <c r="O20" i="35"/>
  <c r="M20" i="35"/>
  <c r="O19" i="35"/>
  <c r="O18" i="35"/>
  <c r="K18" i="35"/>
  <c r="M18" i="35" s="1"/>
  <c r="L17" i="35"/>
  <c r="O17" i="35" s="1"/>
  <c r="K17" i="35"/>
  <c r="M17" i="35" s="1"/>
  <c r="O24" i="35"/>
  <c r="K24" i="35"/>
  <c r="M24" i="35" s="1"/>
  <c r="O23" i="35"/>
  <c r="K23" i="35"/>
  <c r="M23" i="35" s="1"/>
  <c r="O16" i="35"/>
  <c r="M16" i="35"/>
  <c r="K16" i="35"/>
  <c r="O15" i="35"/>
  <c r="K15" i="35"/>
  <c r="M15" i="35" s="1"/>
  <c r="O14" i="35"/>
  <c r="K14" i="35"/>
  <c r="M14" i="35" s="1"/>
  <c r="O13" i="35"/>
  <c r="K13" i="35"/>
  <c r="M13" i="35" s="1"/>
  <c r="O12" i="35"/>
  <c r="K12" i="35"/>
  <c r="M12" i="35" s="1"/>
  <c r="O11" i="35"/>
  <c r="K11" i="35"/>
  <c r="M11" i="35" s="1"/>
  <c r="O10" i="35"/>
  <c r="K10" i="35"/>
  <c r="M10" i="35" s="1"/>
  <c r="O9" i="35"/>
  <c r="K9" i="35"/>
  <c r="M9" i="35" s="1"/>
  <c r="O8" i="35"/>
  <c r="K8" i="35"/>
  <c r="M8" i="35" s="1"/>
  <c r="O7" i="35"/>
  <c r="K7" i="35"/>
  <c r="M7" i="35" s="1"/>
  <c r="O6" i="35"/>
  <c r="K6" i="35"/>
  <c r="M6" i="35" s="1"/>
  <c r="O20" i="22"/>
  <c r="M20" i="22"/>
  <c r="O19" i="22" l="1"/>
  <c r="M19" i="22"/>
  <c r="O51" i="33"/>
  <c r="W35" i="33"/>
  <c r="M51" i="33" l="1"/>
  <c r="O15" i="33"/>
  <c r="K15" i="33"/>
  <c r="M15" i="33" s="1"/>
  <c r="O14" i="33"/>
  <c r="K14" i="33"/>
  <c r="M14" i="33" s="1"/>
  <c r="O22" i="22"/>
  <c r="K22" i="22"/>
  <c r="M22" i="22" s="1"/>
  <c r="O21" i="22"/>
  <c r="M21" i="22"/>
  <c r="O18" i="22"/>
  <c r="K18" i="22"/>
  <c r="M18" i="22" s="1"/>
  <c r="L17" i="22"/>
  <c r="O17" i="22" s="1"/>
  <c r="K17" i="22"/>
  <c r="M17" i="22" s="1"/>
  <c r="O24" i="22"/>
  <c r="K24" i="22"/>
  <c r="M24" i="22" s="1"/>
  <c r="O23" i="22"/>
  <c r="K23" i="22"/>
  <c r="M23" i="22" s="1"/>
  <c r="O16" i="22"/>
  <c r="K16" i="22"/>
  <c r="M16" i="22" s="1"/>
  <c r="O15" i="22"/>
  <c r="K15" i="22"/>
  <c r="M15" i="22" s="1"/>
  <c r="O14" i="22"/>
  <c r="K14" i="22"/>
  <c r="M14" i="22" s="1"/>
  <c r="O13" i="22"/>
  <c r="K13" i="22"/>
  <c r="M13" i="22" s="1"/>
  <c r="O12" i="22"/>
  <c r="K12" i="22"/>
  <c r="M12" i="22" s="1"/>
  <c r="O11" i="22"/>
  <c r="M11" i="22"/>
  <c r="K11" i="22"/>
  <c r="O10" i="22"/>
  <c r="K10" i="22"/>
  <c r="M10" i="22" s="1"/>
  <c r="O9" i="22"/>
  <c r="K9" i="22"/>
  <c r="M9" i="22" s="1"/>
  <c r="O8" i="22"/>
  <c r="K8" i="22"/>
  <c r="M8" i="22" s="1"/>
  <c r="O7" i="22"/>
  <c r="K7" i="22"/>
  <c r="M7" i="22" s="1"/>
  <c r="O6" i="22"/>
  <c r="K6" i="22"/>
  <c r="M6" i="22" s="1"/>
  <c r="O12" i="17" l="1"/>
  <c r="K12" i="17"/>
  <c r="M12" i="17" s="1"/>
  <c r="L11" i="17"/>
  <c r="O11" i="17" s="1"/>
  <c r="K11" i="17"/>
  <c r="M11" i="17" s="1"/>
  <c r="L21" i="33"/>
  <c r="K21" i="33" s="1"/>
  <c r="M21" i="33" s="1"/>
  <c r="K22" i="33"/>
  <c r="J22" i="33"/>
  <c r="O22" i="33" s="1"/>
  <c r="O21" i="33"/>
  <c r="M22" i="33" l="1"/>
  <c r="K28" i="33" l="1"/>
  <c r="K19" i="33"/>
  <c r="K18" i="33"/>
  <c r="M18" i="33" s="1"/>
  <c r="K17" i="33"/>
  <c r="K16" i="33"/>
  <c r="M16" i="33" s="1"/>
  <c r="M17" i="33"/>
  <c r="O20" i="33"/>
  <c r="O19" i="33"/>
  <c r="O18" i="33"/>
  <c r="O17" i="33"/>
  <c r="O16" i="33"/>
  <c r="M19" i="33"/>
  <c r="O28" i="33" l="1"/>
  <c r="M28" i="33"/>
  <c r="K13" i="33" l="1"/>
  <c r="O13" i="33" l="1"/>
  <c r="M13" i="33"/>
  <c r="O44" i="33" l="1"/>
  <c r="M44" i="33"/>
  <c r="K27" i="33"/>
  <c r="K11" i="33"/>
  <c r="K10" i="33"/>
  <c r="K9" i="33"/>
  <c r="K8" i="33"/>
  <c r="K7" i="33"/>
  <c r="K6" i="33"/>
  <c r="M6" i="33" s="1"/>
  <c r="O61" i="35"/>
  <c r="M61" i="35"/>
  <c r="O60" i="35"/>
  <c r="M60" i="35"/>
  <c r="O59" i="35"/>
  <c r="M59" i="35"/>
  <c r="O58" i="35"/>
  <c r="M58" i="35"/>
  <c r="O57" i="35"/>
  <c r="M57" i="35"/>
  <c r="O56" i="35"/>
  <c r="M56" i="35"/>
  <c r="O55" i="35"/>
  <c r="M55" i="35"/>
  <c r="M62" i="35" s="1"/>
  <c r="O53" i="35"/>
  <c r="O52" i="35"/>
  <c r="M52" i="35"/>
  <c r="O51" i="35"/>
  <c r="M51" i="35"/>
  <c r="O47" i="35"/>
  <c r="M47" i="35"/>
  <c r="O45" i="35"/>
  <c r="O44" i="35"/>
  <c r="M44" i="35"/>
  <c r="O43" i="35"/>
  <c r="M43" i="35"/>
  <c r="O42" i="35"/>
  <c r="M42" i="35"/>
  <c r="J41" i="35"/>
  <c r="O41" i="35" s="1"/>
  <c r="O40" i="35"/>
  <c r="M40" i="35"/>
  <c r="O39" i="35"/>
  <c r="M39" i="35"/>
  <c r="O38" i="35"/>
  <c r="M38" i="35"/>
  <c r="O37" i="35"/>
  <c r="M37" i="35"/>
  <c r="O36" i="35"/>
  <c r="M36" i="35"/>
  <c r="O35" i="35"/>
  <c r="M35" i="35"/>
  <c r="O34" i="35"/>
  <c r="M34" i="35"/>
  <c r="O33" i="35"/>
  <c r="M33" i="35"/>
  <c r="O30" i="35"/>
  <c r="K30" i="35"/>
  <c r="M30" i="35" s="1"/>
  <c r="O29" i="35"/>
  <c r="K29" i="35"/>
  <c r="M29" i="35" s="1"/>
  <c r="O28" i="35"/>
  <c r="K28" i="35"/>
  <c r="M28" i="35" s="1"/>
  <c r="O27" i="35"/>
  <c r="K27" i="35"/>
  <c r="M27" i="35" s="1"/>
  <c r="K8" i="17"/>
  <c r="K7" i="17"/>
  <c r="K6" i="17"/>
  <c r="O49" i="35" l="1"/>
  <c r="O63" i="35" s="1"/>
  <c r="O64" i="35" s="1"/>
  <c r="O65" i="35" s="1"/>
  <c r="O62" i="35"/>
  <c r="M41" i="35"/>
  <c r="M49" i="35" s="1"/>
  <c r="Q73" i="35" s="1"/>
  <c r="S73" i="35" s="1"/>
  <c r="O66" i="35" l="1"/>
  <c r="O71" i="35" s="1"/>
  <c r="Q71" i="35" s="1"/>
  <c r="S71" i="35" s="1"/>
  <c r="O70" i="35" l="1"/>
  <c r="Q70" i="35" s="1"/>
  <c r="S70" i="35" s="1"/>
  <c r="O72" i="35"/>
  <c r="Q72" i="35" s="1"/>
  <c r="S72" i="35" s="1"/>
  <c r="O69" i="35"/>
  <c r="Q69" i="35" s="1"/>
  <c r="S69" i="35" s="1"/>
  <c r="O10" i="17" l="1"/>
  <c r="K10" i="17"/>
  <c r="M10" i="17" s="1"/>
  <c r="E8" i="27" l="1"/>
  <c r="E7" i="27"/>
  <c r="K20" i="33"/>
  <c r="E12" i="27"/>
  <c r="B12" i="27"/>
  <c r="B11" i="27"/>
  <c r="B8" i="27"/>
  <c r="B7" i="27"/>
  <c r="O11" i="33" l="1"/>
  <c r="M11" i="33"/>
  <c r="O10" i="33"/>
  <c r="M10" i="33"/>
  <c r="O9" i="33"/>
  <c r="M9" i="33"/>
  <c r="O8" i="33"/>
  <c r="M8" i="33"/>
  <c r="M20" i="33"/>
  <c r="O66" i="33"/>
  <c r="M66" i="33"/>
  <c r="O65" i="33"/>
  <c r="M65" i="33"/>
  <c r="O64" i="33"/>
  <c r="M64" i="33"/>
  <c r="O63" i="33"/>
  <c r="M63" i="33"/>
  <c r="O62" i="33"/>
  <c r="M62" i="33"/>
  <c r="O61" i="33"/>
  <c r="M61" i="33"/>
  <c r="O60" i="33"/>
  <c r="M60" i="33"/>
  <c r="O58" i="33"/>
  <c r="O57" i="33"/>
  <c r="M57" i="33"/>
  <c r="O56" i="33"/>
  <c r="M56" i="33"/>
  <c r="O52" i="33"/>
  <c r="M52" i="33"/>
  <c r="O50" i="33"/>
  <c r="O49" i="33"/>
  <c r="M49" i="33"/>
  <c r="O48" i="33"/>
  <c r="M48" i="33"/>
  <c r="O47" i="33"/>
  <c r="M47" i="33"/>
  <c r="O46" i="33"/>
  <c r="M46" i="33"/>
  <c r="J45" i="33"/>
  <c r="O45" i="33" s="1"/>
  <c r="O43" i="33"/>
  <c r="M43" i="33"/>
  <c r="O42" i="33"/>
  <c r="M42" i="33"/>
  <c r="O41" i="33"/>
  <c r="M41" i="33"/>
  <c r="O40" i="33"/>
  <c r="M40" i="33"/>
  <c r="O39" i="33"/>
  <c r="M39" i="33"/>
  <c r="O38" i="33"/>
  <c r="M38" i="33"/>
  <c r="O37" i="33"/>
  <c r="M37" i="33"/>
  <c r="O34" i="33"/>
  <c r="K34" i="33"/>
  <c r="M34" i="33" s="1"/>
  <c r="O33" i="33"/>
  <c r="K33" i="33"/>
  <c r="M33" i="33" s="1"/>
  <c r="O32" i="33"/>
  <c r="K32" i="33"/>
  <c r="M32" i="33" s="1"/>
  <c r="O31" i="33"/>
  <c r="K31" i="33"/>
  <c r="M31" i="33" s="1"/>
  <c r="O26" i="33"/>
  <c r="K26" i="33"/>
  <c r="M26" i="33" s="1"/>
  <c r="O25" i="33"/>
  <c r="K25" i="33"/>
  <c r="M25" i="33" s="1"/>
  <c r="O27" i="33"/>
  <c r="M27" i="33"/>
  <c r="O7" i="33"/>
  <c r="M7" i="33"/>
  <c r="O6" i="33"/>
  <c r="O24" i="33"/>
  <c r="K24" i="33"/>
  <c r="M24" i="33" s="1"/>
  <c r="O23" i="33"/>
  <c r="M23" i="33"/>
  <c r="O54" i="32"/>
  <c r="M54" i="32"/>
  <c r="O53" i="32"/>
  <c r="M53" i="32"/>
  <c r="O52" i="32"/>
  <c r="M52" i="32"/>
  <c r="O51" i="32"/>
  <c r="M51" i="32"/>
  <c r="O50" i="32"/>
  <c r="M50" i="32"/>
  <c r="O49" i="32"/>
  <c r="M49" i="32"/>
  <c r="O48" i="32"/>
  <c r="M48" i="32"/>
  <c r="O46" i="32"/>
  <c r="O45" i="32"/>
  <c r="O55" i="32" s="1"/>
  <c r="M45" i="32"/>
  <c r="M55" i="32" s="1"/>
  <c r="O44" i="32"/>
  <c r="M44" i="32"/>
  <c r="O40" i="32"/>
  <c r="M40" i="32"/>
  <c r="O39" i="32"/>
  <c r="O38" i="32"/>
  <c r="M38" i="32"/>
  <c r="O37" i="32"/>
  <c r="M37" i="32"/>
  <c r="O36" i="32"/>
  <c r="M36" i="32"/>
  <c r="J35" i="32"/>
  <c r="O35" i="32" s="1"/>
  <c r="O34" i="32"/>
  <c r="M34" i="32"/>
  <c r="O33" i="32"/>
  <c r="M33" i="32"/>
  <c r="O32" i="32"/>
  <c r="M32" i="32"/>
  <c r="O31" i="32"/>
  <c r="M31" i="32"/>
  <c r="O30" i="32"/>
  <c r="M30" i="32"/>
  <c r="O29" i="32"/>
  <c r="M29" i="32"/>
  <c r="O28" i="32"/>
  <c r="M28" i="32"/>
  <c r="O27" i="32"/>
  <c r="M27" i="32"/>
  <c r="O24" i="32"/>
  <c r="M24" i="32"/>
  <c r="K24" i="32"/>
  <c r="O23" i="32"/>
  <c r="K23" i="32"/>
  <c r="M23" i="32" s="1"/>
  <c r="O22" i="32"/>
  <c r="M22" i="32"/>
  <c r="K22" i="32"/>
  <c r="O21" i="32"/>
  <c r="K21" i="32"/>
  <c r="M21" i="32" s="1"/>
  <c r="O18" i="32"/>
  <c r="M18" i="32"/>
  <c r="K18" i="32"/>
  <c r="O17" i="32"/>
  <c r="K17" i="32"/>
  <c r="M17" i="32" s="1"/>
  <c r="O16" i="32"/>
  <c r="M16" i="32"/>
  <c r="K16" i="32"/>
  <c r="O15" i="32"/>
  <c r="K15" i="32"/>
  <c r="M15" i="32" s="1"/>
  <c r="O14" i="32"/>
  <c r="M14" i="32"/>
  <c r="K14" i="32"/>
  <c r="O13" i="32"/>
  <c r="K13" i="32"/>
  <c r="M13" i="32" s="1"/>
  <c r="O12" i="32"/>
  <c r="M12" i="32"/>
  <c r="K12" i="32"/>
  <c r="O11" i="32"/>
  <c r="K11" i="32"/>
  <c r="M11" i="32" s="1"/>
  <c r="O10" i="32"/>
  <c r="M10" i="32"/>
  <c r="K10" i="32"/>
  <c r="O9" i="32"/>
  <c r="K9" i="32"/>
  <c r="M9" i="32" s="1"/>
  <c r="O8" i="32"/>
  <c r="M8" i="32"/>
  <c r="K8" i="32"/>
  <c r="O7" i="32"/>
  <c r="K7" i="32"/>
  <c r="M7" i="32" s="1"/>
  <c r="O6" i="32"/>
  <c r="M6" i="32"/>
  <c r="O58" i="30"/>
  <c r="M58" i="30"/>
  <c r="O57" i="30"/>
  <c r="M57" i="30"/>
  <c r="O56" i="30"/>
  <c r="M56" i="30"/>
  <c r="O55" i="30"/>
  <c r="M55" i="30"/>
  <c r="O54" i="30"/>
  <c r="M54" i="30"/>
  <c r="O53" i="30"/>
  <c r="M53" i="30"/>
  <c r="O52" i="30"/>
  <c r="M52" i="30"/>
  <c r="O50" i="30"/>
  <c r="O49" i="30"/>
  <c r="M49" i="30"/>
  <c r="O48" i="30"/>
  <c r="M48" i="30"/>
  <c r="O44" i="30"/>
  <c r="M44" i="30"/>
  <c r="O43" i="30"/>
  <c r="O42" i="30"/>
  <c r="M42" i="30"/>
  <c r="O41" i="30"/>
  <c r="M41" i="30"/>
  <c r="O40" i="30"/>
  <c r="M40" i="30"/>
  <c r="J39" i="30"/>
  <c r="O39" i="30" s="1"/>
  <c r="O38" i="30"/>
  <c r="M38" i="30"/>
  <c r="O37" i="30"/>
  <c r="M37" i="30"/>
  <c r="O36" i="30"/>
  <c r="M36" i="30"/>
  <c r="O35" i="30"/>
  <c r="M35" i="30"/>
  <c r="O34" i="30"/>
  <c r="M34" i="30"/>
  <c r="O33" i="30"/>
  <c r="M33" i="30"/>
  <c r="O32" i="30"/>
  <c r="M32" i="30"/>
  <c r="O31" i="30"/>
  <c r="M31" i="30"/>
  <c r="O28" i="30"/>
  <c r="K28" i="30"/>
  <c r="M28" i="30" s="1"/>
  <c r="O27" i="30"/>
  <c r="K27" i="30"/>
  <c r="M27" i="30" s="1"/>
  <c r="O26" i="30"/>
  <c r="M26" i="30"/>
  <c r="K26" i="30"/>
  <c r="O25" i="30"/>
  <c r="K25" i="30"/>
  <c r="M25" i="30" s="1"/>
  <c r="O21" i="30"/>
  <c r="K21" i="30"/>
  <c r="M21" i="30" s="1"/>
  <c r="O20" i="30"/>
  <c r="K20" i="30"/>
  <c r="M20" i="30" s="1"/>
  <c r="O19" i="30"/>
  <c r="M19" i="30"/>
  <c r="K19" i="30"/>
  <c r="O18" i="30"/>
  <c r="K18" i="30"/>
  <c r="M18" i="30" s="1"/>
  <c r="O17" i="30"/>
  <c r="K17" i="30"/>
  <c r="M17" i="30" s="1"/>
  <c r="O16" i="30"/>
  <c r="K16" i="30"/>
  <c r="M16" i="30" s="1"/>
  <c r="O15" i="30"/>
  <c r="K15" i="30"/>
  <c r="M15" i="30" s="1"/>
  <c r="O14" i="30"/>
  <c r="K14" i="30"/>
  <c r="M14" i="30" s="1"/>
  <c r="O13" i="30"/>
  <c r="K13" i="30"/>
  <c r="M13" i="30" s="1"/>
  <c r="O12" i="30"/>
  <c r="K12" i="30"/>
  <c r="M12" i="30" s="1"/>
  <c r="O11" i="30"/>
  <c r="K11" i="30"/>
  <c r="M11" i="30" s="1"/>
  <c r="O10" i="30"/>
  <c r="K10" i="30"/>
  <c r="M10" i="30" s="1"/>
  <c r="O9" i="30"/>
  <c r="K9" i="30"/>
  <c r="M9" i="30" s="1"/>
  <c r="O22" i="30"/>
  <c r="K22" i="30"/>
  <c r="M22" i="30" s="1"/>
  <c r="O8" i="30"/>
  <c r="K8" i="30"/>
  <c r="M8" i="30" s="1"/>
  <c r="O7" i="30"/>
  <c r="K7" i="30"/>
  <c r="M7" i="30" s="1"/>
  <c r="O6" i="30"/>
  <c r="M6" i="30"/>
  <c r="O54" i="29"/>
  <c r="M54" i="29"/>
  <c r="O53" i="29"/>
  <c r="M53" i="29"/>
  <c r="O52" i="29"/>
  <c r="M52" i="29"/>
  <c r="O51" i="29"/>
  <c r="M51" i="29"/>
  <c r="O50" i="29"/>
  <c r="M50" i="29"/>
  <c r="O49" i="29"/>
  <c r="M49" i="29"/>
  <c r="O48" i="29"/>
  <c r="M48" i="29"/>
  <c r="O46" i="29"/>
  <c r="O45" i="29"/>
  <c r="M45" i="29"/>
  <c r="O44" i="29"/>
  <c r="M44" i="29"/>
  <c r="O40" i="29"/>
  <c r="M40" i="29"/>
  <c r="O39" i="29"/>
  <c r="O38" i="29"/>
  <c r="M38" i="29"/>
  <c r="O37" i="29"/>
  <c r="M37" i="29"/>
  <c r="O36" i="29"/>
  <c r="M36" i="29"/>
  <c r="J35" i="29"/>
  <c r="O35" i="29" s="1"/>
  <c r="O34" i="29"/>
  <c r="M34" i="29"/>
  <c r="O33" i="29"/>
  <c r="M33" i="29"/>
  <c r="O32" i="29"/>
  <c r="M32" i="29"/>
  <c r="O31" i="29"/>
  <c r="M31" i="29"/>
  <c r="O30" i="29"/>
  <c r="M30" i="29"/>
  <c r="O29" i="29"/>
  <c r="M29" i="29"/>
  <c r="O28" i="29"/>
  <c r="M28" i="29"/>
  <c r="O27" i="29"/>
  <c r="M27" i="29"/>
  <c r="O24" i="29"/>
  <c r="K24" i="29"/>
  <c r="M24" i="29" s="1"/>
  <c r="O23" i="29"/>
  <c r="K23" i="29"/>
  <c r="M23" i="29" s="1"/>
  <c r="O22" i="29"/>
  <c r="K22" i="29"/>
  <c r="M22" i="29" s="1"/>
  <c r="O21" i="29"/>
  <c r="K21" i="29"/>
  <c r="M21" i="29" s="1"/>
  <c r="O17" i="29"/>
  <c r="K17" i="29"/>
  <c r="M17" i="29" s="1"/>
  <c r="O16" i="29"/>
  <c r="K16" i="29"/>
  <c r="M16" i="29" s="1"/>
  <c r="O15" i="29"/>
  <c r="K15" i="29"/>
  <c r="M15" i="29" s="1"/>
  <c r="O14" i="29"/>
  <c r="K14" i="29"/>
  <c r="M14" i="29" s="1"/>
  <c r="O13" i="29"/>
  <c r="K13" i="29"/>
  <c r="M13" i="29" s="1"/>
  <c r="O12" i="29"/>
  <c r="K12" i="29"/>
  <c r="M12" i="29" s="1"/>
  <c r="O11" i="29"/>
  <c r="K11" i="29"/>
  <c r="M11" i="29" s="1"/>
  <c r="O10" i="29"/>
  <c r="K10" i="29"/>
  <c r="M10" i="29" s="1"/>
  <c r="O9" i="29"/>
  <c r="K9" i="29"/>
  <c r="M9" i="29" s="1"/>
  <c r="O8" i="29"/>
  <c r="K8" i="29"/>
  <c r="M8" i="29" s="1"/>
  <c r="O18" i="29"/>
  <c r="K18" i="29"/>
  <c r="M18" i="29" s="1"/>
  <c r="O7" i="29"/>
  <c r="K7" i="29"/>
  <c r="M7" i="29" s="1"/>
  <c r="O6" i="29"/>
  <c r="M6" i="29"/>
  <c r="M55" i="29" l="1"/>
  <c r="O55" i="29"/>
  <c r="O54" i="33"/>
  <c r="O68" i="33" s="1"/>
  <c r="M67" i="33"/>
  <c r="O67" i="33"/>
  <c r="M45" i="33"/>
  <c r="M54" i="33"/>
  <c r="Q78" i="33" s="1"/>
  <c r="S78" i="33" s="1"/>
  <c r="O42" i="32"/>
  <c r="O56" i="32" s="1"/>
  <c r="O57" i="32" s="1"/>
  <c r="M35" i="32"/>
  <c r="M42" i="32" s="1"/>
  <c r="Q66" i="32" s="1"/>
  <c r="S66" i="32" s="1"/>
  <c r="O42" i="29"/>
  <c r="O56" i="29" s="1"/>
  <c r="O57" i="29" s="1"/>
  <c r="O58" i="29" s="1"/>
  <c r="O59" i="29" s="1"/>
  <c r="M35" i="29"/>
  <c r="O59" i="30"/>
  <c r="O46" i="30"/>
  <c r="O60" i="30" s="1"/>
  <c r="O61" i="30" s="1"/>
  <c r="O62" i="30" s="1"/>
  <c r="O63" i="30" s="1"/>
  <c r="M59" i="30"/>
  <c r="M39" i="30"/>
  <c r="M46" i="30" s="1"/>
  <c r="Q70" i="30" s="1"/>
  <c r="T70" i="30" s="1"/>
  <c r="M42" i="29"/>
  <c r="Q66" i="29" s="1"/>
  <c r="S66" i="29" s="1"/>
  <c r="O69" i="33" l="1"/>
  <c r="O70" i="33" s="1"/>
  <c r="O71" i="33" s="1"/>
  <c r="O74" i="33" s="1"/>
  <c r="Q74" i="33" s="1"/>
  <c r="S74" i="33" s="1"/>
  <c r="O59" i="32"/>
  <c r="O58" i="32"/>
  <c r="O66" i="30"/>
  <c r="Q66" i="30" s="1"/>
  <c r="T66" i="30" s="1"/>
  <c r="O67" i="30"/>
  <c r="Q67" i="30" s="1"/>
  <c r="T67" i="30" s="1"/>
  <c r="O69" i="30"/>
  <c r="Q69" i="30" s="1"/>
  <c r="T69" i="30" s="1"/>
  <c r="O68" i="30"/>
  <c r="Q68" i="30" s="1"/>
  <c r="T68" i="30" s="1"/>
  <c r="O62" i="29"/>
  <c r="Q62" i="29" s="1"/>
  <c r="S62" i="29" s="1"/>
  <c r="O63" i="29"/>
  <c r="Q63" i="29" s="1"/>
  <c r="S63" i="29" s="1"/>
  <c r="O65" i="29"/>
  <c r="Q65" i="29" s="1"/>
  <c r="S65" i="29" s="1"/>
  <c r="O64" i="29"/>
  <c r="Q64" i="29" s="1"/>
  <c r="S64" i="29" s="1"/>
  <c r="K17" i="24"/>
  <c r="K16" i="24"/>
  <c r="K15" i="24"/>
  <c r="K14" i="24"/>
  <c r="K13" i="24"/>
  <c r="K12" i="24"/>
  <c r="K11" i="24"/>
  <c r="K10" i="24"/>
  <c r="K9" i="24"/>
  <c r="K8" i="24"/>
  <c r="K7" i="24"/>
  <c r="K15" i="17"/>
  <c r="K18" i="17"/>
  <c r="K17" i="17"/>
  <c r="K9" i="17"/>
  <c r="O77" i="33" l="1"/>
  <c r="Q77" i="33" s="1"/>
  <c r="S77" i="33" s="1"/>
  <c r="O75" i="33"/>
  <c r="Q75" i="33" s="1"/>
  <c r="S75" i="33" s="1"/>
  <c r="O76" i="33"/>
  <c r="Q76" i="33" s="1"/>
  <c r="S76" i="33" s="1"/>
  <c r="O62" i="32"/>
  <c r="Q62" i="32" s="1"/>
  <c r="S62" i="32" s="1"/>
  <c r="O64" i="32"/>
  <c r="Q64" i="32" s="1"/>
  <c r="S64" i="32" s="1"/>
  <c r="O65" i="32"/>
  <c r="Q65" i="32" s="1"/>
  <c r="S65" i="32" s="1"/>
  <c r="O63" i="32"/>
  <c r="Q63" i="32" s="1"/>
  <c r="S63" i="32" s="1"/>
  <c r="O55" i="24"/>
  <c r="O39" i="24" l="1"/>
  <c r="O38" i="24"/>
  <c r="O37" i="24"/>
  <c r="O36" i="24"/>
  <c r="O35" i="24"/>
  <c r="O34" i="24"/>
  <c r="O33" i="24"/>
  <c r="O32" i="24"/>
  <c r="O31" i="24"/>
  <c r="O30" i="24"/>
  <c r="O29" i="24"/>
  <c r="O28" i="24"/>
  <c r="O27" i="24"/>
  <c r="O26" i="24"/>
  <c r="O8" i="24"/>
  <c r="M8" i="24"/>
  <c r="O7" i="24"/>
  <c r="M7" i="24"/>
  <c r="O6" i="24"/>
  <c r="M6" i="24"/>
  <c r="O47" i="22"/>
  <c r="O45" i="22"/>
  <c r="O44" i="22"/>
  <c r="O43" i="22"/>
  <c r="O42" i="22"/>
  <c r="O40" i="22"/>
  <c r="O39" i="22"/>
  <c r="O38" i="22"/>
  <c r="O37" i="22"/>
  <c r="O36" i="22"/>
  <c r="O35" i="22"/>
  <c r="O34" i="22"/>
  <c r="O33" i="22"/>
  <c r="O40" i="17" l="1"/>
  <c r="O39" i="17"/>
  <c r="O38" i="17"/>
  <c r="O37" i="17"/>
  <c r="O36" i="17"/>
  <c r="O34" i="17"/>
  <c r="O33" i="17"/>
  <c r="O31" i="17"/>
  <c r="O30" i="17"/>
  <c r="O29" i="17"/>
  <c r="O28" i="17"/>
  <c r="O27" i="17"/>
  <c r="O24" i="17" l="1"/>
  <c r="O23" i="17"/>
  <c r="O22" i="17"/>
  <c r="O21" i="17"/>
  <c r="K24" i="17"/>
  <c r="K23" i="17"/>
  <c r="K22" i="17"/>
  <c r="K21" i="17"/>
  <c r="M31" i="24"/>
  <c r="O6" i="17"/>
  <c r="O32" i="17"/>
  <c r="O15" i="17"/>
  <c r="O14" i="17"/>
  <c r="O13" i="17"/>
  <c r="O18" i="17"/>
  <c r="O17" i="17"/>
  <c r="O8" i="17"/>
  <c r="O7" i="17"/>
  <c r="O9" i="17"/>
  <c r="O16" i="17"/>
  <c r="M36" i="22"/>
  <c r="M35" i="22"/>
  <c r="M34" i="22"/>
  <c r="M37" i="22"/>
  <c r="M44" i="22"/>
  <c r="M43" i="22"/>
  <c r="M42" i="22"/>
  <c r="J41" i="22"/>
  <c r="M40" i="22"/>
  <c r="M39" i="22"/>
  <c r="M47" i="22"/>
  <c r="M33" i="22"/>
  <c r="O30" i="22"/>
  <c r="K30" i="22"/>
  <c r="M30" i="22" s="1"/>
  <c r="O29" i="22"/>
  <c r="K29" i="22"/>
  <c r="M29" i="22" s="1"/>
  <c r="O28" i="22"/>
  <c r="K28" i="22"/>
  <c r="M28" i="22" s="1"/>
  <c r="O27" i="22"/>
  <c r="K27" i="22"/>
  <c r="M27" i="22" s="1"/>
  <c r="M38" i="22"/>
  <c r="K23" i="24"/>
  <c r="K22" i="24"/>
  <c r="K21" i="24"/>
  <c r="K20" i="24"/>
  <c r="O23" i="24"/>
  <c r="O22" i="24"/>
  <c r="O21" i="24"/>
  <c r="O20" i="24"/>
  <c r="O17" i="24"/>
  <c r="O16" i="24"/>
  <c r="O15" i="24"/>
  <c r="O14" i="24"/>
  <c r="O13" i="24"/>
  <c r="O12" i="24"/>
  <c r="O11" i="24"/>
  <c r="O10" i="24"/>
  <c r="O9" i="24"/>
  <c r="M41" i="22" l="1"/>
  <c r="O41" i="22"/>
  <c r="M7" i="17"/>
  <c r="M20" i="24"/>
  <c r="M39" i="24"/>
  <c r="M16" i="17"/>
  <c r="M32" i="17"/>
  <c r="M15" i="24"/>
  <c r="M14" i="24"/>
  <c r="M23" i="24"/>
  <c r="M34" i="24"/>
  <c r="O45" i="24"/>
  <c r="O44" i="24"/>
  <c r="M44" i="24"/>
  <c r="O43" i="24"/>
  <c r="M43" i="24"/>
  <c r="M9" i="24"/>
  <c r="M24" i="17"/>
  <c r="O52" i="22"/>
  <c r="M52" i="22"/>
  <c r="O51" i="22"/>
  <c r="M51" i="22"/>
  <c r="M17" i="24"/>
  <c r="M16" i="24"/>
  <c r="M13" i="24"/>
  <c r="M12" i="24"/>
  <c r="M11" i="24"/>
  <c r="M10" i="24"/>
  <c r="M22" i="24"/>
  <c r="M21" i="24"/>
  <c r="J33" i="24"/>
  <c r="M37" i="24" l="1"/>
  <c r="M36" i="24"/>
  <c r="M35" i="24"/>
  <c r="M38" i="17"/>
  <c r="M14" i="17"/>
  <c r="M13" i="17"/>
  <c r="M18" i="17"/>
  <c r="M17" i="17"/>
  <c r="M8" i="17"/>
  <c r="M36" i="17" l="1"/>
  <c r="M37" i="17"/>
  <c r="M33" i="24"/>
  <c r="M34" i="17"/>
  <c r="M21" i="17"/>
  <c r="M23" i="17" l="1"/>
  <c r="J35" i="17"/>
  <c r="O35" i="17" s="1"/>
  <c r="M40" i="17"/>
  <c r="O53" i="24"/>
  <c r="M53" i="24"/>
  <c r="O52" i="24"/>
  <c r="M52" i="24"/>
  <c r="O51" i="24"/>
  <c r="M51" i="24"/>
  <c r="O50" i="24"/>
  <c r="M50" i="24"/>
  <c r="O49" i="24"/>
  <c r="M49" i="24"/>
  <c r="O48" i="24"/>
  <c r="M48" i="24"/>
  <c r="O47" i="24"/>
  <c r="M47" i="24"/>
  <c r="M29" i="24"/>
  <c r="M28" i="24"/>
  <c r="M27" i="24"/>
  <c r="M30" i="24"/>
  <c r="M32" i="24"/>
  <c r="M26" i="24"/>
  <c r="O61" i="22"/>
  <c r="M61" i="22"/>
  <c r="O60" i="22"/>
  <c r="M60" i="22"/>
  <c r="O59" i="22"/>
  <c r="M59" i="22"/>
  <c r="O58" i="22"/>
  <c r="M58" i="22"/>
  <c r="O57" i="22"/>
  <c r="M57" i="22"/>
  <c r="O56" i="22"/>
  <c r="M56" i="22"/>
  <c r="O55" i="22"/>
  <c r="M55" i="22"/>
  <c r="O53" i="22"/>
  <c r="M33" i="17"/>
  <c r="M35" i="17" l="1"/>
  <c r="M54" i="24"/>
  <c r="O54" i="24"/>
  <c r="O41" i="24"/>
  <c r="M62" i="22"/>
  <c r="O62" i="22"/>
  <c r="M41" i="24"/>
  <c r="Q65" i="24" s="1"/>
  <c r="S65" i="24" s="1"/>
  <c r="M49" i="22"/>
  <c r="Q73" i="22" s="1"/>
  <c r="S73" i="22" s="1"/>
  <c r="O49" i="22"/>
  <c r="M22" i="17"/>
  <c r="M30" i="17"/>
  <c r="M29" i="17"/>
  <c r="M28" i="17"/>
  <c r="M31" i="17"/>
  <c r="M27" i="17"/>
  <c r="O63" i="22" l="1"/>
  <c r="O64" i="22" s="1"/>
  <c r="O65" i="22" s="1"/>
  <c r="O56" i="24"/>
  <c r="O66" i="22" l="1"/>
  <c r="O72" i="22" s="1"/>
  <c r="Q72" i="22" s="1"/>
  <c r="S72" i="22" s="1"/>
  <c r="O57" i="24"/>
  <c r="O58" i="24"/>
  <c r="O61" i="24" s="1"/>
  <c r="Q61" i="24" s="1"/>
  <c r="S61" i="24" s="1"/>
  <c r="O70" i="22" l="1"/>
  <c r="Q70" i="22" s="1"/>
  <c r="S70" i="22" s="1"/>
  <c r="O69" i="22"/>
  <c r="Q69" i="22" s="1"/>
  <c r="S69" i="22" s="1"/>
  <c r="O71" i="22"/>
  <c r="Q71" i="22" s="1"/>
  <c r="S71" i="22" s="1"/>
  <c r="O64" i="24"/>
  <c r="Q64" i="24" s="1"/>
  <c r="S64" i="24" s="1"/>
  <c r="O63" i="24"/>
  <c r="Q63" i="24" s="1"/>
  <c r="S63" i="24" s="1"/>
  <c r="O62" i="24"/>
  <c r="Q62" i="24" s="1"/>
  <c r="S62" i="24" s="1"/>
  <c r="M15" i="17"/>
  <c r="M9" i="17" l="1"/>
  <c r="O88" i="18" l="1"/>
  <c r="M88" i="18"/>
  <c r="O87" i="18"/>
  <c r="M87" i="18"/>
  <c r="O86" i="18"/>
  <c r="M86" i="18"/>
  <c r="O85" i="18"/>
  <c r="M85" i="18"/>
  <c r="O84" i="18"/>
  <c r="M84" i="18"/>
  <c r="O83" i="18"/>
  <c r="M83" i="18"/>
  <c r="O82" i="18"/>
  <c r="M82" i="18"/>
  <c r="O80" i="18"/>
  <c r="O79" i="18"/>
  <c r="M79" i="18"/>
  <c r="O78" i="18"/>
  <c r="M78" i="18"/>
  <c r="O77" i="18"/>
  <c r="M77" i="18"/>
  <c r="O76" i="18"/>
  <c r="M76" i="18"/>
  <c r="O75" i="18"/>
  <c r="M75" i="18"/>
  <c r="O74" i="18"/>
  <c r="M74" i="18"/>
  <c r="O73" i="18"/>
  <c r="M73" i="18"/>
  <c r="O72" i="18"/>
  <c r="M72" i="18"/>
  <c r="O71" i="18"/>
  <c r="O89" i="18" s="1"/>
  <c r="M71" i="18"/>
  <c r="M89" i="18" s="1"/>
  <c r="O67" i="18"/>
  <c r="M67" i="18"/>
  <c r="O66" i="18"/>
  <c r="M66" i="18"/>
  <c r="K66" i="18"/>
  <c r="O65" i="18"/>
  <c r="M65" i="18"/>
  <c r="O64" i="18"/>
  <c r="M64" i="18"/>
  <c r="O63" i="18"/>
  <c r="M63" i="18"/>
  <c r="M62" i="18"/>
  <c r="O61" i="18"/>
  <c r="M61" i="18"/>
  <c r="M60" i="18"/>
  <c r="M59" i="18"/>
  <c r="M58" i="18"/>
  <c r="O57" i="18"/>
  <c r="M57" i="18"/>
  <c r="O55" i="18"/>
  <c r="M55" i="18"/>
  <c r="L55" i="18"/>
  <c r="O54" i="18"/>
  <c r="M54" i="18"/>
  <c r="L54" i="18"/>
  <c r="O53" i="18"/>
  <c r="K53" i="18"/>
  <c r="M53" i="18" s="1"/>
  <c r="O52" i="18"/>
  <c r="K52" i="18"/>
  <c r="M52" i="18" s="1"/>
  <c r="O51" i="18"/>
  <c r="K51" i="18"/>
  <c r="M51" i="18" s="1"/>
  <c r="O50" i="18"/>
  <c r="K50" i="18"/>
  <c r="M50" i="18" s="1"/>
  <c r="O49" i="18"/>
  <c r="K49" i="18"/>
  <c r="M49" i="18" s="1"/>
  <c r="O48" i="18"/>
  <c r="K48" i="18"/>
  <c r="M48" i="18" s="1"/>
  <c r="O47" i="18"/>
  <c r="K47" i="18"/>
  <c r="M47" i="18" s="1"/>
  <c r="O46" i="18"/>
  <c r="K46" i="18"/>
  <c r="M46" i="18" s="1"/>
  <c r="O44" i="18"/>
  <c r="M44" i="18"/>
  <c r="O43" i="18"/>
  <c r="M43" i="18"/>
  <c r="O40" i="18"/>
  <c r="M40" i="18"/>
  <c r="O39" i="18"/>
  <c r="M39" i="18"/>
  <c r="O38" i="18"/>
  <c r="M38" i="18"/>
  <c r="O37" i="18"/>
  <c r="M37" i="18"/>
  <c r="O36" i="18"/>
  <c r="M36" i="18"/>
  <c r="O35" i="18"/>
  <c r="M35" i="18"/>
  <c r="O34" i="18"/>
  <c r="M34" i="18"/>
  <c r="O33" i="18"/>
  <c r="K33" i="18"/>
  <c r="M33" i="18" s="1"/>
  <c r="O32" i="18"/>
  <c r="K32" i="18"/>
  <c r="M32" i="18" s="1"/>
  <c r="O31" i="18"/>
  <c r="K31" i="18"/>
  <c r="M31" i="18" s="1"/>
  <c r="O30" i="18"/>
  <c r="K30" i="18"/>
  <c r="M30" i="18" s="1"/>
  <c r="O29" i="18"/>
  <c r="M29" i="18"/>
  <c r="O28" i="18"/>
  <c r="M28" i="18"/>
  <c r="O27" i="18"/>
  <c r="M27" i="18"/>
  <c r="O26" i="18"/>
  <c r="M26" i="18"/>
  <c r="O25" i="18"/>
  <c r="M25" i="18"/>
  <c r="M24" i="18"/>
  <c r="L24" i="18"/>
  <c r="O24" i="18" s="1"/>
  <c r="O22" i="18"/>
  <c r="M22" i="18"/>
  <c r="O21" i="18"/>
  <c r="K21" i="18"/>
  <c r="M21" i="18" s="1"/>
  <c r="O20" i="18"/>
  <c r="K20" i="18"/>
  <c r="M20" i="18" s="1"/>
  <c r="O19" i="18"/>
  <c r="K19" i="18"/>
  <c r="M19" i="18" s="1"/>
  <c r="O17" i="18"/>
  <c r="K17" i="18"/>
  <c r="M17" i="18" s="1"/>
  <c r="O16" i="18"/>
  <c r="K16" i="18"/>
  <c r="M16" i="18" s="1"/>
  <c r="M14" i="18"/>
  <c r="K14" i="18"/>
  <c r="M13" i="18"/>
  <c r="K13" i="18"/>
  <c r="K12" i="18"/>
  <c r="M12" i="18" s="1"/>
  <c r="O11" i="18"/>
  <c r="K11" i="18"/>
  <c r="M11" i="18" s="1"/>
  <c r="O10" i="18"/>
  <c r="M10" i="18"/>
  <c r="O9" i="18"/>
  <c r="M9" i="18"/>
  <c r="K9" i="18"/>
  <c r="O8" i="18"/>
  <c r="M8" i="18"/>
  <c r="O7" i="18"/>
  <c r="M7" i="18"/>
  <c r="O6" i="18"/>
  <c r="O69" i="18" s="1"/>
  <c r="M6" i="18"/>
  <c r="M69" i="18" l="1"/>
  <c r="Q100" i="18" s="1"/>
  <c r="S100" i="18" s="1"/>
  <c r="O91" i="18"/>
  <c r="O93" i="18" l="1"/>
  <c r="O92" i="18"/>
  <c r="O99" i="18" l="1"/>
  <c r="Q99" i="18" s="1"/>
  <c r="S99" i="18" s="1"/>
  <c r="O98" i="18"/>
  <c r="Q98" i="18" s="1"/>
  <c r="S98" i="18" s="1"/>
  <c r="O96" i="18"/>
  <c r="Q96" i="18" s="1"/>
  <c r="S96" i="18" s="1"/>
  <c r="O97" i="18"/>
  <c r="Q97" i="18" s="1"/>
  <c r="S97" i="18" s="1"/>
  <c r="O54" i="17" l="1"/>
  <c r="O53" i="17"/>
  <c r="O52" i="17"/>
  <c r="O51" i="17"/>
  <c r="O50" i="17"/>
  <c r="O49" i="17"/>
  <c r="O48" i="17"/>
  <c r="O45" i="17"/>
  <c r="O44" i="17"/>
  <c r="O46" i="17"/>
  <c r="O55" i="17" l="1"/>
  <c r="M45" i="17"/>
  <c r="M6" i="17" l="1"/>
  <c r="O42" i="17" s="1"/>
  <c r="O56" i="17" s="1"/>
  <c r="M54" i="17" l="1"/>
  <c r="M53" i="17"/>
  <c r="M52" i="17"/>
  <c r="M51" i="17"/>
  <c r="M50" i="17"/>
  <c r="M49" i="17"/>
  <c r="M48" i="17"/>
  <c r="M44" i="17"/>
  <c r="O57" i="17"/>
  <c r="O58" i="17" s="1"/>
  <c r="M42" i="17"/>
  <c r="M55" i="17" l="1"/>
  <c r="O59" i="17"/>
  <c r="Q66" i="17" l="1"/>
  <c r="S66" i="17" s="1"/>
  <c r="O65" i="17"/>
  <c r="Q65" i="17" s="1"/>
  <c r="S65" i="17" s="1"/>
  <c r="O62" i="17"/>
  <c r="Q62" i="17" s="1"/>
  <c r="S62" i="17" s="1"/>
  <c r="O63" i="17"/>
  <c r="Q63" i="17" s="1"/>
  <c r="S63" i="17" s="1"/>
  <c r="O64" i="17"/>
  <c r="Q64" i="17" s="1"/>
  <c r="S64" i="17" s="1"/>
  <c r="D12" i="10" l="1"/>
  <c r="D11" i="10"/>
  <c r="D10" i="10"/>
  <c r="D9" i="10"/>
  <c r="E9" i="10" s="1"/>
  <c r="D8" i="10"/>
  <c r="D7" i="10"/>
  <c r="D6" i="10"/>
  <c r="E6" i="10" s="1"/>
  <c r="F6" i="10" s="1"/>
  <c r="D5" i="10"/>
  <c r="E5" i="10" s="1"/>
  <c r="F5" i="10" s="1"/>
  <c r="G5" i="10" l="1"/>
  <c r="H5" i="10" s="1"/>
  <c r="G6" i="10"/>
  <c r="H6" i="10" s="1"/>
  <c r="F9" i="10"/>
  <c r="G9" i="10" s="1"/>
  <c r="H9" i="10" s="1"/>
  <c r="E11" i="10"/>
  <c r="F11" i="10" s="1"/>
  <c r="E8" i="10"/>
  <c r="F8" i="10" s="1"/>
  <c r="E7" i="10"/>
  <c r="F7" i="10" s="1"/>
  <c r="E10" i="10"/>
  <c r="F10" i="10" s="1"/>
  <c r="E12" i="10"/>
  <c r="F12" i="10" s="1"/>
  <c r="G7" i="10" l="1"/>
  <c r="H7" i="10" s="1"/>
  <c r="G11" i="10"/>
  <c r="H11" i="10" s="1"/>
  <c r="G10" i="10"/>
  <c r="H10" i="10" s="1"/>
  <c r="G12" i="10"/>
  <c r="H12" i="10" s="1"/>
  <c r="G8" i="10"/>
  <c r="H8" i="10" s="1"/>
  <c r="K3" i="27"/>
  <c r="K4" i="27" s="1"/>
  <c r="C3" i="27"/>
  <c r="B3" i="27" s="1"/>
  <c r="K15" i="39" l="1"/>
  <c r="M15" i="39"/>
  <c r="O15" i="39"/>
  <c r="K16" i="39"/>
  <c r="M16" i="39" s="1"/>
  <c r="O16" i="39"/>
  <c r="K14" i="39"/>
  <c r="M14" i="39"/>
  <c r="M56" i="39" s="1"/>
  <c r="O14" i="39"/>
  <c r="O56" i="39" s="1"/>
  <c r="O70" i="39" s="1"/>
  <c r="O71" i="39" s="1"/>
  <c r="Q80" i="39" l="1"/>
  <c r="S80" i="39" s="1"/>
  <c r="O72" i="39"/>
  <c r="O73" i="39" s="1"/>
  <c r="O77" i="39" l="1"/>
  <c r="Q77" i="39" s="1"/>
  <c r="S77" i="39" s="1"/>
  <c r="C21" i="27" a="1"/>
  <c r="C21" i="27" s="1"/>
  <c r="O76" i="39"/>
  <c r="Q76" i="39" s="1"/>
  <c r="S76" i="39" s="1"/>
  <c r="O78" i="39"/>
  <c r="Q78" i="39" s="1"/>
  <c r="S78" i="39" s="1"/>
  <c r="O79" i="39"/>
  <c r="Q79" i="39" s="1"/>
  <c r="S79" i="39" s="1"/>
  <c r="E7" i="40"/>
  <c r="K15" i="38"/>
  <c r="M15" i="38" s="1"/>
  <c r="M50" i="38" s="1"/>
  <c r="O15" i="38"/>
  <c r="K13" i="38"/>
  <c r="M13" i="38"/>
  <c r="O13" i="38"/>
  <c r="O50" i="38"/>
  <c r="O64" i="38" s="1"/>
  <c r="O65" i="38" s="1"/>
  <c r="K14" i="38"/>
  <c r="M14" i="38"/>
  <c r="O14" i="38"/>
  <c r="O66" i="38" l="1"/>
  <c r="O67" i="38" s="1"/>
  <c r="Q74" i="38"/>
  <c r="S74" i="38" s="1"/>
  <c r="O73" i="38" l="1"/>
  <c r="Q73" i="38" s="1"/>
  <c r="S73" i="38" s="1"/>
  <c r="O70" i="38"/>
  <c r="Q70" i="38" s="1"/>
  <c r="S70" i="38" s="1"/>
  <c r="C20" i="27" a="1"/>
  <c r="C20" i="27" s="1"/>
  <c r="E6" i="40"/>
  <c r="O71" i="38"/>
  <c r="Q71" i="38" s="1"/>
  <c r="S71" i="38" s="1"/>
  <c r="O72" i="38"/>
  <c r="Q72" i="38" s="1"/>
  <c r="S72" i="38" s="1"/>
  <c r="K14" i="37"/>
  <c r="M14" i="37" s="1"/>
  <c r="O14" i="37"/>
  <c r="K15" i="37"/>
  <c r="M15" i="37" s="1"/>
  <c r="O15" i="37"/>
  <c r="O13" i="37"/>
  <c r="O50" i="37"/>
  <c r="O64" i="37" s="1"/>
  <c r="O65" i="37" s="1"/>
  <c r="K13" i="37"/>
  <c r="M13" i="37"/>
  <c r="O66" i="37" l="1"/>
  <c r="O67" i="37" s="1"/>
  <c r="M50" i="37"/>
  <c r="Q74" i="37" l="1"/>
  <c r="S74" i="37" s="1"/>
  <c r="O70" i="37"/>
  <c r="Q70" i="37" s="1"/>
  <c r="S70" i="37" s="1"/>
  <c r="C19" i="27" a="1"/>
  <c r="C19" i="27" s="1"/>
  <c r="O73" i="37"/>
  <c r="Q73" i="37" s="1"/>
  <c r="S73" i="37" s="1"/>
  <c r="E5" i="40"/>
  <c r="O72" i="37"/>
  <c r="Q72" i="37" s="1"/>
  <c r="S72" i="37" s="1"/>
  <c r="O71" i="37"/>
  <c r="Q71" i="37" s="1"/>
  <c r="S71" i="37" s="1"/>
  <c r="K15" i="36"/>
  <c r="M15" i="36"/>
  <c r="O15" i="36"/>
  <c r="K11" i="36"/>
  <c r="M11" i="36" s="1"/>
  <c r="M45" i="36" s="1"/>
  <c r="O11" i="36"/>
  <c r="K14" i="36"/>
  <c r="M14" i="36"/>
  <c r="O14" i="36"/>
  <c r="K16" i="36"/>
  <c r="M16" i="36"/>
  <c r="O16" i="36"/>
  <c r="K12" i="36"/>
  <c r="M12" i="36"/>
  <c r="O12" i="36"/>
  <c r="K13" i="36"/>
  <c r="M13" i="36"/>
  <c r="O13" i="36"/>
  <c r="O10" i="36"/>
  <c r="O45" i="36"/>
  <c r="O59" i="36" s="1"/>
  <c r="O60" i="36" s="1"/>
  <c r="K10" i="36"/>
  <c r="M10" i="36"/>
  <c r="D8" i="40" l="1"/>
  <c r="Q69" i="36"/>
  <c r="S69" i="36" s="1"/>
  <c r="O61" i="36"/>
  <c r="O62" i="36" s="1"/>
  <c r="O68" i="36" l="1"/>
  <c r="Q68" i="36" s="1"/>
  <c r="S68" i="36" s="1"/>
  <c r="O67" i="36"/>
  <c r="Q67" i="36" s="1"/>
  <c r="S67" i="36" s="1"/>
  <c r="O66" i="36"/>
  <c r="Q66" i="36" s="1"/>
  <c r="S66" i="36" s="1"/>
  <c r="O65" i="36"/>
  <c r="Q65" i="36" s="1"/>
  <c r="S65" i="36" s="1"/>
  <c r="C18" i="27" a="1"/>
  <c r="C18" i="27" s="1"/>
  <c r="C22" i="27" s="1"/>
  <c r="E4" i="40" l="1"/>
  <c r="C8" i="40"/>
  <c r="E8" i="40" s="1"/>
  <c r="F24" i="5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<sst xmlns="http://schemas.openxmlformats.org/spreadsheetml/2006/main" count="8903" uniqueCount="1216">
  <si>
    <t>Maker</t>
    <phoneticPr fontId="2" type="noConversion"/>
  </si>
  <si>
    <t>BOM Level</t>
    <phoneticPr fontId="2" type="noConversion"/>
  </si>
  <si>
    <t>●</t>
    <phoneticPr fontId="2" type="noConversion"/>
  </si>
  <si>
    <t>비고</t>
    <phoneticPr fontId="2" type="noConversion"/>
  </si>
  <si>
    <t>수량</t>
    <phoneticPr fontId="2" type="noConversion"/>
  </si>
  <si>
    <t>원가</t>
    <phoneticPr fontId="2" type="noConversion"/>
  </si>
  <si>
    <t>견적가</t>
    <phoneticPr fontId="2" type="noConversion"/>
  </si>
  <si>
    <t>System Integration</t>
    <phoneticPr fontId="2" type="noConversion"/>
  </si>
  <si>
    <t>Education</t>
    <phoneticPr fontId="2" type="noConversion"/>
  </si>
  <si>
    <t>On-Site Commissioning</t>
    <phoneticPr fontId="2" type="noConversion"/>
  </si>
  <si>
    <t>Test Programing &amp; I/O Check</t>
    <phoneticPr fontId="2" type="noConversion"/>
  </si>
  <si>
    <t>I/O Design</t>
    <phoneticPr fontId="2" type="noConversion"/>
  </si>
  <si>
    <t>단가</t>
    <phoneticPr fontId="2" type="noConversion"/>
  </si>
  <si>
    <t>Mark-up</t>
    <phoneticPr fontId="2" type="noConversion"/>
  </si>
  <si>
    <t>네고율</t>
    <phoneticPr fontId="2" type="noConversion"/>
  </si>
  <si>
    <t>네고 견적가</t>
    <phoneticPr fontId="2" type="noConversion"/>
  </si>
  <si>
    <t>이익률</t>
    <phoneticPr fontId="2" type="noConversion"/>
  </si>
  <si>
    <t>견적가 - 재료비원가</t>
    <phoneticPr fontId="2" type="noConversion"/>
  </si>
  <si>
    <t>2015년 개발단가 산출근거</t>
    <phoneticPr fontId="2" type="noConversion"/>
  </si>
  <si>
    <t>2015년 정부 노임단가 기준</t>
    <phoneticPr fontId="2" type="noConversion"/>
  </si>
  <si>
    <t>2015년 제안가</t>
    <phoneticPr fontId="2" type="noConversion"/>
  </si>
  <si>
    <t>구분</t>
  </si>
  <si>
    <t>단가</t>
  </si>
  <si>
    <t>일수</t>
  </si>
  <si>
    <t>합계</t>
  </si>
  <si>
    <t>제경비</t>
  </si>
  <si>
    <t>기술사용료</t>
  </si>
  <si>
    <t>정통부고시
SW기술 노임단가</t>
  </si>
  <si>
    <t>표준단가</t>
  </si>
  <si>
    <t>DC적용율</t>
  </si>
  <si>
    <t>기술사</t>
  </si>
  <si>
    <t>특급기술자</t>
  </si>
  <si>
    <t>고급기술자</t>
  </si>
  <si>
    <t>중급기술자</t>
  </si>
  <si>
    <t>초급기술자</t>
  </si>
  <si>
    <t>고급기능사</t>
  </si>
  <si>
    <t>중급기능사</t>
  </si>
  <si>
    <t>초급기능사</t>
  </si>
  <si>
    <t>* 정부노임단가: 월단가 (일단가 * 22.34) + 제경비( 월단가의 110%) + 기술사용료{월단가+제경비)의 10%}</t>
  </si>
  <si>
    <t>정가</t>
    <phoneticPr fontId="2" type="noConversion"/>
  </si>
  <si>
    <t>YOKOGAWA</t>
    <phoneticPr fontId="2" type="noConversion"/>
  </si>
  <si>
    <t>H/W Design</t>
    <phoneticPr fontId="2" type="noConversion"/>
  </si>
  <si>
    <t>-</t>
    <phoneticPr fontId="2" type="noConversion"/>
  </si>
  <si>
    <t>매입처</t>
    <phoneticPr fontId="2" type="noConversion"/>
  </si>
  <si>
    <t>견적가 (VAT 미포함/천단위 절사)</t>
    <phoneticPr fontId="2" type="noConversion"/>
  </si>
  <si>
    <t>발주가</t>
    <phoneticPr fontId="2" type="noConversion"/>
  </si>
  <si>
    <t>인건비 합계</t>
    <phoneticPr fontId="2" type="noConversion"/>
  </si>
  <si>
    <t>담 당</t>
    <phoneticPr fontId="2" type="noConversion"/>
  </si>
  <si>
    <t>검 토</t>
    <phoneticPr fontId="2" type="noConversion"/>
  </si>
  <si>
    <t>승 인</t>
    <phoneticPr fontId="2" type="noConversion"/>
  </si>
  <si>
    <t>비  고</t>
    <phoneticPr fontId="2" type="noConversion"/>
  </si>
  <si>
    <t>기업 이윤 (전체 소계 n%)</t>
    <phoneticPr fontId="2" type="noConversion"/>
  </si>
  <si>
    <t>일반 관리비( 재료비의 n%)</t>
    <phoneticPr fontId="2" type="noConversion"/>
  </si>
  <si>
    <t>재료비 합계 (VAT 미포함)</t>
    <phoneticPr fontId="2" type="noConversion"/>
  </si>
  <si>
    <t>전체 소계 (재료비 +소프트웨어+ 인건비+일반관리비)</t>
    <phoneticPr fontId="2" type="noConversion"/>
  </si>
  <si>
    <t>Model / 규격</t>
    <phoneticPr fontId="2" type="noConversion"/>
  </si>
  <si>
    <t>구분 / 품명</t>
    <phoneticPr fontId="2" type="noConversion"/>
  </si>
  <si>
    <t>신우엔텍</t>
    <phoneticPr fontId="2" type="noConversion"/>
  </si>
  <si>
    <t>Control Rack 제작 외</t>
    <phoneticPr fontId="2" type="noConversion"/>
  </si>
  <si>
    <t>입고 일정</t>
    <phoneticPr fontId="2" type="noConversion"/>
  </si>
  <si>
    <t>제작품</t>
    <phoneticPr fontId="2" type="noConversion"/>
  </si>
  <si>
    <t>Test Producer Commissioning</t>
    <phoneticPr fontId="2" type="noConversion"/>
  </si>
  <si>
    <t>요꼬가와전기 기술지원단가
과장기준 : 8만5천원 / 1시간</t>
    <phoneticPr fontId="2" type="noConversion"/>
  </si>
  <si>
    <t>1. Power Supply Parts</t>
    <phoneticPr fontId="2" type="noConversion"/>
  </si>
  <si>
    <t>비오비엔터프라이즈</t>
    <phoneticPr fontId="2" type="noConversion"/>
  </si>
  <si>
    <t>AC SINK</t>
    <phoneticPr fontId="2" type="noConversion"/>
  </si>
  <si>
    <t>2. Electric Load Parts</t>
    <phoneticPr fontId="2" type="noConversion"/>
  </si>
  <si>
    <t>3. Measurement Parts</t>
    <phoneticPr fontId="2" type="noConversion"/>
  </si>
  <si>
    <t>4. Chamber / Chiller Parts</t>
    <phoneticPr fontId="2" type="noConversion"/>
  </si>
  <si>
    <t xml:space="preserve">Chamber : 335 L, -40 °C to +180 °C, 10 % r.H to 98% r.H </t>
    <phoneticPr fontId="2" type="noConversion"/>
  </si>
  <si>
    <t>RW3-2025P</t>
    <phoneticPr fontId="2" type="noConversion"/>
  </si>
  <si>
    <t>WEISS</t>
  </si>
  <si>
    <t>JFM</t>
  </si>
  <si>
    <t>●</t>
  </si>
  <si>
    <t>6. Control Rack Parts</t>
    <phoneticPr fontId="2" type="noConversion"/>
  </si>
  <si>
    <t>7. Software Parts</t>
    <phoneticPr fontId="2" type="noConversion"/>
  </si>
  <si>
    <t>8. 인건비</t>
    <phoneticPr fontId="2" type="noConversion"/>
  </si>
  <si>
    <t>5. DAQ Control Parts</t>
    <phoneticPr fontId="2" type="noConversion"/>
  </si>
  <si>
    <t>NI cRIO-9056 CompactRIO 컨트롤러</t>
    <phoneticPr fontId="2" type="noConversion"/>
  </si>
  <si>
    <t>cRIO-9056 / 786426-01</t>
    <phoneticPr fontId="2" type="noConversion"/>
  </si>
  <si>
    <t>NI</t>
    <phoneticPr fontId="2" type="noConversion"/>
  </si>
  <si>
    <t>Synchronization Module (Ethernet)</t>
    <phoneticPr fontId="2" type="noConversion"/>
  </si>
  <si>
    <t>NI 9469</t>
    <phoneticPr fontId="2" type="noConversion"/>
  </si>
  <si>
    <t>NI 9476</t>
    <phoneticPr fontId="2" type="noConversion"/>
  </si>
  <si>
    <t>4 AI, ±10 V, 16 Bit, 100kS/s/ch</t>
    <phoneticPr fontId="2" type="noConversion"/>
  </si>
  <si>
    <t>4 AO, ±10 V, ±40 V Stacked, 16 Bit, 100 kS/s/ch</t>
    <phoneticPr fontId="2" type="noConversion"/>
  </si>
  <si>
    <t>서현테크</t>
    <phoneticPr fontId="2" type="noConversion"/>
  </si>
  <si>
    <t>CAN Interface MODULE</t>
    <phoneticPr fontId="2" type="noConversion"/>
  </si>
  <si>
    <t>DO 32CH MODULE (SOURCE TYPE)</t>
    <phoneticPr fontId="2" type="noConversion"/>
  </si>
  <si>
    <t>PRODIGIT</t>
    <phoneticPr fontId="2" type="noConversion"/>
  </si>
  <si>
    <t>PRODIGIT</t>
  </si>
  <si>
    <t>비오비엔터프라이즈</t>
  </si>
  <si>
    <t>MAIN FRAME</t>
  </si>
  <si>
    <t>3302F</t>
  </si>
  <si>
    <t>-</t>
  </si>
  <si>
    <t>DC ELECTRONIC LOAD(300W / 60V, 60A)</t>
    <phoneticPr fontId="2" type="noConversion"/>
  </si>
  <si>
    <t>RACK MOUNT KIT</t>
    <phoneticPr fontId="2" type="noConversion"/>
  </si>
  <si>
    <t>NI 9862</t>
    <phoneticPr fontId="2" type="noConversion"/>
  </si>
  <si>
    <t>NI 9215</t>
    <phoneticPr fontId="2" type="noConversion"/>
  </si>
  <si>
    <t>NI 9269</t>
    <phoneticPr fontId="2" type="noConversion"/>
  </si>
  <si>
    <t>XG33-25</t>
    <phoneticPr fontId="2" type="noConversion"/>
  </si>
  <si>
    <t>AC SINK OPTION</t>
    <phoneticPr fontId="2" type="noConversion"/>
  </si>
  <si>
    <t>DC POWER SUPPLY(835W, 33V/25A)</t>
    <phoneticPr fontId="2" type="noConversion"/>
  </si>
  <si>
    <t>GPIB Card (Model# -)</t>
    <phoneticPr fontId="2" type="noConversion"/>
  </si>
  <si>
    <t>AMETEK</t>
    <phoneticPr fontId="2" type="noConversion"/>
  </si>
  <si>
    <t>DIGITAL POWER ANALYZER</t>
    <phoneticPr fontId="2" type="noConversion"/>
  </si>
  <si>
    <t>RS-232 기본</t>
    <phoneticPr fontId="2" type="noConversion"/>
  </si>
  <si>
    <t>12주</t>
    <phoneticPr fontId="2" type="noConversion"/>
  </si>
  <si>
    <t>LG</t>
    <phoneticPr fontId="2" type="noConversion"/>
  </si>
  <si>
    <t>테크엔</t>
    <phoneticPr fontId="2" type="noConversion"/>
  </si>
  <si>
    <t>IPC-610-BTO</t>
    <phoneticPr fontId="2" type="noConversion"/>
  </si>
  <si>
    <t>어드밴텍케이알</t>
    <phoneticPr fontId="2" type="noConversion"/>
  </si>
  <si>
    <t>NI</t>
  </si>
  <si>
    <t>Danisens</t>
    <phoneticPr fontId="2" type="noConversion"/>
  </si>
  <si>
    <t>한맥전자</t>
    <phoneticPr fontId="2" type="noConversion"/>
  </si>
  <si>
    <t>CT Conditioner(1CH)</t>
    <phoneticPr fontId="2" type="noConversion"/>
  </si>
  <si>
    <t>고려전자</t>
    <phoneticPr fontId="2" type="noConversion"/>
  </si>
  <si>
    <t>DC ELECTRONIC LOAD RACK</t>
    <phoneticPr fontId="2" type="noConversion"/>
  </si>
  <si>
    <t>GPIB CABLE</t>
    <phoneticPr fontId="2" type="noConversion"/>
  </si>
  <si>
    <t>PICKERING</t>
    <phoneticPr fontId="2" type="noConversion"/>
  </si>
  <si>
    <t>37-Pin D-Type Female Connector Block</t>
    <phoneticPr fontId="2" type="noConversion"/>
  </si>
  <si>
    <t xml:space="preserve">40-965-037-F </t>
    <phoneticPr fontId="2" type="noConversion"/>
  </si>
  <si>
    <t>8주</t>
    <phoneticPr fontId="2" type="noConversion"/>
  </si>
  <si>
    <r>
      <t>PCI Precision Resistor Card 6-Channel, 4</t>
    </r>
    <r>
      <rPr>
        <sz val="11"/>
        <rFont val="Calibri"/>
        <family val="3"/>
        <charset val="161"/>
      </rPr>
      <t>Ω</t>
    </r>
    <r>
      <rPr>
        <sz val="11"/>
        <rFont val="맑은 고딕"/>
        <family val="3"/>
        <charset val="129"/>
        <scheme val="minor"/>
      </rPr>
      <t xml:space="preserve"> to 11.4M</t>
    </r>
    <r>
      <rPr>
        <sz val="11"/>
        <rFont val="Calibri"/>
        <family val="3"/>
        <charset val="161"/>
      </rPr>
      <t>Ω</t>
    </r>
    <phoneticPr fontId="2" type="noConversion"/>
  </si>
  <si>
    <t xml:space="preserve">50-298-053 </t>
    <phoneticPr fontId="2" type="noConversion"/>
  </si>
  <si>
    <t>테스트메이션</t>
    <phoneticPr fontId="2" type="noConversion"/>
  </si>
  <si>
    <t>경석현 팀장</t>
    <phoneticPr fontId="2" type="noConversion"/>
  </si>
  <si>
    <t>NI 9375</t>
    <phoneticPr fontId="2" type="noConversion"/>
  </si>
  <si>
    <t>Monitor Arm 포함</t>
    <phoneticPr fontId="2" type="noConversion"/>
  </si>
  <si>
    <t>SW 구조설계</t>
  </si>
  <si>
    <t>제작품</t>
  </si>
  <si>
    <t>YOKOGAWA</t>
  </si>
  <si>
    <t>SW UI 개발</t>
  </si>
  <si>
    <t>FPGA &amp; RealTime Module 개발</t>
  </si>
  <si>
    <t>CAN 통신 Module 개발</t>
  </si>
  <si>
    <t>Instruments Control Module 개발</t>
  </si>
  <si>
    <t>Manual Mode 개발</t>
  </si>
  <si>
    <t>Schedule Mode 개발</t>
  </si>
  <si>
    <t>데이터 저장 &amp; 분석 Module 개발</t>
  </si>
  <si>
    <t>SW 검증 &amp; 디버깅</t>
  </si>
  <si>
    <t>DSP30-25</t>
  </si>
  <si>
    <t>OPT-488HR</t>
  </si>
  <si>
    <t>IDRC</t>
    <phoneticPr fontId="2" type="noConversion"/>
  </si>
  <si>
    <t>케이에스전자</t>
    <phoneticPr fontId="2" type="noConversion"/>
  </si>
  <si>
    <t>Signal Breakout Board 외 2종 제작</t>
    <phoneticPr fontId="2" type="noConversion"/>
  </si>
  <si>
    <t>778930-01</t>
    <phoneticPr fontId="2" type="noConversion"/>
  </si>
  <si>
    <t>GPIB-PCIe</t>
    <phoneticPr fontId="2" type="noConversion"/>
  </si>
  <si>
    <t>DO 16CH / DI 16CH MODULE (SINK/SOURCE TYPE)</t>
    <phoneticPr fontId="2" type="noConversion"/>
  </si>
  <si>
    <t>16주</t>
    <phoneticPr fontId="2" type="noConversion"/>
  </si>
  <si>
    <t>4주</t>
    <phoneticPr fontId="2" type="noConversion"/>
  </si>
  <si>
    <t>DC POWER SUPPLY(750W, 30V/25A)</t>
    <phoneticPr fontId="2" type="noConversion"/>
  </si>
  <si>
    <t>재고 유</t>
    <phoneticPr fontId="2" type="noConversion"/>
  </si>
  <si>
    <t>cRIO 1년 예상</t>
    <phoneticPr fontId="2" type="noConversion"/>
  </si>
  <si>
    <t xml:space="preserve"> C/340/40/3</t>
    <phoneticPr fontId="2" type="noConversion"/>
  </si>
  <si>
    <t>13주</t>
    <phoneticPr fontId="2" type="noConversion"/>
  </si>
  <si>
    <t>산업용 컴퓨터( i5-8500 / DDR 8G / HDD 2TB / Win 10 pro)</t>
    <phoneticPr fontId="2" type="noConversion"/>
  </si>
  <si>
    <t>현 시점 10일 이내</t>
    <phoneticPr fontId="2" type="noConversion"/>
  </si>
  <si>
    <t>SHR-36</t>
    <phoneticPr fontId="2" type="noConversion"/>
  </si>
  <si>
    <t>Interface box</t>
    <phoneticPr fontId="2" type="noConversion"/>
  </si>
  <si>
    <t>사양서 부재로 S/W 개발 비용 정확한 산정 불가하여 기존 개발 기간 및 RISK비용 고려하여 SW개발비 산정</t>
    <phoneticPr fontId="2" type="noConversion"/>
  </si>
  <si>
    <t>MX30-3PI</t>
    <phoneticPr fontId="2" type="noConversion"/>
  </si>
  <si>
    <t>Tektronix</t>
    <phoneticPr fontId="2" type="noConversion"/>
  </si>
  <si>
    <t>Tektronix 500 MHz galvanically isolated high impedance differential probe
with standard accessory kit</t>
    <phoneticPr fontId="2" type="noConversion"/>
  </si>
  <si>
    <t>TIVP05</t>
    <phoneticPr fontId="2" type="noConversion"/>
  </si>
  <si>
    <t>Tektronix WSQPIN 500X Tip Cable (SHORT)</t>
    <phoneticPr fontId="2" type="noConversion"/>
  </si>
  <si>
    <t>TIVPWS500X</t>
  </si>
  <si>
    <t>Tektronix Differential PROBE</t>
  </si>
  <si>
    <t>THDP0200</t>
    <phoneticPr fontId="2" type="noConversion"/>
  </si>
  <si>
    <t>AC/DC POWER SUPPLY(30kVA) 1P/3P</t>
    <phoneticPr fontId="2" type="noConversion"/>
  </si>
  <si>
    <t>3311F</t>
    <phoneticPr fontId="2" type="noConversion"/>
  </si>
  <si>
    <t>V2G모사, CV, OCP 기능 (LOAD기능 아님)</t>
    <phoneticPr fontId="2" type="noConversion"/>
  </si>
  <si>
    <r>
      <t>APM BPS용(</t>
    </r>
    <r>
      <rPr>
        <sz val="11"/>
        <color rgb="FFFF0000"/>
        <rFont val="맑은 고딕"/>
        <family val="3"/>
        <charset val="129"/>
        <scheme val="minor"/>
      </rPr>
      <t>ICCU TAS 미사용</t>
    </r>
    <r>
      <rPr>
        <sz val="11"/>
        <rFont val="맑은 고딕"/>
        <family val="3"/>
        <charset val="129"/>
        <scheme val="minor"/>
      </rPr>
      <t>)</t>
    </r>
    <phoneticPr fontId="2" type="noConversion"/>
  </si>
  <si>
    <r>
      <t>RESISTOR EMULATOR(</t>
    </r>
    <r>
      <rPr>
        <sz val="11"/>
        <color rgb="FFFF0000"/>
        <rFont val="맑은 고딕"/>
        <family val="3"/>
        <charset val="129"/>
        <scheme val="minor"/>
      </rPr>
      <t>ICCU TAS 미사용</t>
    </r>
    <r>
      <rPr>
        <sz val="11"/>
        <rFont val="맑은 고딕"/>
        <family val="3"/>
        <charset val="129"/>
        <scheme val="minor"/>
      </rPr>
      <t>)</t>
    </r>
    <phoneticPr fontId="2" type="noConversion"/>
  </si>
  <si>
    <r>
      <t>PWM제어(</t>
    </r>
    <r>
      <rPr>
        <sz val="11"/>
        <color rgb="FFFF0000"/>
        <rFont val="맑은 고딕"/>
        <family val="3"/>
        <charset val="129"/>
        <scheme val="minor"/>
      </rPr>
      <t>ICCU TAS 미사용</t>
    </r>
    <r>
      <rPr>
        <sz val="11"/>
        <rFont val="맑은 고딕"/>
        <family val="3"/>
        <charset val="129"/>
        <scheme val="minor"/>
      </rPr>
      <t>)</t>
    </r>
    <phoneticPr fontId="2" type="noConversion"/>
  </si>
  <si>
    <t>구두견적</t>
    <phoneticPr fontId="2" type="noConversion"/>
  </si>
  <si>
    <t>V2L모사</t>
    <phoneticPr fontId="2" type="noConversion"/>
  </si>
  <si>
    <t>OBC AC IN</t>
    <phoneticPr fontId="2" type="noConversion"/>
  </si>
  <si>
    <t>LDC HVDC IN</t>
    <phoneticPr fontId="2" type="noConversion"/>
  </si>
  <si>
    <t>OBC HVDC OUT</t>
    <phoneticPr fontId="2" type="noConversion"/>
  </si>
  <si>
    <t>LDC LVDC OUT</t>
    <phoneticPr fontId="2" type="noConversion"/>
  </si>
  <si>
    <t>LVDC 출력 2CH</t>
    <phoneticPr fontId="2" type="noConversion"/>
  </si>
  <si>
    <t>양방향 P/S E/L 미적용</t>
    <phoneticPr fontId="2" type="noConversion"/>
  </si>
  <si>
    <t>ICCU TAS 미사용 부분에 대해 적용 여부 담당자 확인 필요</t>
    <phoneticPr fontId="2" type="noConversion"/>
  </si>
  <si>
    <t>범한</t>
    <phoneticPr fontId="2" type="noConversion"/>
  </si>
  <si>
    <t>BHNCT-HC1K</t>
    <phoneticPr fontId="2" type="noConversion"/>
  </si>
  <si>
    <t>NCT (1kW / H-Class)</t>
    <phoneticPr fontId="2" type="noConversion"/>
  </si>
  <si>
    <r>
      <t xml:space="preserve">Board 미제작 기성품relay 적용 </t>
    </r>
    <r>
      <rPr>
        <sz val="11"/>
        <color rgb="FFFF0000"/>
        <rFont val="맑은 고딕"/>
        <family val="3"/>
        <charset val="129"/>
        <scheme val="minor"/>
      </rPr>
      <t>(제외)</t>
    </r>
    <phoneticPr fontId="2" type="noConversion"/>
  </si>
  <si>
    <t>PCAN-Repeater DR</t>
    <phoneticPr fontId="2" type="noConversion"/>
  </si>
  <si>
    <t>IPEH-004038</t>
  </si>
  <si>
    <t>PEAK</t>
    <phoneticPr fontId="2" type="noConversion"/>
  </si>
  <si>
    <t>임베디드시스템코리아</t>
    <phoneticPr fontId="2" type="noConversion"/>
  </si>
  <si>
    <r>
      <t xml:space="preserve">CAN Isolation </t>
    </r>
    <r>
      <rPr>
        <sz val="11"/>
        <color rgb="FFFF0000"/>
        <rFont val="맑은 고딕"/>
        <family val="3"/>
        <charset val="129"/>
        <scheme val="minor"/>
      </rPr>
      <t>(추가적용)</t>
    </r>
    <phoneticPr fontId="2" type="noConversion"/>
  </si>
  <si>
    <r>
      <t xml:space="preserve">Control Rack 입력, 서현 견적서상 누락 </t>
    </r>
    <r>
      <rPr>
        <sz val="11"/>
        <color rgb="FFFF0000"/>
        <rFont val="맑은 고딕"/>
        <family val="3"/>
        <charset val="129"/>
        <scheme val="minor"/>
      </rPr>
      <t>(추가적용)</t>
    </r>
    <phoneticPr fontId="2" type="noConversion"/>
  </si>
  <si>
    <t>WT1806E-15-F-HE/G5</t>
    <phoneticPr fontId="2" type="noConversion"/>
  </si>
  <si>
    <t>DC POWER SUPPLY(15kW, 1500V/30A)</t>
    <phoneticPr fontId="2" type="noConversion"/>
  </si>
  <si>
    <t>DSP1500-30WE</t>
    <phoneticPr fontId="2" type="noConversion"/>
  </si>
  <si>
    <t>GPIB Option</t>
    <phoneticPr fontId="2" type="noConversion"/>
  </si>
  <si>
    <t>WR-OPT-488</t>
    <phoneticPr fontId="2" type="noConversion"/>
  </si>
  <si>
    <t>Current Probe 150A</t>
    <phoneticPr fontId="2" type="noConversion"/>
  </si>
  <si>
    <t>Current Probe 500A</t>
    <phoneticPr fontId="2" type="noConversion"/>
  </si>
  <si>
    <t>Differential Probe 1500V</t>
    <phoneticPr fontId="2" type="noConversion"/>
  </si>
  <si>
    <t>솔버스</t>
    <phoneticPr fontId="2" type="noConversion"/>
  </si>
  <si>
    <t>HUBER</t>
    <phoneticPr fontId="2" type="noConversion"/>
  </si>
  <si>
    <t>케이스카이</t>
    <phoneticPr fontId="2" type="noConversion"/>
  </si>
  <si>
    <t>Chiller : 600H-OLE(Including oil, hose)</t>
    <phoneticPr fontId="2" type="noConversion"/>
  </si>
  <si>
    <t>32MN500M</t>
    <phoneticPr fontId="2" type="noConversion"/>
  </si>
  <si>
    <t>32인치 모니터</t>
    <phoneticPr fontId="2" type="noConversion"/>
  </si>
  <si>
    <t>GP20(100ch)</t>
    <phoneticPr fontId="2" type="noConversion"/>
  </si>
  <si>
    <t>CANalyzer PRO</t>
    <phoneticPr fontId="2" type="noConversion"/>
  </si>
  <si>
    <t>VECTOR</t>
    <phoneticPr fontId="2" type="noConversion"/>
  </si>
  <si>
    <t>벡터코리아</t>
    <phoneticPr fontId="2" type="noConversion"/>
  </si>
  <si>
    <t>CANalyzer PRO Option .LIN</t>
    <phoneticPr fontId="2" type="noConversion"/>
  </si>
  <si>
    <t>vFlash</t>
    <phoneticPr fontId="2" type="noConversion"/>
  </si>
  <si>
    <t>VN1640A CAN/LIN Network Interface</t>
    <phoneticPr fontId="2" type="noConversion"/>
  </si>
  <si>
    <t>LINpiggy 7269mag</t>
    <phoneticPr fontId="2" type="noConversion"/>
  </si>
  <si>
    <t>CANpiggy 1057Gcap</t>
    <phoneticPr fontId="2" type="noConversion"/>
  </si>
  <si>
    <t>CANcable Set pro</t>
    <phoneticPr fontId="2" type="noConversion"/>
  </si>
  <si>
    <t>05060</t>
    <phoneticPr fontId="2" type="noConversion"/>
  </si>
  <si>
    <t>Training Voucher VK PND</t>
    <phoneticPr fontId="2" type="noConversion"/>
  </si>
  <si>
    <t>VOUCHERV K_PND</t>
    <phoneticPr fontId="2" type="noConversion"/>
  </si>
  <si>
    <t>GP20-1E1F</t>
    <phoneticPr fontId="2" type="noConversion"/>
  </si>
  <si>
    <t>Analog Input Module</t>
    <phoneticPr fontId="2" type="noConversion"/>
  </si>
  <si>
    <t>GX90XA-10-U2N-CN</t>
    <phoneticPr fontId="2" type="noConversion"/>
  </si>
  <si>
    <t>AC/DC ELECTRONIC LOAD(4500W, 350Vrms/45Arms)</t>
    <phoneticPr fontId="2" type="noConversion"/>
  </si>
  <si>
    <t>Chroma</t>
    <phoneticPr fontId="2" type="noConversion"/>
  </si>
  <si>
    <t>제일엠아이</t>
    <phoneticPr fontId="2" type="noConversion"/>
  </si>
  <si>
    <t>20주</t>
    <phoneticPr fontId="2" type="noConversion"/>
  </si>
  <si>
    <t>DC ELECTRONIC LOAD(1200V/960A/24kW (13U)</t>
    <phoneticPr fontId="2" type="noConversion"/>
  </si>
  <si>
    <t>63224A-1200-960</t>
    <phoneticPr fontId="2" type="noConversion"/>
  </si>
  <si>
    <t>DC ELECTRONIC LOAD (150V / 600A / 6kW (4U)</t>
    <phoneticPr fontId="2" type="noConversion"/>
  </si>
  <si>
    <t>사급</t>
    <phoneticPr fontId="2" type="noConversion"/>
  </si>
  <si>
    <t xml:space="preserve">홀추가, Type : C-340/40 </t>
    <phoneticPr fontId="2" type="noConversion"/>
  </si>
  <si>
    <t>63206A-150-600</t>
    <phoneticPr fontId="2" type="noConversion"/>
  </si>
  <si>
    <t>MSO54B 5-BW-500</t>
    <phoneticPr fontId="2" type="noConversion"/>
  </si>
  <si>
    <t>Tektronix Mixed Signal Oscilloscope; BW 500MHz</t>
    <phoneticPr fontId="2" type="noConversion"/>
  </si>
  <si>
    <t>28주</t>
    <phoneticPr fontId="2" type="noConversion"/>
  </si>
  <si>
    <t>21주</t>
    <phoneticPr fontId="2" type="noConversion"/>
  </si>
  <si>
    <t>CT (600A Peak)</t>
    <phoneticPr fontId="2" type="noConversion"/>
  </si>
  <si>
    <t>DS400ID</t>
    <phoneticPr fontId="2" type="noConversion"/>
  </si>
  <si>
    <t>IDCM 2ea, ICCU #A, #B 각각 1ea</t>
    <phoneticPr fontId="2" type="noConversion"/>
  </si>
  <si>
    <t>스마트인스트루먼트</t>
    <phoneticPr fontId="2" type="noConversion"/>
  </si>
  <si>
    <t>LG마그나) ICCU TAS 양방향화 upgrade</t>
    <phoneticPr fontId="2" type="noConversion"/>
  </si>
  <si>
    <t>3. Software Parts</t>
    <phoneticPr fontId="2" type="noConversion"/>
  </si>
  <si>
    <t>4. 인건비</t>
    <phoneticPr fontId="2" type="noConversion"/>
  </si>
  <si>
    <t>TS테크) Pre ChargeRelay 특성평가 시험장비 BOM</t>
    <phoneticPr fontId="2" type="noConversion"/>
  </si>
  <si>
    <t>NCT (2kW / H-Class)</t>
    <phoneticPr fontId="2" type="noConversion"/>
  </si>
  <si>
    <t>BHNCT-HC2K</t>
    <phoneticPr fontId="2" type="noConversion"/>
  </si>
  <si>
    <t>UPS</t>
    <phoneticPr fontId="2" type="noConversion"/>
  </si>
  <si>
    <t>SMT1000RMI2UC</t>
    <phoneticPr fontId="2" type="noConversion"/>
  </si>
  <si>
    <t>써미트시스템</t>
    <phoneticPr fontId="2" type="noConversion"/>
  </si>
  <si>
    <t>19인치 모니터</t>
    <phoneticPr fontId="2" type="noConversion"/>
  </si>
  <si>
    <t>테크앤</t>
    <phoneticPr fontId="2" type="noConversion"/>
  </si>
  <si>
    <t>산업용 PC</t>
    <phoneticPr fontId="2" type="noConversion"/>
  </si>
  <si>
    <t>IPC-610H-BTO</t>
    <phoneticPr fontId="2" type="noConversion"/>
  </si>
  <si>
    <t>어드밴텍</t>
    <phoneticPr fontId="2" type="noConversion"/>
  </si>
  <si>
    <t>EA</t>
    <phoneticPr fontId="2" type="noConversion"/>
  </si>
  <si>
    <t>Bipolar DC Power</t>
  </si>
  <si>
    <t xml:space="preserve"> KIKUSHUI</t>
  </si>
  <si>
    <t>Keithley</t>
  </si>
  <si>
    <t>7½-Digit Graphical Sampling Multimeter</t>
  </si>
  <si>
    <t>HIOKI</t>
  </si>
  <si>
    <t xml:space="preserve">작동전압/시간,순단시간 측정 </t>
    <phoneticPr fontId="2" type="noConversion"/>
  </si>
  <si>
    <t xml:space="preserve">릴레이 출력 공급 전압 </t>
    <phoneticPr fontId="2" type="noConversion"/>
  </si>
  <si>
    <t xml:space="preserve">누설전류측정 </t>
    <phoneticPr fontId="2" type="noConversion"/>
  </si>
  <si>
    <t xml:space="preserve">절연저항,누설전류 측정 </t>
    <phoneticPr fontId="2" type="noConversion"/>
  </si>
  <si>
    <t>1. Source&amp;Measurement Parts</t>
    <phoneticPr fontId="2" type="noConversion"/>
  </si>
  <si>
    <t>2. Control Parts</t>
    <phoneticPr fontId="2" type="noConversion"/>
  </si>
  <si>
    <t>3. Control rack Parts</t>
    <phoneticPr fontId="2" type="noConversion"/>
  </si>
  <si>
    <t>Pre-Charge Relay Test Circuit Ass'y</t>
    <phoneticPr fontId="2" type="noConversion"/>
  </si>
  <si>
    <t>SSR(1200V, 25A)</t>
    <phoneticPr fontId="2" type="noConversion"/>
  </si>
  <si>
    <t>ASR-SJ1200D25WL</t>
    <phoneticPr fontId="2" type="noConversion"/>
  </si>
  <si>
    <t>Altran Magnetics</t>
    <phoneticPr fontId="2" type="noConversion"/>
  </si>
  <si>
    <t>Capacitor / 1000uF</t>
    <phoneticPr fontId="2" type="noConversion"/>
  </si>
  <si>
    <t>EA PSI 11500-60</t>
    <phoneticPr fontId="2" type="noConversion"/>
  </si>
  <si>
    <t>EA PU 11500-60</t>
    <phoneticPr fontId="2" type="noConversion"/>
  </si>
  <si>
    <t>OscilloScope</t>
    <phoneticPr fontId="2" type="noConversion"/>
  </si>
  <si>
    <t>TC</t>
    <phoneticPr fontId="2" type="noConversion"/>
  </si>
  <si>
    <t>RARA</t>
    <phoneticPr fontId="2" type="noConversion"/>
  </si>
  <si>
    <t>cDAQ-9185</t>
    <phoneticPr fontId="2" type="noConversion"/>
  </si>
  <si>
    <t>4-슬롯, Ether Type CompactDAQ Chassis</t>
    <phoneticPr fontId="2" type="noConversion"/>
  </si>
  <si>
    <t>High Voltage 1MS/s, 16Bit Isolation Module</t>
    <phoneticPr fontId="2" type="noConversion"/>
  </si>
  <si>
    <t>Measurement  lead set</t>
    <phoneticPr fontId="2" type="noConversion"/>
  </si>
  <si>
    <t>1:1 Safety adapter lead</t>
    <phoneticPr fontId="2" type="noConversion"/>
  </si>
  <si>
    <t>Fork Terminal adapters</t>
    <phoneticPr fontId="2" type="noConversion"/>
  </si>
  <si>
    <t>Pre-Charge Relay Test Box</t>
    <phoneticPr fontId="2" type="noConversion"/>
  </si>
  <si>
    <t>KZG 2000 40J</t>
    <phoneticPr fontId="2" type="noConversion"/>
  </si>
  <si>
    <t>B25620B1108K203</t>
    <phoneticPr fontId="2" type="noConversion"/>
  </si>
  <si>
    <t>EPCOS</t>
    <phoneticPr fontId="2" type="noConversion"/>
  </si>
  <si>
    <t>전압</t>
    <phoneticPr fontId="2" type="noConversion"/>
  </si>
  <si>
    <t>전류</t>
    <phoneticPr fontId="2" type="noConversion"/>
  </si>
  <si>
    <t>출력부</t>
    <phoneticPr fontId="2" type="noConversion"/>
  </si>
  <si>
    <t xml:space="preserve">제어부 </t>
    <phoneticPr fontId="2" type="noConversion"/>
  </si>
  <si>
    <t>온도 3</t>
    <phoneticPr fontId="2" type="noConversion"/>
  </si>
  <si>
    <t xml:space="preserve">전압 3, 전류 3, </t>
    <phoneticPr fontId="2" type="noConversion"/>
  </si>
  <si>
    <t xml:space="preserve">전압3, rms전류 3, </t>
    <phoneticPr fontId="2" type="noConversion"/>
  </si>
  <si>
    <t xml:space="preserve">테스트리드는 수동으로 </t>
    <phoneticPr fontId="2" type="noConversion"/>
  </si>
  <si>
    <t>절연저항, 내전압시험기, 누설전류 측정 부분</t>
    <phoneticPr fontId="2" type="noConversion"/>
  </si>
  <si>
    <t>요꼬가와 스코프로 활용?도 가능 방전전압 XXX</t>
    <phoneticPr fontId="2" type="noConversion"/>
  </si>
  <si>
    <t>12V 별도 파워 필요?? 저전압 파워 별도 추가 필요</t>
    <phoneticPr fontId="2" type="noConversion"/>
  </si>
  <si>
    <t>LDC Power (12V)</t>
    <phoneticPr fontId="2" type="noConversion"/>
  </si>
  <si>
    <t>제어 입력부 전류 측정은 10mA (미적용)</t>
    <phoneticPr fontId="2" type="noConversion"/>
  </si>
  <si>
    <t>시퀀스로 제어, 1-2-3</t>
    <phoneticPr fontId="2" type="noConversion"/>
  </si>
  <si>
    <t>신뢰성 시험 정상 동작 판단만</t>
    <phoneticPr fontId="2" type="noConversion"/>
  </si>
  <si>
    <t>부하도 공통, 전류 측정도 공통 총 1ch로</t>
    <phoneticPr fontId="2" type="noConversion"/>
  </si>
  <si>
    <t>800v</t>
    <phoneticPr fontId="2" type="noConversion"/>
  </si>
  <si>
    <t>5~60Apeak</t>
    <phoneticPr fontId="2" type="noConversion"/>
  </si>
  <si>
    <t>출력단은 순차 동작</t>
    <phoneticPr fontId="2" type="noConversion"/>
  </si>
  <si>
    <t>ScopeCorder</t>
    <phoneticPr fontId="2" type="noConversion"/>
  </si>
  <si>
    <t>비정상차단 모사, 450V 10A</t>
    <phoneticPr fontId="2" type="noConversion"/>
  </si>
  <si>
    <t>비정상차단 모사, 800V 10A</t>
    <phoneticPr fontId="2" type="noConversion"/>
  </si>
  <si>
    <t>High-speed 1 MS/s 16-Bit Isolation Module (2 ch)</t>
    <phoneticPr fontId="2" type="noConversion"/>
  </si>
  <si>
    <t>NI-9269</t>
    <phoneticPr fontId="2" type="noConversion"/>
  </si>
  <si>
    <t>EX30-20</t>
  </si>
  <si>
    <t>High Voltge DC Power / IN 3P 220V</t>
    <phoneticPr fontId="2" type="noConversion"/>
  </si>
  <si>
    <t>High Voltge DC Power</t>
    <phoneticPr fontId="2" type="noConversion"/>
  </si>
  <si>
    <t>AO, 1 MS/s/ch 동시, ±10 V, 절연, 4-채널 C 시리즈 전압 출력 모듈</t>
    <phoneticPr fontId="2" type="noConversion"/>
  </si>
  <si>
    <t>NI-9426</t>
    <phoneticPr fontId="2" type="noConversion"/>
  </si>
  <si>
    <t>DIO, 36V, 32채널 (소싱 출력), 500µs C 시리즈 디지털 모듈</t>
    <phoneticPr fontId="2" type="noConversion"/>
  </si>
  <si>
    <t>ODA</t>
    <phoneticPr fontId="2" type="noConversion"/>
  </si>
  <si>
    <t>진단기능</t>
  </si>
  <si>
    <t>기능구현</t>
  </si>
  <si>
    <t>4. Software Parts</t>
    <phoneticPr fontId="2" type="noConversion"/>
  </si>
  <si>
    <t>5. 인건비</t>
    <phoneticPr fontId="2" type="noConversion"/>
  </si>
  <si>
    <t>NI-9207</t>
  </si>
  <si>
    <t>AI, 500 S/s, 16-채널 C 시리즈 ​전압 및 전류 입력 모듈</t>
    <phoneticPr fontId="2" type="noConversion"/>
  </si>
  <si>
    <t>DMM7510</t>
    <phoneticPr fontId="2" type="noConversion"/>
  </si>
  <si>
    <t>접촉저항측정용 전압강하 측정</t>
    <phoneticPr fontId="2" type="noConversion"/>
  </si>
  <si>
    <t>방전 전압 확인용</t>
    <phoneticPr fontId="2" type="noConversion"/>
  </si>
  <si>
    <t>verivolt</t>
    <phoneticPr fontId="2" type="noConversion"/>
  </si>
  <si>
    <t>P1917S</t>
    <phoneticPr fontId="2" type="noConversion"/>
  </si>
  <si>
    <t>DELL</t>
    <phoneticPr fontId="2" type="noConversion"/>
  </si>
  <si>
    <t>701265 / 2CH</t>
    <phoneticPr fontId="2" type="noConversion"/>
  </si>
  <si>
    <t>High Voltge DC Power(M) / IN 3P 220V / 18kW사용가능</t>
    <phoneticPr fontId="2" type="noConversion"/>
  </si>
  <si>
    <t>High Voltge DC Power(S)</t>
    <phoneticPr fontId="2" type="noConversion"/>
  </si>
  <si>
    <t>ISOBLOCK V-1C (1500V 5V)</t>
    <phoneticPr fontId="2" type="noConversion"/>
  </si>
  <si>
    <t xml:space="preserve">PBZ-40-10 </t>
    <phoneticPr fontId="2" type="noConversion"/>
  </si>
  <si>
    <t>BP4610</t>
    <phoneticPr fontId="2" type="noConversion"/>
  </si>
  <si>
    <t>NF</t>
    <phoneticPr fontId="2" type="noConversion"/>
  </si>
  <si>
    <t>Power Rack 제작 외</t>
    <phoneticPr fontId="2" type="noConversion"/>
  </si>
  <si>
    <t>8-슬롯, TSN 지원 이더넷 CompactDAQ 섀시</t>
    <phoneticPr fontId="2" type="noConversion"/>
  </si>
  <si>
    <t>cDAQ-9189</t>
    <phoneticPr fontId="2" type="noConversion"/>
  </si>
  <si>
    <t>선택사항</t>
    <phoneticPr fontId="2" type="noConversion"/>
  </si>
  <si>
    <t>전압 6, 전류RMS 1</t>
    <phoneticPr fontId="2" type="noConversion"/>
  </si>
  <si>
    <t>Voltage Transducer</t>
    <phoneticPr fontId="2" type="noConversion"/>
  </si>
  <si>
    <t>W</t>
    <phoneticPr fontId="2" type="noConversion"/>
  </si>
  <si>
    <t>A</t>
    <phoneticPr fontId="2" type="noConversion"/>
  </si>
  <si>
    <t>V</t>
    <phoneticPr fontId="2" type="noConversion"/>
  </si>
  <si>
    <t>R</t>
    <phoneticPr fontId="2" type="noConversion"/>
  </si>
  <si>
    <t>T</t>
    <phoneticPr fontId="2" type="noConversion"/>
  </si>
  <si>
    <t>C</t>
    <phoneticPr fontId="2" type="noConversion"/>
  </si>
  <si>
    <t>s</t>
    <phoneticPr fontId="2" type="noConversion"/>
  </si>
  <si>
    <t>&lt;-5T</t>
    <phoneticPr fontId="2" type="noConversion"/>
  </si>
  <si>
    <t>입력 전압 PWM(spare),  Dis char SW싱크</t>
    <phoneticPr fontId="2" type="noConversion"/>
  </si>
  <si>
    <t>KZG 2000 1KJ</t>
    <phoneticPr fontId="2" type="noConversion"/>
  </si>
  <si>
    <t>1kohm Resistor (2kW, 5%)</t>
    <phoneticPr fontId="2" type="noConversion"/>
  </si>
  <si>
    <t>40ohm Resistor (2kW, 5%)</t>
    <phoneticPr fontId="2" type="noConversion"/>
  </si>
  <si>
    <t>45ohm Resistor (2kW, 5%), 비정상차단 모사</t>
    <phoneticPr fontId="2" type="noConversion"/>
  </si>
  <si>
    <t>40ohm Resistor (2kW, 5%), 방전저항</t>
    <phoneticPr fontId="2" type="noConversion"/>
  </si>
  <si>
    <t>출력부 전류(RC), 전류RMS</t>
    <phoneticPr fontId="2" type="noConversion"/>
  </si>
  <si>
    <t>NI-9207</t>
    <phoneticPr fontId="2" type="noConversion"/>
  </si>
  <si>
    <t>방전 전압 모니터링+@</t>
    <phoneticPr fontId="2" type="noConversion"/>
  </si>
  <si>
    <t>CAP 방전용</t>
    <phoneticPr fontId="2" type="noConversion"/>
  </si>
  <si>
    <t>Pre charge 저항</t>
    <phoneticPr fontId="2" type="noConversion"/>
  </si>
  <si>
    <t>Pre charge CAP</t>
    <phoneticPr fontId="2" type="noConversion"/>
  </si>
  <si>
    <t>80ohm Resistor (2kW, 5%), 비정상차단 모사</t>
    <phoneticPr fontId="2" type="noConversion"/>
  </si>
  <si>
    <t xml:space="preserve"> 제어전압 Step 입력</t>
    <phoneticPr fontId="2" type="noConversion"/>
  </si>
  <si>
    <t>DL950-F-HK/M1/ST2/P4/C60</t>
    <phoneticPr fontId="2" type="noConversion"/>
  </si>
  <si>
    <t>Current probe</t>
    <phoneticPr fontId="2" type="noConversion"/>
  </si>
  <si>
    <t>Temperature/high-precision voltage Module (2 ch)</t>
    <phoneticPr fontId="2" type="noConversion"/>
  </si>
  <si>
    <t>Differential Probe / 1.5 kV, 150 MHz, 50:1 / 500:1</t>
    <phoneticPr fontId="2" type="noConversion"/>
  </si>
  <si>
    <t>720268 /2CH</t>
    <phoneticPr fontId="2" type="noConversion"/>
  </si>
  <si>
    <t>701251 / 2CH</t>
    <phoneticPr fontId="2" type="noConversion"/>
  </si>
  <si>
    <t>High Voltage 1MS/s, 16Bit Isolation Module (2 ch)</t>
    <phoneticPr fontId="2" type="noConversion"/>
  </si>
  <si>
    <t>출력부 전류(RC), 출력부 전류RMS</t>
    <phoneticPr fontId="2" type="noConversion"/>
  </si>
  <si>
    <t>pre-char 전류 측정 1</t>
    <phoneticPr fontId="2" type="noConversion"/>
  </si>
  <si>
    <t>온도 6</t>
    <phoneticPr fontId="2" type="noConversion"/>
  </si>
  <si>
    <t>출력 전압 3, 전류RMS 1</t>
    <phoneticPr fontId="2" type="noConversion"/>
  </si>
  <si>
    <t>BNC to Banana Conversion Adapter</t>
    <phoneticPr fontId="2" type="noConversion"/>
  </si>
  <si>
    <t>720256 / 4CH</t>
    <phoneticPr fontId="2" type="noConversion"/>
  </si>
  <si>
    <t>10 MS/s 16-Bit Isolation Module (4ch)</t>
    <phoneticPr fontId="2" type="noConversion"/>
  </si>
  <si>
    <t>Large Alligator Clip Adapter 1000V</t>
    <phoneticPr fontId="2" type="noConversion"/>
  </si>
  <si>
    <t>720268 / 2CH</t>
    <phoneticPr fontId="2" type="noConversion"/>
  </si>
  <si>
    <t>출력 pre-char 전류 측정 1</t>
    <phoneticPr fontId="2" type="noConversion"/>
  </si>
  <si>
    <t>입력 전압 3, 전류 3 BNC</t>
    <phoneticPr fontId="2" type="noConversion"/>
  </si>
  <si>
    <t>Shunt Resistor(1A/ 50mV, 0.2%)</t>
    <phoneticPr fontId="2" type="noConversion"/>
  </si>
  <si>
    <t>입력전압 3 악어클립</t>
    <phoneticPr fontId="2" type="noConversion"/>
  </si>
  <si>
    <t>입력전압 3 케이블</t>
    <phoneticPr fontId="2" type="noConversion"/>
  </si>
  <si>
    <t>입력전류 3 shunt</t>
    <phoneticPr fontId="2" type="noConversion"/>
  </si>
  <si>
    <t>출력전압 3 케이블</t>
    <phoneticPr fontId="2" type="noConversion"/>
  </si>
  <si>
    <t>출력전압 3 포크터미널</t>
    <phoneticPr fontId="2" type="noConversion"/>
  </si>
  <si>
    <t>제어전압 0~12V</t>
    <phoneticPr fontId="2" type="noConversion"/>
  </si>
  <si>
    <t>출력전류 1 BNC케이블</t>
    <phoneticPr fontId="2" type="noConversion"/>
  </si>
  <si>
    <t>출력전류 1 RMS probe</t>
    <phoneticPr fontId="2" type="noConversion"/>
  </si>
  <si>
    <t>출력 온도 3ch</t>
    <phoneticPr fontId="2" type="noConversion"/>
  </si>
  <si>
    <t xml:space="preserve"> KIKUSHUI</t>
    <phoneticPr fontId="2" type="noConversion"/>
  </si>
  <si>
    <t>PBZ40-10</t>
    <phoneticPr fontId="2" type="noConversion"/>
  </si>
  <si>
    <t>입력측 측정 필요 검토</t>
    <phoneticPr fontId="2" type="noConversion"/>
  </si>
  <si>
    <t>입력 dc pw 적용 bom</t>
    <phoneticPr fontId="2" type="noConversion"/>
  </si>
  <si>
    <t>견적 제출 bom _ 출력 전류 2ch(rms, RC회로 측정용)</t>
    <phoneticPr fontId="2" type="noConversion"/>
  </si>
  <si>
    <t>Bipolar DC Power</t>
    <phoneticPr fontId="2" type="noConversion"/>
  </si>
  <si>
    <t>출력전압 0~12V</t>
    <phoneticPr fontId="2" type="noConversion"/>
  </si>
  <si>
    <t>인가전압 450, 800V</t>
    <phoneticPr fontId="2" type="noConversion"/>
  </si>
  <si>
    <t>Low Voltage DC Power (12V)</t>
    <phoneticPr fontId="2" type="noConversion"/>
  </si>
  <si>
    <t>인가전압 12V</t>
    <phoneticPr fontId="2" type="noConversion"/>
  </si>
  <si>
    <t>High Voltage DC Power (IN 3P 220V / Master)</t>
    <phoneticPr fontId="2" type="noConversion"/>
  </si>
  <si>
    <t>High Voltage DC Power (IN 3P 220V / Slave)</t>
    <phoneticPr fontId="2" type="noConversion"/>
  </si>
  <si>
    <t>방전 전압 모니터링+@판넬메터 적용(rack제작포함)</t>
    <phoneticPr fontId="2" type="noConversion"/>
  </si>
  <si>
    <t>80J</t>
    <phoneticPr fontId="2" type="noConversion"/>
  </si>
  <si>
    <t>45J</t>
    <phoneticPr fontId="2" type="noConversion"/>
  </si>
  <si>
    <t>DSP030-025HR / 850W</t>
    <phoneticPr fontId="2" type="noConversion"/>
  </si>
  <si>
    <t>인가전압 450, 800V / 인가전압 40V 이하 80A(CC)</t>
    <phoneticPr fontId="2" type="noConversion"/>
  </si>
  <si>
    <t>8kW 80J</t>
    <phoneticPr fontId="2" type="noConversion"/>
  </si>
  <si>
    <t>4.5kW 45J</t>
    <phoneticPr fontId="2" type="noConversion"/>
  </si>
  <si>
    <t>45ohm Resistor (4.5kW, 5%), 비정상차단 모사</t>
    <phoneticPr fontId="2" type="noConversion"/>
  </si>
  <si>
    <t>80ohm Resistor (8kW, 5%), 비정상차단 모사</t>
    <phoneticPr fontId="2" type="noConversion"/>
  </si>
  <si>
    <t>DAERIM</t>
    <phoneticPr fontId="2" type="noConversion"/>
  </si>
  <si>
    <t>EX30-20</t>
    <phoneticPr fontId="2" type="noConversion"/>
  </si>
  <si>
    <t>RACK1 - 기본성능검사 제작 외</t>
    <phoneticPr fontId="2" type="noConversion"/>
  </si>
  <si>
    <t>RACK1 - Control Rack 제작 외</t>
    <phoneticPr fontId="2" type="noConversion"/>
  </si>
  <si>
    <t>RACK2 - Power Rack 제작 외</t>
    <phoneticPr fontId="2" type="noConversion"/>
  </si>
  <si>
    <t>장비개별 사용 가능하게 구성(마운트X)</t>
    <phoneticPr fontId="2" type="noConversion"/>
  </si>
  <si>
    <t>DLM3034-F-HK/M1/P4</t>
    <phoneticPr fontId="2" type="noConversion"/>
  </si>
  <si>
    <t xml:space="preserve">NI-9269 </t>
    <phoneticPr fontId="2" type="noConversion"/>
  </si>
  <si>
    <t>High Voltage DC Power (인가전압 / IN 3P 220V / Master)</t>
    <phoneticPr fontId="2" type="noConversion"/>
  </si>
  <si>
    <t>High Voltage DC Power (인가전압 / IN 3P 220V / Slave)</t>
    <phoneticPr fontId="2" type="noConversion"/>
  </si>
  <si>
    <t>DSP030-025HR</t>
    <phoneticPr fontId="2" type="noConversion"/>
  </si>
  <si>
    <t>인가전압 0~24V, 850W</t>
    <phoneticPr fontId="2" type="noConversion"/>
  </si>
  <si>
    <t>High Voltage Source Meter</t>
    <phoneticPr fontId="2" type="noConversion"/>
  </si>
  <si>
    <t>Insulation/Withstanding HiTester</t>
    <phoneticPr fontId="2" type="noConversion"/>
  </si>
  <si>
    <t>RACK2 - 절연저항, 내전압, 누설전류시험 제작 외</t>
    <phoneticPr fontId="2" type="noConversion"/>
  </si>
  <si>
    <t>스마트인스트루먼트</t>
  </si>
  <si>
    <t>Low Voltage DC Power (제어전압 3, 인가전압 1)</t>
    <phoneticPr fontId="2" type="noConversion"/>
  </si>
  <si>
    <t>Low Voltage DC Power (인가전압 1)</t>
    <phoneticPr fontId="2" type="noConversion"/>
  </si>
  <si>
    <t>DL950-F-HK/M1/ST2/C60/P4</t>
    <phoneticPr fontId="2" type="noConversion"/>
  </si>
  <si>
    <t>Low Voltage DC Power (제어전압 6)</t>
    <phoneticPr fontId="2" type="noConversion"/>
  </si>
  <si>
    <t>1MS/s 16bit Isolation Module (4 ch)</t>
    <phoneticPr fontId="2" type="noConversion"/>
  </si>
  <si>
    <t>방전 전압 확인용 1</t>
    <phoneticPr fontId="2" type="noConversion"/>
  </si>
  <si>
    <t xml:space="preserve">제어전압/시간,순단시간 측정 </t>
    <phoneticPr fontId="2" type="noConversion"/>
  </si>
  <si>
    <t>입력전압 PWM(spare),  Dis char SW싱크</t>
    <phoneticPr fontId="2" type="noConversion"/>
  </si>
  <si>
    <t>방전전압 모니터링+@판넬메터 적용(rack제작포함)</t>
    <phoneticPr fontId="2" type="noConversion"/>
  </si>
  <si>
    <t>방전전압 확인용 1</t>
    <phoneticPr fontId="2" type="noConversion"/>
  </si>
  <si>
    <t>인가전압 1 측정</t>
    <phoneticPr fontId="2" type="noConversion"/>
  </si>
  <si>
    <t>제어전류 1, 인가전류 1 / 필요시 수량 변경 가능성 有</t>
    <phoneticPr fontId="2" type="noConversion"/>
  </si>
  <si>
    <t>인가전류 1 BNC케이블</t>
    <phoneticPr fontId="2" type="noConversion"/>
  </si>
  <si>
    <t>인가전류 1 probe</t>
    <phoneticPr fontId="2" type="noConversion"/>
  </si>
  <si>
    <t>제어전압 PWM(spare),  Dis char SW싱크</t>
    <phoneticPr fontId="2" type="noConversion"/>
  </si>
  <si>
    <t>인가전압 6 포크터미널</t>
  </si>
  <si>
    <t>인가전류 1 아답터</t>
  </si>
  <si>
    <t>인가전류 6, RC회로, Shunt사용</t>
    <phoneticPr fontId="2" type="noConversion"/>
  </si>
  <si>
    <t>DAQ(res 1%, sampling 100ms)</t>
    <phoneticPr fontId="2" type="noConversion"/>
  </si>
  <si>
    <t>VZ20X (8ch, 1ms)</t>
    <phoneticPr fontId="2" type="noConversion"/>
  </si>
  <si>
    <t>(온도 6 선택사항)</t>
    <phoneticPr fontId="2" type="noConversion"/>
  </si>
  <si>
    <t>Data Acqusition Module</t>
    <phoneticPr fontId="2" type="noConversion"/>
  </si>
  <si>
    <t>GM10-1E0</t>
    <phoneticPr fontId="2" type="noConversion"/>
  </si>
  <si>
    <t>Power Supply Module</t>
    <phoneticPr fontId="2" type="noConversion"/>
  </si>
  <si>
    <t>GM90PS-1N1F0</t>
    <phoneticPr fontId="2" type="noConversion"/>
  </si>
  <si>
    <t>Universal Module</t>
    <phoneticPr fontId="2" type="noConversion"/>
  </si>
  <si>
    <t>Module Base</t>
    <phoneticPr fontId="2" type="noConversion"/>
  </si>
  <si>
    <t>GM90MB-01N0</t>
    <phoneticPr fontId="2" type="noConversion"/>
  </si>
  <si>
    <t>Uni. DC power_Master (15kW, 1500V, 30A)</t>
    <phoneticPr fontId="2" type="noConversion"/>
  </si>
  <si>
    <t>Uni. DC power_Slave (15kW, 1500V, 30A)</t>
    <phoneticPr fontId="2" type="noConversion"/>
  </si>
  <si>
    <t>DSP1500-30WAe</t>
    <phoneticPr fontId="2" type="noConversion"/>
  </si>
  <si>
    <t>(인가전압  선택사항)</t>
    <phoneticPr fontId="2" type="noConversion"/>
  </si>
  <si>
    <t>인가전압 6 케이블</t>
    <phoneticPr fontId="2" type="noConversion"/>
  </si>
  <si>
    <t>인가전류 3(Shunt), RC회로</t>
    <phoneticPr fontId="2" type="noConversion"/>
  </si>
  <si>
    <t>인가전류 3(Shunt) 포크터미널</t>
    <phoneticPr fontId="2" type="noConversion"/>
  </si>
  <si>
    <t>1:1 BNC safety adapter lead</t>
    <phoneticPr fontId="2" type="noConversion"/>
  </si>
  <si>
    <t>인가전류 3(Shunt) BNCtoBanana케이블</t>
    <phoneticPr fontId="2" type="noConversion"/>
  </si>
  <si>
    <t>인가전류 6(Shunt) BNCtoBanana케이블</t>
    <phoneticPr fontId="2" type="noConversion"/>
  </si>
  <si>
    <t>인가전류 6(Shunt) 포크터미널</t>
    <phoneticPr fontId="2" type="noConversion"/>
  </si>
  <si>
    <t>I</t>
    <phoneticPr fontId="2" type="noConversion"/>
  </si>
  <si>
    <t>Shunt Resistor (30A, class 0.2)</t>
    <phoneticPr fontId="2" type="noConversion"/>
  </si>
  <si>
    <t>인가전류 6 Shunt 저항</t>
    <phoneticPr fontId="2" type="noConversion"/>
  </si>
  <si>
    <t>6½-Digit Graphical Sampling Multimeter</t>
    <phoneticPr fontId="2" type="noConversion"/>
  </si>
  <si>
    <t>DMM6500</t>
    <phoneticPr fontId="2" type="noConversion"/>
  </si>
  <si>
    <t>2000-SCAN</t>
    <phoneticPr fontId="2" type="noConversion"/>
  </si>
  <si>
    <t>Scanner Card (10ch)</t>
    <phoneticPr fontId="2" type="noConversion"/>
  </si>
  <si>
    <t>전압강하 3 측정</t>
    <phoneticPr fontId="2" type="noConversion"/>
  </si>
  <si>
    <t>인가전압 3 포크터미널</t>
    <phoneticPr fontId="2" type="noConversion"/>
  </si>
  <si>
    <t>인가전압 3 케이블</t>
    <phoneticPr fontId="2" type="noConversion"/>
  </si>
  <si>
    <t>인가전압 3, 인가전류RMS 1</t>
    <phoneticPr fontId="2" type="noConversion"/>
  </si>
  <si>
    <t>(Low Voltage DC Power 선택사항)</t>
    <phoneticPr fontId="2" type="noConversion"/>
  </si>
  <si>
    <t>제어전압 3, 인가전압 1</t>
    <phoneticPr fontId="2" type="noConversion"/>
  </si>
  <si>
    <t>제어전압 1 Step 입력</t>
    <phoneticPr fontId="2" type="noConversion"/>
  </si>
  <si>
    <t>제어전압 6</t>
    <phoneticPr fontId="2" type="noConversion"/>
  </si>
  <si>
    <t>인가전류 3 Shunt 저항</t>
    <phoneticPr fontId="2" type="noConversion"/>
  </si>
  <si>
    <t>인가전류 1 probe / 인가전압 40V 이하 80A(CC)</t>
    <phoneticPr fontId="2" type="noConversion"/>
  </si>
  <si>
    <t>Current probe / DC to 10 MHz bandwidth, 150 Arms</t>
    <phoneticPr fontId="2" type="noConversion"/>
  </si>
  <si>
    <t>인가전압 6, 인가전류RMS 2</t>
    <phoneticPr fontId="2" type="noConversion"/>
  </si>
  <si>
    <t>Current probe / 30A/5A/0.5A 120MHz</t>
    <phoneticPr fontId="2" type="noConversion"/>
  </si>
  <si>
    <t>인가전류 1 probe / 부하전류RMS 0~10A</t>
    <phoneticPr fontId="2" type="noConversion"/>
  </si>
  <si>
    <t xml:space="preserve"> Level</t>
  </si>
  <si>
    <t>제어전압1 동작 측정 필요</t>
    <phoneticPr fontId="2" type="noConversion"/>
  </si>
  <si>
    <t>DIO 제어 불필요</t>
    <phoneticPr fontId="2" type="noConversion"/>
  </si>
  <si>
    <t>스코프로 인가 전압값으로 확인</t>
    <phoneticPr fontId="2" type="noConversion"/>
  </si>
  <si>
    <t>스코프 4? 8? 채널 검토</t>
    <phoneticPr fontId="2" type="noConversion"/>
  </si>
  <si>
    <t>이전측정데이터와 비교가 필요하여 고정밀 제품 선정
LIVE상태에서 측정이 필요
P/S CC모드 R부하시만 접촉저항 측정</t>
    <phoneticPr fontId="2" type="noConversion"/>
  </si>
  <si>
    <t>1mA이하</t>
    <phoneticPr fontId="2" type="noConversion"/>
  </si>
  <si>
    <t>입력 전류1 불필요 PBZ확도로 믿고 감</t>
    <phoneticPr fontId="2" type="noConversion"/>
  </si>
  <si>
    <t>PBZ 통신으로만 가져오면됨
제어전류 측정 0~50mA</t>
    <phoneticPr fontId="2" type="noConversion"/>
  </si>
  <si>
    <t>1k, 400, 800, 1.2, 12옴 부하 필요</t>
    <phoneticPr fontId="2" type="noConversion"/>
  </si>
  <si>
    <t>12V 작동검사 시</t>
    <phoneticPr fontId="2" type="noConversion"/>
  </si>
  <si>
    <t>인가전류(RC), off time 9.7s 로 불필요</t>
    <phoneticPr fontId="2" type="noConversion"/>
  </si>
  <si>
    <t>인가전류(RC)와 인가전류(RMS) 프로브 1개로 공통 사용</t>
    <phoneticPr fontId="2" type="noConversion"/>
  </si>
  <si>
    <t>P/S에서 전압값과 DL950 인가전압값과의 델타값으로 전압강하 계산-&gt; DL950 HV+ HV- 측정 2포인트 적용 델타값 전압강하 계산 협의</t>
    <phoneticPr fontId="2" type="noConversion"/>
  </si>
  <si>
    <t>인가전압 2, 인가전류RMS 1</t>
    <phoneticPr fontId="2" type="noConversion"/>
  </si>
  <si>
    <t>인가전압 2 케이블</t>
  </si>
  <si>
    <t>인가전압 2 포크터미널</t>
  </si>
  <si>
    <t>인가전류 1 BNC아답터</t>
    <phoneticPr fontId="2" type="noConversion"/>
  </si>
  <si>
    <t>인가전압 2 측정</t>
    <phoneticPr fontId="2" type="noConversion"/>
  </si>
  <si>
    <t>Keithley</t>
    <phoneticPr fontId="2" type="noConversion"/>
  </si>
  <si>
    <t xml:space="preserve">절연저항, 내전압 측정 </t>
    <phoneticPr fontId="2" type="noConversion"/>
  </si>
  <si>
    <t>DLM5038-F-HK/M1/P8</t>
    <phoneticPr fontId="2" type="noConversion"/>
  </si>
  <si>
    <t xml:space="preserve"> </t>
    <phoneticPr fontId="2" type="noConversion"/>
  </si>
  <si>
    <t>20kW 40J</t>
    <phoneticPr fontId="2" type="noConversion"/>
  </si>
  <si>
    <t>8kW 40J</t>
    <phoneticPr fontId="2" type="noConversion"/>
  </si>
  <si>
    <t>EVR(1000V, 100A)</t>
    <phoneticPr fontId="2" type="noConversion"/>
  </si>
  <si>
    <t>EVR100</t>
    <phoneticPr fontId="2" type="noConversion"/>
  </si>
  <si>
    <t>YMTECH</t>
    <phoneticPr fontId="2" type="noConversion"/>
  </si>
  <si>
    <t>SSR(32V, 10A)</t>
    <phoneticPr fontId="2" type="noConversion"/>
  </si>
  <si>
    <t>WYR1C0310D4</t>
    <phoneticPr fontId="2" type="noConversion"/>
  </si>
  <si>
    <t>WoonYoung</t>
    <phoneticPr fontId="2" type="noConversion"/>
  </si>
  <si>
    <t>방전 전압 확인용 1+@판넬메터 적용(rack제작포함)</t>
    <phoneticPr fontId="2" type="noConversion"/>
  </si>
  <si>
    <t xml:space="preserve">제어전압 3, 제어전류 3(spare), 방전 전압 모니터링 1 </t>
    <phoneticPr fontId="2" type="noConversion"/>
  </si>
  <si>
    <t xml:space="preserve">제어전압 6, 제어전류 6(spare), 방전 전압 모니터링 1 </t>
    <phoneticPr fontId="2" type="noConversion"/>
  </si>
  <si>
    <t>방전전압 모니터링 1</t>
    <phoneticPr fontId="2" type="noConversion"/>
  </si>
  <si>
    <t>방전전압 확인용 1+@판넬메터 적용(rack제작포함)</t>
    <phoneticPr fontId="2" type="noConversion"/>
  </si>
  <si>
    <t>환경 신뢰성 시험</t>
    <phoneticPr fontId="2" type="noConversion"/>
  </si>
  <si>
    <t>메카니컬 신뢰성 시험</t>
    <phoneticPr fontId="2" type="noConversion"/>
  </si>
  <si>
    <t>내구 ES 수명 시험</t>
    <phoneticPr fontId="2" type="noConversion"/>
  </si>
  <si>
    <t>Total</t>
    <phoneticPr fontId="2" type="noConversion"/>
  </si>
  <si>
    <t>기본 특성 시험</t>
    <phoneticPr fontId="2" type="noConversion"/>
  </si>
  <si>
    <t>구분</t>
    <phoneticPr fontId="2" type="noConversion"/>
  </si>
  <si>
    <t xml:space="preserve">36V, 32채널 (소싱 출력), 500µs C 시리즈 디지털 </t>
    <phoneticPr fontId="2" type="noConversion"/>
  </si>
  <si>
    <t>AI Module</t>
  </si>
  <si>
    <t>AI Module</t>
    <phoneticPr fontId="2" type="noConversion"/>
  </si>
  <si>
    <t>DIO Module</t>
  </si>
  <si>
    <t>DIO Module</t>
    <phoneticPr fontId="2" type="noConversion"/>
  </si>
  <si>
    <t>AO Module</t>
  </si>
  <si>
    <t>AO Module</t>
    <phoneticPr fontId="2" type="noConversion"/>
  </si>
  <si>
    <t>4-slot, Ether Type CompactDAQ Chassis</t>
  </si>
  <si>
    <t>4-slot, Ether Type CompactDAQ Chassis</t>
    <phoneticPr fontId="2" type="noConversion"/>
  </si>
  <si>
    <t>인가전압 2, 인가전류RMS 2</t>
    <phoneticPr fontId="2" type="noConversion"/>
  </si>
  <si>
    <t>인가전압 2 케이블</t>
    <phoneticPr fontId="2" type="noConversion"/>
  </si>
  <si>
    <t>인가전압 2 포크터미널</t>
    <phoneticPr fontId="2" type="noConversion"/>
  </si>
  <si>
    <t>인가전류 2 아답터</t>
    <phoneticPr fontId="2" type="noConversion"/>
  </si>
  <si>
    <t>Low Voltage DC Power (850kW, 30V, 25A)</t>
    <phoneticPr fontId="2" type="noConversion"/>
  </si>
  <si>
    <t>SW</t>
    <phoneticPr fontId="2" type="noConversion"/>
  </si>
  <si>
    <t>TOTAL</t>
    <phoneticPr fontId="2" type="noConversion"/>
  </si>
  <si>
    <t xml:space="preserve">Passive Probe </t>
    <phoneticPr fontId="2" type="noConversion"/>
  </si>
  <si>
    <t>제어전압 1 Step 입력, 순단0.5s~0.9s / 통신 전류모니터링</t>
    <phoneticPr fontId="2" type="noConversion"/>
  </si>
  <si>
    <t>1k + 400Mohm, 800Mohm 필요??</t>
    <phoneticPr fontId="2" type="noConversion"/>
  </si>
  <si>
    <t xml:space="preserve">100kS/s/ch 동시, ±10 V, 절연, 4-채널 C 시리즈 전압 출력 </t>
    <phoneticPr fontId="2" type="noConversion"/>
  </si>
  <si>
    <t>방전용 1, 고전압출력 CC용 1</t>
    <phoneticPr fontId="2" type="noConversion"/>
  </si>
  <si>
    <t>NI-9221</t>
  </si>
  <si>
    <t>±60V, 800kS/s, 12bit, 8-채널 C 시리즈 ​전압</t>
    <phoneticPr fontId="2" type="noConversion"/>
  </si>
  <si>
    <t>제어전압 1 측정, 기본품 사용</t>
    <phoneticPr fontId="2" type="noConversion"/>
  </si>
  <si>
    <t>고객요청 제외</t>
    <phoneticPr fontId="2" type="noConversion"/>
  </si>
  <si>
    <t xml:space="preserve">우진공업) Pre ChargeRelay 특성평가 시험장비 </t>
  </si>
  <si>
    <t>제어측 SSR제어 3, Dis char SW싱크 1(spare)</t>
    <phoneticPr fontId="2" type="noConversion"/>
  </si>
  <si>
    <t>제어측 SSR제어 6, Dis char SW싱크 1(spare)</t>
    <phoneticPr fontId="2" type="noConversion"/>
  </si>
  <si>
    <t>R회로</t>
    <phoneticPr fontId="2" type="noConversion"/>
  </si>
  <si>
    <t>400Mohm Resistor (2kW, 5%)</t>
    <phoneticPr fontId="2" type="noConversion"/>
  </si>
  <si>
    <t>800Mohm Resistor (2kW, 5%)</t>
    <phoneticPr fontId="2" type="noConversion"/>
  </si>
  <si>
    <t>R회로(up to 1000W)</t>
    <phoneticPr fontId="2" type="noConversion"/>
  </si>
  <si>
    <t>R회로(up to 4uW)</t>
    <phoneticPr fontId="2" type="noConversion"/>
  </si>
  <si>
    <t>R회로(up to 8uW)</t>
    <phoneticPr fontId="2" type="noConversion"/>
  </si>
  <si>
    <t>HVE20 400M +-1%</t>
    <phoneticPr fontId="2" type="noConversion"/>
  </si>
  <si>
    <t>HVE20 800M +-1%</t>
    <phoneticPr fontId="2" type="noConversion"/>
  </si>
  <si>
    <t>제어전류 3 Shunt 저항</t>
    <phoneticPr fontId="2" type="noConversion"/>
  </si>
  <si>
    <t>제어전류 6 Shunt 저항</t>
    <phoneticPr fontId="2" type="noConversion"/>
  </si>
  <si>
    <t>RC회로 R</t>
    <phoneticPr fontId="2" type="noConversion"/>
  </si>
  <si>
    <t>RC회로 C</t>
    <phoneticPr fontId="2" type="noConversion"/>
  </si>
  <si>
    <t>R회로, 비정상차단 모사, 5kW 450V 40옴 11.25A</t>
    <phoneticPr fontId="2" type="noConversion"/>
  </si>
  <si>
    <t>R회로, 비정상차단 모사, 16kW 800V 40옴 20A</t>
    <phoneticPr fontId="2" type="noConversion"/>
  </si>
  <si>
    <t>인가전류 1 / 필요시 수량 변경 가능성 有</t>
    <phoneticPr fontId="2" type="noConversion"/>
  </si>
  <si>
    <t>제어전류 1 필요 여부 확인 필요</t>
    <phoneticPr fontId="2" type="noConversion"/>
  </si>
  <si>
    <t xml:space="preserve">우진공업) Pre ChargeRelay 특성평가 시험장비 </t>
    <phoneticPr fontId="2" type="noConversion"/>
  </si>
  <si>
    <t>Oscilloscope</t>
    <phoneticPr fontId="2" type="noConversion"/>
  </si>
  <si>
    <t>인가전압측 EVR제어 7, SSR제어 1</t>
    <phoneticPr fontId="2" type="noConversion"/>
  </si>
  <si>
    <t>인가전압측 SSR제어 4</t>
    <phoneticPr fontId="2" type="noConversion"/>
  </si>
  <si>
    <t>SW 제어용 2 (spare)</t>
    <phoneticPr fontId="2" type="noConversion"/>
  </si>
  <si>
    <t>제어전압 PWM 1(spare), Dis char SW싱크 1(spare)</t>
    <phoneticPr fontId="2" type="noConversion"/>
  </si>
  <si>
    <t xml:space="preserve">우진공업) Pre ChargeRelay 특성평가 시험장비_기본특성시험 </t>
    <phoneticPr fontId="2" type="noConversion"/>
  </si>
  <si>
    <r>
      <t xml:space="preserve">방전용 1, </t>
    </r>
    <r>
      <rPr>
        <strike/>
        <sz val="11"/>
        <rFont val="맑은 고딕"/>
        <family val="3"/>
        <charset val="129"/>
        <scheme val="minor"/>
      </rPr>
      <t>고전압출력 CC용 1</t>
    </r>
    <phoneticPr fontId="2" type="noConversion"/>
  </si>
  <si>
    <t>기존에 다뤄본 장비로 변경 협의</t>
    <phoneticPr fontId="2" type="noConversion"/>
  </si>
  <si>
    <t>제어전원용, 12V/0~50mA, 순단0.5s~0.9s, 100Hz이하 구형파 구현</t>
    <phoneticPr fontId="2" type="noConversion"/>
  </si>
  <si>
    <t>Shunt Resistor (5A, class 0.2)</t>
    <phoneticPr fontId="2" type="noConversion"/>
  </si>
  <si>
    <t>우진공업) Pre ChargeRelay 특성평가 시험장비_메카니컬 신뢰성 시험</t>
    <phoneticPr fontId="2" type="noConversion"/>
  </si>
  <si>
    <t>제어전류 1 Shunt 저항</t>
    <phoneticPr fontId="2" type="noConversion"/>
  </si>
  <si>
    <t xml:space="preserve">제어인가전압전류/시간,순단시간 측정 </t>
    <phoneticPr fontId="2" type="noConversion"/>
  </si>
  <si>
    <t>우진공업) Pre ChargeRelay 특성평가 시험장비_환경 신뢰성 시험</t>
    <phoneticPr fontId="2" type="noConversion"/>
  </si>
  <si>
    <t xml:space="preserve">우진공업) Pre ChargeRelay 특성평가 시험장비_내구 ES 수명 시험 </t>
    <phoneticPr fontId="2" type="noConversion"/>
  </si>
  <si>
    <t xml:space="preserve">방전 전압 모니터링 1 </t>
    <phoneticPr fontId="2" type="noConversion"/>
  </si>
  <si>
    <t>방전전압 모니터링 1, 제어전류 1(+shunt 5A)</t>
    <phoneticPr fontId="2" type="noConversion"/>
  </si>
  <si>
    <t>제어전압 1, 제어전류 1(shunt), 인가전압 2</t>
    <phoneticPr fontId="2" type="noConversion"/>
  </si>
  <si>
    <t>제어전압 1, 제어전류 1(shunt), 인가전압 2 케이블</t>
    <phoneticPr fontId="2" type="noConversion"/>
  </si>
  <si>
    <t>제어전압 1, 제어전류 1(shunt), 인가전압 2 포크터미널</t>
    <phoneticPr fontId="2" type="noConversion"/>
  </si>
  <si>
    <t>인가전류 2</t>
    <phoneticPr fontId="2" type="noConversion"/>
  </si>
  <si>
    <t>인가전류 1</t>
    <phoneticPr fontId="2" type="noConversion"/>
  </si>
  <si>
    <t>기본</t>
    <phoneticPr fontId="2" type="noConversion"/>
  </si>
  <si>
    <t>메카</t>
    <phoneticPr fontId="2" type="noConversion"/>
  </si>
  <si>
    <t>환경</t>
    <phoneticPr fontId="2" type="noConversion"/>
  </si>
  <si>
    <t>내구</t>
    <phoneticPr fontId="2" type="noConversion"/>
  </si>
  <si>
    <t>총합</t>
    <phoneticPr fontId="2" type="noConversion"/>
  </si>
  <si>
    <t>Shunt Resistor (5A, 50mV, class 0.2)</t>
    <phoneticPr fontId="2" type="noConversion"/>
  </si>
  <si>
    <t>사양</t>
    <phoneticPr fontId="2" type="noConversion"/>
  </si>
  <si>
    <t>40ohm Resistor (800V, 20A, 5%) / 1초 통전</t>
    <phoneticPr fontId="2" type="noConversion"/>
  </si>
  <si>
    <t>800Mohm Resistor (800V, 5%)</t>
    <phoneticPr fontId="2" type="noConversion"/>
  </si>
  <si>
    <t>400Mohm Resistor (400V, 5%)</t>
    <phoneticPr fontId="2" type="noConversion"/>
  </si>
  <si>
    <t>1kohm Resistor (24V, 5%)</t>
    <phoneticPr fontId="2" type="noConversion"/>
  </si>
  <si>
    <t>400Mohm Resistor (2kW, 1%)</t>
    <phoneticPr fontId="2" type="noConversion"/>
  </si>
  <si>
    <t>800Mohm Resistor (2kW, 1%)</t>
    <phoneticPr fontId="2" type="noConversion"/>
  </si>
  <si>
    <t>1.2ohm(10A)</t>
    <phoneticPr fontId="2" type="noConversion"/>
  </si>
  <si>
    <t>12ohm(1A)</t>
    <phoneticPr fontId="2" type="noConversion"/>
  </si>
  <si>
    <t>40ohm Resistor (4.5kW, 5%), 비정상차단 모사</t>
    <phoneticPr fontId="2" type="noConversion"/>
  </si>
  <si>
    <t>40ohm Resistor (450V, 4.5kW, 5%)</t>
    <phoneticPr fontId="2" type="noConversion"/>
  </si>
  <si>
    <t>R회로, 5kW 450V 40옴 11.25A</t>
    <phoneticPr fontId="2" type="noConversion"/>
  </si>
  <si>
    <t>R회로, 16kW 800V 40옴 20A</t>
    <phoneticPr fontId="2" type="noConversion"/>
  </si>
  <si>
    <t>1.2ohm Resistor (2kW, 5%)</t>
    <phoneticPr fontId="2" type="noConversion"/>
  </si>
  <si>
    <t>12ohm Resistor (2kW, 5%)</t>
    <phoneticPr fontId="2" type="noConversion"/>
  </si>
  <si>
    <t>KZG 2000 12KJ</t>
    <phoneticPr fontId="2" type="noConversion"/>
  </si>
  <si>
    <t>KZG 2000 1.2KJ</t>
    <phoneticPr fontId="2" type="noConversion"/>
  </si>
  <si>
    <t>인가전류 2 BNC아답터</t>
    <phoneticPr fontId="2" type="noConversion"/>
  </si>
  <si>
    <t>SW공수</t>
    <phoneticPr fontId="2" type="noConversion"/>
  </si>
  <si>
    <t>947D102K901CJRSN</t>
  </si>
  <si>
    <t>CORNELL</t>
    <phoneticPr fontId="2" type="noConversion"/>
  </si>
  <si>
    <t>947D102K901CJRSN Cornell Dubilier Knowles | 커패시터 | DigiKey</t>
  </si>
  <si>
    <t>WD 4</t>
    <phoneticPr fontId="2" type="noConversion"/>
  </si>
  <si>
    <t>WD 3</t>
    <phoneticPr fontId="2" type="noConversion"/>
  </si>
  <si>
    <t>WD 1</t>
    <phoneticPr fontId="2" type="noConversion"/>
  </si>
  <si>
    <t>WD 5</t>
    <phoneticPr fontId="2" type="noConversion"/>
  </si>
  <si>
    <t>High-Speed Data Acquisition Unit</t>
    <phoneticPr fontId="2" type="noConversion"/>
  </si>
  <si>
    <t>SL1000 / 720120-F /HD1 /C10</t>
    <phoneticPr fontId="2" type="noConversion"/>
  </si>
  <si>
    <t>40ohm Resistor (800V, 8kW, 5%)</t>
    <phoneticPr fontId="2" type="noConversion"/>
  </si>
  <si>
    <t>개발 일정에 따른 SW외주 진행도 고려 필요</t>
    <phoneticPr fontId="2" type="noConversion"/>
  </si>
  <si>
    <t>파워옴텍</t>
    <phoneticPr fontId="2" type="noConversion"/>
  </si>
  <si>
    <t>800Mohm Resistor (1W, 5%)</t>
    <phoneticPr fontId="2" type="noConversion"/>
  </si>
  <si>
    <t>400Mohm Resistor (1W, 5%)</t>
    <phoneticPr fontId="2" type="noConversion"/>
  </si>
  <si>
    <t>BL</t>
    <phoneticPr fontId="2" type="noConversion"/>
  </si>
  <si>
    <t>RWH</t>
    <phoneticPr fontId="2" type="noConversion"/>
  </si>
  <si>
    <t>40ohm Resistor (450V, 4.5kW, 5%), 비정상차단모사</t>
    <phoneticPr fontId="2" type="noConversion"/>
  </si>
  <si>
    <t>40ohm Resistor (800V, 8kW, 5%), 비정상차단모사</t>
    <phoneticPr fontId="2" type="noConversion"/>
  </si>
  <si>
    <t xml:space="preserve">  </t>
    <phoneticPr fontId="2" type="noConversion"/>
  </si>
  <si>
    <t>2~4M</t>
    <phoneticPr fontId="2" type="noConversion"/>
  </si>
  <si>
    <t>4W</t>
    <phoneticPr fontId="2" type="noConversion"/>
  </si>
  <si>
    <t>4W</t>
  </si>
  <si>
    <t>제품 입고 후, 2W</t>
    <phoneticPr fontId="2" type="noConversion"/>
  </si>
  <si>
    <t>납기상 EVR 적용필요, 4W</t>
    <phoneticPr fontId="2" type="noConversion"/>
  </si>
  <si>
    <t>Relay외</t>
    <phoneticPr fontId="2" type="noConversion"/>
  </si>
  <si>
    <t>DLM5038</t>
    <phoneticPr fontId="2" type="noConversion"/>
  </si>
  <si>
    <t>DL950</t>
    <phoneticPr fontId="2" type="noConversion"/>
  </si>
  <si>
    <t>IDRC PS</t>
    <phoneticPr fontId="2" type="noConversion"/>
  </si>
  <si>
    <t>12W</t>
    <phoneticPr fontId="2" type="noConversion"/>
  </si>
  <si>
    <t>Week</t>
    <phoneticPr fontId="2" type="noConversion"/>
  </si>
  <si>
    <t>데모품 활용</t>
    <phoneticPr fontId="2" type="noConversion"/>
  </si>
  <si>
    <t>PC, 모니터</t>
    <phoneticPr fontId="2" type="noConversion"/>
  </si>
  <si>
    <t>4M</t>
    <phoneticPr fontId="2" type="noConversion"/>
  </si>
  <si>
    <t>DMM7510</t>
  </si>
  <si>
    <t>이진철사장님 데모품 확보</t>
    <phoneticPr fontId="2" type="noConversion"/>
  </si>
  <si>
    <t>9월 말 예정</t>
    <phoneticPr fontId="2" type="noConversion"/>
  </si>
  <si>
    <t>10월말 필요</t>
    <phoneticPr fontId="2" type="noConversion"/>
  </si>
  <si>
    <t>12월말 필요</t>
    <phoneticPr fontId="2" type="noConversion"/>
  </si>
  <si>
    <t>데모품 활용(1대 확보_정준영부장)</t>
    <phoneticPr fontId="2" type="noConversion"/>
  </si>
  <si>
    <t xml:space="preserve">데모품 DSP1500-30WE 1대 확보 개발 활용 </t>
    <phoneticPr fontId="2" type="noConversion"/>
  </si>
  <si>
    <t>기본_검수 납품 셋업</t>
    <phoneticPr fontId="2" type="noConversion"/>
  </si>
  <si>
    <t>기본_SW</t>
    <phoneticPr fontId="2" type="noConversion"/>
  </si>
  <si>
    <t>내구_SW</t>
    <phoneticPr fontId="2" type="noConversion"/>
  </si>
  <si>
    <t>메카환경_SW</t>
    <phoneticPr fontId="2" type="noConversion"/>
  </si>
  <si>
    <t>메카환경_RACK제작</t>
    <phoneticPr fontId="2" type="noConversion"/>
  </si>
  <si>
    <t>내구_RACK제작</t>
    <phoneticPr fontId="2" type="noConversion"/>
  </si>
  <si>
    <t>기본_RACK제작</t>
    <phoneticPr fontId="2" type="noConversion"/>
  </si>
  <si>
    <t>내구_검수 납품 셋업</t>
    <phoneticPr fontId="2" type="noConversion"/>
  </si>
  <si>
    <t>메카환경_검수 납품 셋업</t>
    <phoneticPr fontId="2" type="noConversion"/>
  </si>
  <si>
    <t>25년 3월 말</t>
    <phoneticPr fontId="2" type="noConversion"/>
  </si>
  <si>
    <t>시험기1</t>
    <phoneticPr fontId="2" type="noConversion"/>
  </si>
  <si>
    <t>시험기2</t>
  </si>
  <si>
    <t>시험기3</t>
  </si>
  <si>
    <t>시험기4</t>
  </si>
  <si>
    <t>합계</t>
    <phoneticPr fontId="2" type="noConversion"/>
  </si>
  <si>
    <t>3상 220VAC</t>
    <phoneticPr fontId="2" type="noConversion"/>
  </si>
  <si>
    <t>키슬리</t>
    <phoneticPr fontId="2" type="noConversion"/>
  </si>
  <si>
    <t>히오키</t>
    <phoneticPr fontId="2" type="noConversion"/>
  </si>
  <si>
    <t>High Voltage Source Meter</t>
  </si>
  <si>
    <t>Insulation/Withstanding HiTester</t>
  </si>
  <si>
    <t>일정표</t>
    <phoneticPr fontId="2" type="noConversion"/>
  </si>
  <si>
    <t>10월 중순</t>
    <phoneticPr fontId="2" type="noConversion"/>
  </si>
  <si>
    <t>6월 4주</t>
  </si>
  <si>
    <t>7월 1주</t>
    <phoneticPr fontId="2" type="noConversion"/>
  </si>
  <si>
    <t>7월 2주</t>
  </si>
  <si>
    <t>7월 3주</t>
  </si>
  <si>
    <t>7월 4주</t>
  </si>
  <si>
    <t>8월 1주</t>
  </si>
  <si>
    <t>8월 2주</t>
  </si>
  <si>
    <t>8월 3주</t>
  </si>
  <si>
    <t>8월 4주</t>
  </si>
  <si>
    <t>9월 1주</t>
    <phoneticPr fontId="2" type="noConversion"/>
  </si>
  <si>
    <t>9월 2주</t>
  </si>
  <si>
    <t>9월 3주</t>
  </si>
  <si>
    <t>9월 4주</t>
  </si>
  <si>
    <t>10월 1주</t>
    <phoneticPr fontId="2" type="noConversion"/>
  </si>
  <si>
    <t>10월 2주</t>
  </si>
  <si>
    <t>10월 3주</t>
  </si>
  <si>
    <t>10월 4주</t>
  </si>
  <si>
    <t>11월 1주</t>
    <phoneticPr fontId="2" type="noConversion"/>
  </si>
  <si>
    <t>11월 2주</t>
  </si>
  <si>
    <t>11월 3주</t>
  </si>
  <si>
    <t>11월 4주</t>
  </si>
  <si>
    <t>11월 중순</t>
    <phoneticPr fontId="2" type="noConversion"/>
  </si>
  <si>
    <t>11월 말</t>
    <phoneticPr fontId="2" type="noConversion"/>
  </si>
  <si>
    <t>Keithley 2470</t>
    <phoneticPr fontId="2" type="noConversion"/>
  </si>
  <si>
    <t>HIOKI</t>
    <phoneticPr fontId="2" type="noConversion"/>
  </si>
  <si>
    <t>HIOKI 3153</t>
    <phoneticPr fontId="2" type="noConversion"/>
  </si>
  <si>
    <t>Keithley DMM7510</t>
    <phoneticPr fontId="2" type="noConversion"/>
  </si>
  <si>
    <t>20WD</t>
    <phoneticPr fontId="2" type="noConversion"/>
  </si>
  <si>
    <t>2M</t>
    <phoneticPr fontId="2" type="noConversion"/>
  </si>
  <si>
    <t>데모품 활용, 필요시 전류프로브 데모품 확보(이진철사장님)</t>
    <phoneticPr fontId="2" type="noConversion"/>
  </si>
  <si>
    <t>Acc(프로브 외)</t>
    <phoneticPr fontId="2" type="noConversion"/>
  </si>
  <si>
    <t>7월 5주</t>
    <phoneticPr fontId="2" type="noConversion"/>
  </si>
  <si>
    <t>10월 5주</t>
    <phoneticPr fontId="2" type="noConversion"/>
  </si>
  <si>
    <t>NI-9221</t>
    <phoneticPr fontId="2" type="noConversion"/>
  </si>
  <si>
    <t>RWH 2kW 40ohm</t>
    <phoneticPr fontId="2" type="noConversion"/>
  </si>
  <si>
    <t>BL 1W 400Mohm</t>
    <phoneticPr fontId="2" type="noConversion"/>
  </si>
  <si>
    <t>BL 1W 800Mohm</t>
    <phoneticPr fontId="2" type="noConversion"/>
  </si>
  <si>
    <t>RWH 2kW 1kohm</t>
    <phoneticPr fontId="2" type="noConversion"/>
  </si>
  <si>
    <t>고려전자</t>
  </si>
  <si>
    <t>SAMSUNG</t>
    <phoneticPr fontId="2" type="noConversion"/>
  </si>
  <si>
    <t>24인치 모니터</t>
    <phoneticPr fontId="2" type="noConversion"/>
  </si>
  <si>
    <t>5A, 50mV, class 0.2</t>
    <phoneticPr fontId="2" type="noConversion"/>
  </si>
  <si>
    <t>IPC-610H-BTO / i7-12700, SSD 1T RAID, 16G DDR4-3200, WIN11PRO 64BIT KOR</t>
    <phoneticPr fontId="2" type="noConversion"/>
  </si>
  <si>
    <t>40ohm Resistor (450V, 4.5kW, 5%), 비정상 차단 모사</t>
    <phoneticPr fontId="2" type="noConversion"/>
  </si>
  <si>
    <t>40ohm Resistor (800V, 8kW, 5%), 비정상 차단 모사</t>
    <phoneticPr fontId="2" type="noConversion"/>
  </si>
  <si>
    <t>SMT1000RMI2UC / APC Smart-UPS 1000VA LCD RM 2U 230V</t>
    <phoneticPr fontId="2" type="noConversion"/>
  </si>
  <si>
    <t>1 M</t>
    <phoneticPr fontId="2" type="noConversion"/>
  </si>
  <si>
    <t>2 D</t>
    <phoneticPr fontId="2" type="noConversion"/>
  </si>
  <si>
    <t>1 W</t>
    <phoneticPr fontId="2" type="noConversion"/>
  </si>
  <si>
    <t>0~1500V</t>
    <phoneticPr fontId="2" type="noConversion"/>
  </si>
  <si>
    <t>0~30A</t>
    <phoneticPr fontId="2" type="noConversion"/>
  </si>
  <si>
    <t>Vmax@I</t>
    <phoneticPr fontId="2" type="noConversion"/>
  </si>
  <si>
    <t>10A</t>
    <phoneticPr fontId="2" type="noConversion"/>
  </si>
  <si>
    <t>15kW</t>
    <phoneticPr fontId="2" type="noConversion"/>
  </si>
  <si>
    <t>Acc</t>
    <phoneticPr fontId="2" type="noConversion"/>
  </si>
  <si>
    <t>0.1% of V, 0.2% of I</t>
    <phoneticPr fontId="2" type="noConversion"/>
  </si>
  <si>
    <t>dim(WHD)</t>
    <phoneticPr fontId="2" type="noConversion"/>
  </si>
  <si>
    <t>482*132*762.1mm / 3U</t>
    <phoneticPr fontId="2" type="noConversion"/>
  </si>
  <si>
    <t>Weight</t>
    <phoneticPr fontId="2" type="noConversion"/>
  </si>
  <si>
    <t>43.6kg</t>
    <phoneticPr fontId="2" type="noConversion"/>
  </si>
  <si>
    <t>INPUT</t>
    <phoneticPr fontId="2" type="noConversion"/>
  </si>
  <si>
    <t>OUTPUT</t>
    <phoneticPr fontId="2" type="noConversion"/>
  </si>
  <si>
    <t>Imax</t>
    <phoneticPr fontId="2" type="noConversion"/>
  </si>
  <si>
    <t>60A(3P 180V)</t>
    <phoneticPr fontId="2" type="noConversion"/>
  </si>
  <si>
    <t>I(220V)</t>
    <phoneticPr fontId="2" type="noConversion"/>
  </si>
  <si>
    <t>I(380V)</t>
    <phoneticPr fontId="2" type="noConversion"/>
  </si>
  <si>
    <t>DSP30-025HR</t>
    <phoneticPr fontId="2" type="noConversion"/>
  </si>
  <si>
    <t>S24C310EAKXKR</t>
  </si>
  <si>
    <t>9월 말 예정--&gt; 8월 말 예정</t>
    <phoneticPr fontId="2" type="noConversion"/>
  </si>
  <si>
    <t>APC</t>
    <phoneticPr fontId="2" type="noConversion"/>
  </si>
  <si>
    <t>947D102K901CJRSN</t>
    <phoneticPr fontId="2" type="noConversion"/>
  </si>
  <si>
    <t>S24C310EAKXKR</t>
    <phoneticPr fontId="2" type="noConversion"/>
  </si>
  <si>
    <t>Low Voltage DC Power (850W, 30V, 25A)</t>
    <phoneticPr fontId="2" type="noConversion"/>
  </si>
  <si>
    <t>2 W</t>
    <phoneticPr fontId="2" type="noConversion"/>
  </si>
  <si>
    <t>7½-Digit Graphical Sampling Multimeter</t>
    <phoneticPr fontId="2" type="noConversion"/>
  </si>
  <si>
    <t>메카니컬 신뢰성 시험</t>
  </si>
  <si>
    <t>내구 ES 수명 시험</t>
  </si>
  <si>
    <t xml:space="preserve">기본특성시험 </t>
    <phoneticPr fontId="2" type="noConversion"/>
  </si>
  <si>
    <t>NO.</t>
    <phoneticPr fontId="2" type="noConversion"/>
  </si>
  <si>
    <t>1 M</t>
  </si>
  <si>
    <t>우진공업 대여</t>
    <phoneticPr fontId="2" type="noConversion"/>
  </si>
  <si>
    <t>이진철사장님 데모품 확보 예정</t>
    <phoneticPr fontId="2" type="noConversion"/>
  </si>
  <si>
    <t>이진철사장님 데모품 확보 예정-&gt;우진공업 대여 가능</t>
    <phoneticPr fontId="2" type="noConversion"/>
  </si>
  <si>
    <t>NF</t>
  </si>
  <si>
    <t>써미트시스템</t>
  </si>
  <si>
    <t>어드밴텍</t>
  </si>
  <si>
    <t>테크앤</t>
  </si>
  <si>
    <t>파워옴텍</t>
  </si>
  <si>
    <t>총합계</t>
  </si>
  <si>
    <t>BP4610</t>
  </si>
  <si>
    <t>DL950-F-HK/M1/ST2/C60/P4</t>
  </si>
  <si>
    <t>DLM5038-F-HK/M1/P8</t>
  </si>
  <si>
    <t>BHNCT-HC2K</t>
  </si>
  <si>
    <t>EVR100</t>
  </si>
  <si>
    <t>ISOBLOCK V-1C (1500V 5V)</t>
  </si>
  <si>
    <t>WYR1C0310D4</t>
  </si>
  <si>
    <t>DSP030-025HR</t>
  </si>
  <si>
    <t>DSP1500-30WAe</t>
  </si>
  <si>
    <t>DSP1500-30WE</t>
  </si>
  <si>
    <t>cDAQ-9185</t>
  </si>
  <si>
    <t xml:space="preserve">NI-9269 </t>
  </si>
  <si>
    <t>NI-9426</t>
  </si>
  <si>
    <t>SMT1000RMI2UC / APC Smart-UPS 1000VA LCD RM 2U 230V</t>
  </si>
  <si>
    <t>IPC-610H-BTO / i7-12700, SSD 1T RAID, 16G DDR4-3200, WIN11PRO 64BIT KOR</t>
  </si>
  <si>
    <t>20kW 40J</t>
  </si>
  <si>
    <t>5A, 50mV, class 0.2</t>
  </si>
  <si>
    <t>8kW 40J</t>
  </si>
  <si>
    <t>BL 1W 400Mohm</t>
  </si>
  <si>
    <t>BL 1W 800Mohm</t>
  </si>
  <si>
    <t>RWH 2kW 40ohm</t>
  </si>
  <si>
    <t>합계 : 수량</t>
  </si>
  <si>
    <t>우진공업) Pre ChargeRelay 특성평가 시험장비_전매 발주 LIST</t>
    <phoneticPr fontId="2" type="noConversion"/>
  </si>
  <si>
    <t>CORNELL</t>
  </si>
  <si>
    <t>RARA</t>
  </si>
  <si>
    <t>verivolt</t>
  </si>
  <si>
    <t>WoonYoung</t>
  </si>
  <si>
    <t>YMTECH</t>
  </si>
  <si>
    <t>범한</t>
  </si>
  <si>
    <t>IDRC</t>
  </si>
  <si>
    <t>APC</t>
  </si>
  <si>
    <t>SAMSUNG</t>
  </si>
  <si>
    <t>매입처</t>
  </si>
  <si>
    <t>Maker</t>
  </si>
  <si>
    <t>Model / 규격</t>
  </si>
  <si>
    <t>요약</t>
  </si>
  <si>
    <t>구분 / 품명</t>
  </si>
  <si>
    <t>Current probe / 30A/5A/0.5A 120MHz</t>
  </si>
  <si>
    <t>Current probe / DC to 10 MHz bandwidth, 150 Arms</t>
  </si>
  <si>
    <t>Differential Probe / 1.5 kV, 150 MHz, 50:1 / 500:1</t>
  </si>
  <si>
    <t>Fork Terminal adapters</t>
  </si>
  <si>
    <t>High Voltage 1MS/s, 16Bit Isolation Module (2 ch)</t>
  </si>
  <si>
    <t>High-speed 1 MS/s 16-Bit Isolation Module (2 ch)</t>
  </si>
  <si>
    <t>Measurement  lead set</t>
  </si>
  <si>
    <t>Oscilloscope</t>
  </si>
  <si>
    <t xml:space="preserve">Passive Probe </t>
  </si>
  <si>
    <t>ScopeCorder</t>
  </si>
  <si>
    <t>Temperature/high-precision voltage Module (2 ch)</t>
  </si>
  <si>
    <t>Capacitor / 1000uF</t>
  </si>
  <si>
    <t>1.2ohm Resistor (2kW, 5%)</t>
  </si>
  <si>
    <t>12ohm Resistor (2kW, 5%)</t>
  </si>
  <si>
    <t>Voltage Transducer</t>
  </si>
  <si>
    <t>SSR(32V, 10A)</t>
  </si>
  <si>
    <t>EVR(1000V, 100A)</t>
  </si>
  <si>
    <t>NCT (2kW / H-Class)</t>
  </si>
  <si>
    <t>Pre-Charge Relay Test Circuit Ass'y</t>
  </si>
  <si>
    <t>RACK1 - Control Rack 제작 외</t>
  </si>
  <si>
    <t>RACK1 - 기본성능검사 제작 외</t>
  </si>
  <si>
    <t>RACK2 - Power Rack 제작 외</t>
  </si>
  <si>
    <t>RACK2 - 절연저항, 내전압, 누설전류시험 제작 외</t>
  </si>
  <si>
    <t>Low Voltage DC Power (850W, 30V, 25A)</t>
  </si>
  <si>
    <t>Uni. DC power_Master (15kW, 1500V, 30A)</t>
  </si>
  <si>
    <t>Uni. DC power_Slave (15kW, 1500V, 30A)</t>
  </si>
  <si>
    <t>UPS</t>
  </si>
  <si>
    <t>산업용 PC</t>
  </si>
  <si>
    <t>24인치 모니터</t>
  </si>
  <si>
    <t>1kohm Resistor (2kW, 5%)</t>
  </si>
  <si>
    <t>400Mohm Resistor (2kW, 1%)</t>
  </si>
  <si>
    <t>40ohm Resistor (2kW, 5%)</t>
  </si>
  <si>
    <t>40ohm Resistor (2kW, 5%), 방전저항</t>
  </si>
  <si>
    <t>40ohm Resistor (450V, 4.5kW, 5%)</t>
  </si>
  <si>
    <t>40ohm Resistor (450V, 4.5kW, 5%), 비정상 차단 모사</t>
  </si>
  <si>
    <t>40ohm Resistor (800V, 8kW, 5%)</t>
  </si>
  <si>
    <t>40ohm Resistor (800V, 8kW, 5%), 비정상 차단 모사</t>
  </si>
  <si>
    <t>800Mohm Resistor (2kW, 1%)</t>
  </si>
  <si>
    <t>Shunt Resistor (5A, class 0.2)</t>
  </si>
  <si>
    <t>기본특성시험 RACK1 - 기본성능검사 제작 외</t>
  </si>
  <si>
    <t>기본특성시험 RACK1 - 기본성능검사 제작 외</t>
    <phoneticPr fontId="2" type="noConversion"/>
  </si>
  <si>
    <t>기본특성시험 RACK2 - 절연저항, 내전압, 누설전류시험 제작 외</t>
  </si>
  <si>
    <t>기본특성시험 RACK2 - 절연저항, 내전압, 누설전류시험 제작 외</t>
    <phoneticPr fontId="2" type="noConversion"/>
  </si>
  <si>
    <t>기본특성시험 Pre-Charge Relay Test Circuit Ass'y</t>
  </si>
  <si>
    <t>기본특성시험 Pre-Charge Relay Test Circuit Ass'y</t>
    <phoneticPr fontId="2" type="noConversion"/>
  </si>
  <si>
    <t>메카니컬 신뢰성 시험 RACK1 - Control Rack 제작 외</t>
  </si>
  <si>
    <t>메카니컬 신뢰성 시험 RACK1 - Control Rack 제작 외</t>
    <phoneticPr fontId="2" type="noConversion"/>
  </si>
  <si>
    <t>메카니컬 신뢰성 시험 Pre-Charge Relay Test Circuit Ass'y</t>
  </si>
  <si>
    <t>메카니컬 신뢰성 시험 Pre-Charge Relay Test Circuit Ass'y</t>
    <phoneticPr fontId="2" type="noConversion"/>
  </si>
  <si>
    <t>메카니컬 신뢰성 시험 RACK2 - Power Rack 제작 외</t>
  </si>
  <si>
    <t>메카니컬 신뢰성 시험 RACK2 - Power Rack 제작 외</t>
    <phoneticPr fontId="2" type="noConversion"/>
  </si>
  <si>
    <t>환경 신뢰성 시험 RACK1 - Control Rack 제작 외</t>
  </si>
  <si>
    <t>환경 신뢰성 시험 RACK1 - Control Rack 제작 외</t>
    <phoneticPr fontId="2" type="noConversion"/>
  </si>
  <si>
    <t>환경 신뢰성 시험 RACK2 - Power Rack 제작 외</t>
  </si>
  <si>
    <t>환경 신뢰성 시험 RACK2 - Power Rack 제작 외</t>
    <phoneticPr fontId="2" type="noConversion"/>
  </si>
  <si>
    <t>환경 신뢰성 시험 Pre-Charge Relay Test Circuit Ass'y</t>
  </si>
  <si>
    <t>환경 신뢰성 시험 Pre-Charge Relay Test Circuit Ass'y</t>
    <phoneticPr fontId="2" type="noConversion"/>
  </si>
  <si>
    <t>내구 ES 수명 시험 RACK1 - Control Rack 제작 외</t>
  </si>
  <si>
    <t>내구 ES 수명 시험 RACK1 - Control Rack 제작 외</t>
    <phoneticPr fontId="2" type="noConversion"/>
  </si>
  <si>
    <t>내구 ES 수명 시험 Pre-Charge Relay Test Circuit Ass'y</t>
  </si>
  <si>
    <t>내구 ES 수명 시험 Pre-Charge Relay Test Circuit Ass'y</t>
    <phoneticPr fontId="2" type="noConversion"/>
  </si>
  <si>
    <t>내구 ES 수명 시험 RACK2 - Power Rack 제작 외</t>
  </si>
  <si>
    <t>내구 ES 수명 시험 RACK2 - Power Rack 제작 외</t>
    <phoneticPr fontId="2" type="noConversion"/>
  </si>
  <si>
    <t>장현오 대표</t>
    <phoneticPr fontId="2" type="noConversion"/>
  </si>
  <si>
    <t>010-3749-3778</t>
  </si>
  <si>
    <t>정태호이사</t>
    <phoneticPr fontId="2" type="noConversion"/>
  </si>
  <si>
    <t>010-8725-9625</t>
    <phoneticPr fontId="2" type="noConversion"/>
  </si>
  <si>
    <t>summit@summitsystem.co.kr</t>
    <phoneticPr fontId="2" type="noConversion"/>
  </si>
  <si>
    <t>hojang@smartin.co.kr</t>
    <phoneticPr fontId="2" type="noConversion"/>
  </si>
  <si>
    <t>catherine.nam@advantech.co.kr</t>
  </si>
  <si>
    <t>남혜경부장</t>
    <phoneticPr fontId="2" type="noConversion"/>
  </si>
  <si>
    <t>어드벤텍</t>
    <phoneticPr fontId="2" type="noConversion"/>
  </si>
  <si>
    <t>010-5755-1394</t>
    <phoneticPr fontId="2" type="noConversion"/>
  </si>
  <si>
    <t>임규명대표</t>
    <phoneticPr fontId="2" type="noConversion"/>
  </si>
  <si>
    <t>010-2577-7225</t>
    <phoneticPr fontId="2" type="noConversion"/>
  </si>
  <si>
    <t>powerohm.tech@gmail.com</t>
    <phoneticPr fontId="2" type="noConversion"/>
  </si>
  <si>
    <t>배영수대표</t>
    <phoneticPr fontId="2" type="noConversion"/>
  </si>
  <si>
    <t>youngsu.bae@tech-n.co.Kr</t>
    <phoneticPr fontId="2" type="noConversion"/>
  </si>
  <si>
    <t>010-6335-2244</t>
    <phoneticPr fontId="2" type="noConversion"/>
  </si>
  <si>
    <t>이동길대표</t>
    <phoneticPr fontId="2" type="noConversion"/>
  </si>
  <si>
    <t>노유환이사</t>
    <phoneticPr fontId="2" type="noConversion"/>
  </si>
  <si>
    <t>dennis@bobinc.co.kr</t>
  </si>
  <si>
    <t>010-9011-4637</t>
    <phoneticPr fontId="2" type="noConversion"/>
  </si>
  <si>
    <t>ekoryo@gmail.com</t>
    <phoneticPr fontId="2" type="noConversion"/>
  </si>
  <si>
    <t>010-3387-8122</t>
    <phoneticPr fontId="2" type="noConversion"/>
  </si>
  <si>
    <t>전매 발주 LIST_FIVOT</t>
    <phoneticPr fontId="2" type="noConversion"/>
  </si>
  <si>
    <t>RLmodel</t>
  </si>
  <si>
    <t>RLmodel</t>
    <phoneticPr fontId="2" type="noConversion"/>
  </si>
  <si>
    <t>외주 SW 개발_메카니컬 환경, 신뢰성 시험</t>
  </si>
  <si>
    <t>외주 SW 개발_메카니컬 환경, 신뢰성 시험</t>
    <phoneticPr fontId="2" type="noConversion"/>
  </si>
  <si>
    <t>백윤범실장</t>
    <phoneticPr fontId="2" type="noConversion"/>
  </si>
  <si>
    <t>010-3796-9089</t>
    <phoneticPr fontId="2" type="noConversion"/>
  </si>
  <si>
    <t>ybbaek@rlmodel.com</t>
    <phoneticPr fontId="2" type="noConversion"/>
  </si>
  <si>
    <t>EVR50</t>
  </si>
  <si>
    <t>EVR50</t>
    <phoneticPr fontId="2" type="noConversion"/>
  </si>
  <si>
    <t>EVR(1000V, 50A)</t>
  </si>
  <si>
    <t>EVR(1000V, 50A)</t>
    <phoneticPr fontId="2" type="noConversion"/>
  </si>
  <si>
    <t>[H/W] 전장 설계</t>
    <phoneticPr fontId="2" type="noConversion"/>
  </si>
  <si>
    <t>[Product] IPC, monitor</t>
    <phoneticPr fontId="2" type="noConversion"/>
  </si>
  <si>
    <t>[Product] MC, Relay외 자재류</t>
    <phoneticPr fontId="2" type="noConversion"/>
  </si>
  <si>
    <t>[Product] Keithley 2470</t>
    <phoneticPr fontId="2" type="noConversion"/>
  </si>
  <si>
    <t>[Product] Keithley DMM7510</t>
    <phoneticPr fontId="2" type="noConversion"/>
  </si>
  <si>
    <t>[Product] HIOKI 3153</t>
    <phoneticPr fontId="2" type="noConversion"/>
  </si>
  <si>
    <t>[H/W] 기본특성시험_RACK제작</t>
    <phoneticPr fontId="2" type="noConversion"/>
  </si>
  <si>
    <t>[H/W] 내구수명시험_RACK제작</t>
    <phoneticPr fontId="2" type="noConversion"/>
  </si>
  <si>
    <t>[H/W] 메카신뢰성시험_RACK제작</t>
    <phoneticPr fontId="2" type="noConversion"/>
  </si>
  <si>
    <t>[H/W] 환경신뢰성시험_RACK제작</t>
    <phoneticPr fontId="2" type="noConversion"/>
  </si>
  <si>
    <t>데모품 확보, 개발 진행</t>
    <phoneticPr fontId="2" type="noConversion"/>
  </si>
  <si>
    <t>[Product] YOKOGAWA DL950-F-HK/M1/ST2/C60/P4</t>
    <phoneticPr fontId="2" type="noConversion"/>
  </si>
  <si>
    <t>[Product] YOKOGAWA DLM5038-F-HK/M1/P8</t>
    <phoneticPr fontId="2" type="noConversion"/>
  </si>
  <si>
    <t>[Product] NF BP4610</t>
    <phoneticPr fontId="2" type="noConversion"/>
  </si>
  <si>
    <t>[Product] YOKOGAWA Acc(프로브 외)</t>
    <phoneticPr fontId="2" type="noConversion"/>
  </si>
  <si>
    <t>[SETUP] 기본특성시험_검수 납품 셋업</t>
    <phoneticPr fontId="2" type="noConversion"/>
  </si>
  <si>
    <t>[S/W] 기본특성시험_SW 개발</t>
    <phoneticPr fontId="2" type="noConversion"/>
  </si>
  <si>
    <t>[SETUP] 내구수명시험_검수 납품 셋업</t>
    <phoneticPr fontId="2" type="noConversion"/>
  </si>
  <si>
    <t>[SETUP] 메카신뢰성시험_검수 납품 셋업</t>
    <phoneticPr fontId="2" type="noConversion"/>
  </si>
  <si>
    <t>[SETUP] 환경신뢰성시험_검수 납품 셋업</t>
    <phoneticPr fontId="2" type="noConversion"/>
  </si>
  <si>
    <t>[S/W] 내구수명시험_SW 개발</t>
    <phoneticPr fontId="2" type="noConversion"/>
  </si>
  <si>
    <t>[S/W] 메카신뢰성시험_SW 개발</t>
    <phoneticPr fontId="2" type="noConversion"/>
  </si>
  <si>
    <t>[S/W] 환경신뢰성시험_SW 개발</t>
    <phoneticPr fontId="2" type="noConversion"/>
  </si>
  <si>
    <t>입고</t>
    <phoneticPr fontId="2" type="noConversion"/>
  </si>
  <si>
    <t>기본특성시험</t>
    <phoneticPr fontId="2" type="noConversion"/>
  </si>
  <si>
    <t>메카니컬 신뢰성시험</t>
    <phoneticPr fontId="2" type="noConversion"/>
  </si>
  <si>
    <t>환경신뢰성 시험</t>
    <phoneticPr fontId="2" type="noConversion"/>
  </si>
  <si>
    <t>내구ES수명시험</t>
    <phoneticPr fontId="2" type="noConversion"/>
  </si>
  <si>
    <t>ㅇ</t>
    <phoneticPr fontId="2" type="noConversion"/>
  </si>
  <si>
    <t>CAP 방전용 저항 부하</t>
    <phoneticPr fontId="2" type="noConversion"/>
  </si>
  <si>
    <t>5. Software Parts</t>
    <phoneticPr fontId="2" type="noConversion"/>
  </si>
  <si>
    <t>6. 인건비</t>
    <phoneticPr fontId="2" type="noConversion"/>
  </si>
  <si>
    <t>우진공업) Pre Charge Relay 특성평가 시험장비 일정표</t>
    <phoneticPr fontId="2" type="noConversion"/>
  </si>
  <si>
    <t>24.07.01</t>
    <phoneticPr fontId="2" type="noConversion"/>
  </si>
  <si>
    <t>[Product] NI Products(DIO, AIO)</t>
    <phoneticPr fontId="2" type="noConversion"/>
  </si>
  <si>
    <t>데모품 DSP1500-30WE 1대 확보, 개발 진행</t>
    <phoneticPr fontId="2" type="noConversion"/>
  </si>
  <si>
    <t>완료</t>
    <phoneticPr fontId="2" type="noConversion"/>
  </si>
  <si>
    <t>납기상 EVR 변경 적용</t>
    <phoneticPr fontId="2" type="noConversion"/>
  </si>
  <si>
    <t>적용 검토 중</t>
    <phoneticPr fontId="2" type="noConversion"/>
  </si>
  <si>
    <t>항목                                      일정</t>
    <phoneticPr fontId="2" type="noConversion"/>
  </si>
  <si>
    <t>[Product] IDRC P/S(DSP1500-30WE, DSP030-025HR)</t>
    <phoneticPr fontId="2" type="noConversion"/>
  </si>
  <si>
    <t>데모품 확보 예정, 개발 진행</t>
    <phoneticPr fontId="2" type="noConversion"/>
  </si>
  <si>
    <t>약 45일</t>
    <phoneticPr fontId="2" type="noConversion"/>
  </si>
  <si>
    <t>약 50일</t>
    <phoneticPr fontId="2" type="noConversion"/>
  </si>
  <si>
    <t>약 1.5개월</t>
    <phoneticPr fontId="2" type="noConversion"/>
  </si>
  <si>
    <t>[H/W] RACK 구조 설계</t>
    <phoneticPr fontId="2" type="noConversion"/>
  </si>
  <si>
    <t>설계 가공 진행</t>
    <phoneticPr fontId="2" type="noConversion"/>
  </si>
  <si>
    <t>시험기 조립 및 배선 제작 작업</t>
    <phoneticPr fontId="2" type="noConversion"/>
  </si>
  <si>
    <t>핵심 기능 구현(기본특성)</t>
    <phoneticPr fontId="2" type="noConversion"/>
  </si>
  <si>
    <t>인터페이스 디자인/기능구현&amp;통합</t>
    <phoneticPr fontId="2" type="noConversion"/>
  </si>
  <si>
    <t>랙시스템 통합/SETUP/검증</t>
  </si>
  <si>
    <t>핵심 기능 구현(내구)</t>
    <phoneticPr fontId="2" type="noConversion"/>
  </si>
  <si>
    <t>핵심 기능 구현(메카)</t>
    <phoneticPr fontId="2" type="noConversion"/>
  </si>
  <si>
    <t>핵심 기능 구현(환경)</t>
    <phoneticPr fontId="2" type="noConversion"/>
  </si>
  <si>
    <t>기본성능장비</t>
    <phoneticPr fontId="2" type="noConversion"/>
  </si>
  <si>
    <t>기능검사</t>
    <phoneticPr fontId="2" type="noConversion"/>
  </si>
  <si>
    <t>제어전압</t>
    <phoneticPr fontId="2" type="noConversion"/>
  </si>
  <si>
    <t>인가전압</t>
    <phoneticPr fontId="2" type="noConversion"/>
  </si>
  <si>
    <t>부하</t>
    <phoneticPr fontId="2" type="noConversion"/>
  </si>
  <si>
    <t>0~16V</t>
    <phoneticPr fontId="2" type="noConversion"/>
  </si>
  <si>
    <t>DC</t>
    <phoneticPr fontId="2" type="noConversion"/>
  </si>
  <si>
    <t>40ohm_1000uF</t>
    <phoneticPr fontId="2" type="noConversion"/>
  </si>
  <si>
    <t>800V</t>
    <phoneticPr fontId="2" type="noConversion"/>
  </si>
  <si>
    <t>작동전압</t>
    <phoneticPr fontId="2" type="noConversion"/>
  </si>
  <si>
    <t>12V</t>
    <phoneticPr fontId="2" type="noConversion"/>
  </si>
  <si>
    <t>1kohm</t>
    <phoneticPr fontId="2" type="noConversion"/>
  </si>
  <si>
    <t>유지전압</t>
    <phoneticPr fontId="2" type="noConversion"/>
  </si>
  <si>
    <r>
      <t>0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>6V</t>
    </r>
    <phoneticPr fontId="2" type="noConversion"/>
  </si>
  <si>
    <t>복귀전압</t>
    <phoneticPr fontId="2" type="noConversion"/>
  </si>
  <si>
    <r>
      <t>12V</t>
    </r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>0V</t>
    </r>
    <phoneticPr fontId="2" type="noConversion"/>
  </si>
  <si>
    <t>순단시간</t>
    <phoneticPr fontId="2" type="noConversion"/>
  </si>
  <si>
    <t>0~24V</t>
    <phoneticPr fontId="2" type="noConversion"/>
  </si>
  <si>
    <t>제어전류</t>
    <phoneticPr fontId="2" type="noConversion"/>
  </si>
  <si>
    <t>8V,12V,16V</t>
    <phoneticPr fontId="2" type="noConversion"/>
  </si>
  <si>
    <t>작동/복귀시간</t>
    <phoneticPr fontId="2" type="noConversion"/>
  </si>
  <si>
    <t>구형파</t>
    <phoneticPr fontId="2" type="noConversion"/>
  </si>
  <si>
    <t>접촉저항</t>
    <phoneticPr fontId="2" type="noConversion"/>
  </si>
  <si>
    <t>1.2ohm</t>
    <phoneticPr fontId="2" type="noConversion"/>
  </si>
  <si>
    <t>12ohm</t>
    <phoneticPr fontId="2" type="noConversion"/>
  </si>
  <si>
    <t>40ohm</t>
    <phoneticPr fontId="2" type="noConversion"/>
  </si>
  <si>
    <t>450V</t>
    <phoneticPr fontId="2" type="noConversion"/>
  </si>
  <si>
    <t>40ohm Resistor (450V, 8kW, 5%)</t>
    <phoneticPr fontId="2" type="noConversion"/>
  </si>
  <si>
    <t>80ohm</t>
    <phoneticPr fontId="2" type="noConversion"/>
  </si>
  <si>
    <t>80ohm Resistor (800V, 10kW, 5%)</t>
    <phoneticPr fontId="2" type="noConversion"/>
  </si>
  <si>
    <t>1.2ohm Resistor (200W, 5%)</t>
    <phoneticPr fontId="2" type="noConversion"/>
  </si>
  <si>
    <t>12ohm Resistor (50W, 5%)</t>
    <phoneticPr fontId="2" type="noConversion"/>
  </si>
  <si>
    <t>환경 신뢰성
메카니컬 신뢰성</t>
    <phoneticPr fontId="2" type="noConversion"/>
  </si>
  <si>
    <t>작동검사</t>
    <phoneticPr fontId="2" type="noConversion"/>
  </si>
  <si>
    <t>전압강하검사</t>
    <phoneticPr fontId="2" type="noConversion"/>
  </si>
  <si>
    <t>LOAD BANK  적용</t>
    <phoneticPr fontId="2" type="noConversion"/>
  </si>
  <si>
    <t>AQL 100 100W 40ohm</t>
    <phoneticPr fontId="2" type="noConversion"/>
  </si>
  <si>
    <t>내구ES</t>
    <phoneticPr fontId="2" type="noConversion"/>
  </si>
  <si>
    <t>비정상차단</t>
    <phoneticPr fontId="2" type="noConversion"/>
  </si>
  <si>
    <t>제어전압출력</t>
    <phoneticPr fontId="2" type="noConversion"/>
  </si>
  <si>
    <t>돌입전류</t>
    <phoneticPr fontId="2" type="noConversion"/>
  </si>
  <si>
    <t>W(연산)</t>
    <phoneticPr fontId="2" type="noConversion"/>
  </si>
  <si>
    <t>I(연산)</t>
    <phoneticPr fontId="2" type="noConversion"/>
  </si>
  <si>
    <t>40V이하</t>
    <phoneticPr fontId="2" type="noConversion"/>
  </si>
  <si>
    <t>80A(CC)</t>
    <phoneticPr fontId="2" type="noConversion"/>
  </si>
  <si>
    <t>AQL 100 100W 1kohm</t>
    <phoneticPr fontId="2" type="noConversion"/>
  </si>
  <si>
    <t>적용 제품</t>
    <phoneticPr fontId="2" type="noConversion"/>
  </si>
  <si>
    <t>LOAD BANK 800V,450V 40ohm</t>
    <phoneticPr fontId="2" type="noConversion"/>
  </si>
  <si>
    <t>LOAD BANK 800V,450V 40ohm
공냉방식,철크롬</t>
    <phoneticPr fontId="2" type="noConversion"/>
  </si>
  <si>
    <t>전원순단</t>
    <phoneticPr fontId="2" type="noConversion"/>
  </si>
  <si>
    <t>계단파</t>
    <phoneticPr fontId="2" type="noConversion"/>
  </si>
  <si>
    <t>검토 부하 사양</t>
    <phoneticPr fontId="2" type="noConversion"/>
  </si>
  <si>
    <t>시험명</t>
    <phoneticPr fontId="2" type="noConversion"/>
  </si>
  <si>
    <t>검사명</t>
    <phoneticPr fontId="2" type="noConversion"/>
  </si>
  <si>
    <t>1kohm Resistor (100W, 5%)</t>
    <phoneticPr fontId="2" type="noConversion"/>
  </si>
  <si>
    <t>RC회로 R 100W로 적용 가능 검증 필요</t>
    <phoneticPr fontId="2" type="noConversion"/>
  </si>
  <si>
    <t>R회로 R 100W로 적용(RC회로 동일 치수용량)</t>
    <phoneticPr fontId="2" type="noConversion"/>
  </si>
  <si>
    <t>방전 저항</t>
    <phoneticPr fontId="2" type="noConversion"/>
  </si>
  <si>
    <t>IGBT수명</t>
    <phoneticPr fontId="2" type="noConversion"/>
  </si>
  <si>
    <t>40ohm Resistor (100W, 5%)</t>
    <phoneticPr fontId="2" type="noConversion"/>
  </si>
  <si>
    <r>
      <t>PRV 200 40</t>
    </r>
    <r>
      <rPr>
        <sz val="11"/>
        <color theme="1"/>
        <rFont val="Calibri"/>
        <family val="2"/>
        <charset val="161"/>
      </rPr>
      <t>Ω</t>
    </r>
    <r>
      <rPr>
        <sz val="11"/>
        <color theme="1"/>
        <rFont val="맑은 고딕"/>
        <family val="2"/>
        <charset val="129"/>
        <scheme val="minor"/>
      </rPr>
      <t>J</t>
    </r>
    <phoneticPr fontId="2" type="noConversion"/>
  </si>
  <si>
    <r>
      <t>PRV 200 1k</t>
    </r>
    <r>
      <rPr>
        <sz val="11"/>
        <color theme="1"/>
        <rFont val="Calibri"/>
        <family val="2"/>
        <charset val="161"/>
      </rPr>
      <t>Ω</t>
    </r>
    <r>
      <rPr>
        <sz val="11"/>
        <color theme="1"/>
        <rFont val="맑은 고딕"/>
        <family val="2"/>
        <charset val="129"/>
        <scheme val="minor"/>
      </rPr>
      <t>J</t>
    </r>
    <phoneticPr fontId="2" type="noConversion"/>
  </si>
  <si>
    <t>40ohm Resistor (200W, 5%)</t>
    <phoneticPr fontId="2" type="noConversion"/>
  </si>
  <si>
    <t>1kohm Resistor (200W, 5%)</t>
    <phoneticPr fontId="2" type="noConversion"/>
  </si>
  <si>
    <r>
      <t>PRV 200 40</t>
    </r>
    <r>
      <rPr>
        <sz val="11"/>
        <rFont val="Calibri"/>
        <family val="3"/>
        <charset val="161"/>
      </rPr>
      <t>Ω</t>
    </r>
    <r>
      <rPr>
        <sz val="11"/>
        <rFont val="맑은 고딕"/>
        <family val="3"/>
        <charset val="129"/>
        <scheme val="minor"/>
      </rPr>
      <t>J</t>
    </r>
    <phoneticPr fontId="2" type="noConversion"/>
  </si>
  <si>
    <r>
      <t>PRV 200 1k</t>
    </r>
    <r>
      <rPr>
        <sz val="11"/>
        <rFont val="Calibri"/>
        <family val="3"/>
        <charset val="161"/>
      </rPr>
      <t>Ω</t>
    </r>
    <r>
      <rPr>
        <sz val="11"/>
        <rFont val="맑은 고딕"/>
        <family val="3"/>
        <charset val="129"/>
        <scheme val="minor"/>
      </rPr>
      <t>J</t>
    </r>
    <phoneticPr fontId="2" type="noConversion"/>
  </si>
  <si>
    <t>400Mohm</t>
    <phoneticPr fontId="2" type="noConversion"/>
  </si>
  <si>
    <t>800Mohm</t>
    <phoneticPr fontId="2" type="noConversion"/>
  </si>
  <si>
    <r>
      <t>BL 1W 400M</t>
    </r>
    <r>
      <rPr>
        <sz val="11"/>
        <color theme="1"/>
        <rFont val="Calibri"/>
        <family val="2"/>
        <charset val="161"/>
      </rPr>
      <t>Ω</t>
    </r>
    <phoneticPr fontId="2" type="noConversion"/>
  </si>
  <si>
    <r>
      <t>BL 1W 800M</t>
    </r>
    <r>
      <rPr>
        <sz val="11"/>
        <color theme="1"/>
        <rFont val="Calibri"/>
        <family val="2"/>
        <charset val="161"/>
      </rPr>
      <t>Ω</t>
    </r>
    <phoneticPr fontId="2" type="noConversion"/>
  </si>
  <si>
    <r>
      <t>PRV 200 1.2</t>
    </r>
    <r>
      <rPr>
        <sz val="11"/>
        <color rgb="FFC00000"/>
        <rFont val="맑은 고딕"/>
        <family val="3"/>
        <charset val="129"/>
      </rPr>
      <t>Ω</t>
    </r>
    <r>
      <rPr>
        <sz val="11"/>
        <color rgb="FFC00000"/>
        <rFont val="맑은 고딕"/>
        <family val="3"/>
        <charset val="129"/>
        <scheme val="minor"/>
      </rPr>
      <t>J</t>
    </r>
    <phoneticPr fontId="2" type="noConversion"/>
  </si>
  <si>
    <r>
      <t>PRV 200 12</t>
    </r>
    <r>
      <rPr>
        <sz val="11"/>
        <color rgb="FFC00000"/>
        <rFont val="Calibri"/>
        <family val="3"/>
        <charset val="161"/>
      </rPr>
      <t>Ω</t>
    </r>
    <r>
      <rPr>
        <sz val="11"/>
        <color rgb="FFC00000"/>
        <rFont val="맑은 고딕"/>
        <family val="3"/>
        <charset val="129"/>
        <scheme val="minor"/>
      </rPr>
      <t>J</t>
    </r>
    <phoneticPr fontId="2" type="noConversion"/>
  </si>
  <si>
    <t>시험 상세</t>
    <phoneticPr fontId="2" type="noConversion"/>
  </si>
  <si>
    <t>추가 수량</t>
    <phoneticPr fontId="2" type="noConversion"/>
  </si>
  <si>
    <t>사용 수량</t>
    <phoneticPr fontId="2" type="noConversion"/>
  </si>
  <si>
    <t>발주 수량</t>
    <phoneticPr fontId="2" type="noConversion"/>
  </si>
  <si>
    <t>필요 수량</t>
    <phoneticPr fontId="2" type="noConversion"/>
  </si>
  <si>
    <t>발주 수량 조정</t>
    <phoneticPr fontId="2" type="noConversion"/>
  </si>
  <si>
    <t>R회로, 비정상차단 모사, 5kW 450V 40옴 11.25A
R회로, 비정상차단 모사, 16kW 800V 40옴 20A</t>
    <phoneticPr fontId="2" type="noConversion"/>
  </si>
  <si>
    <t>RC회로 R
CAP 방전용 저항 부하</t>
    <phoneticPr fontId="2" type="noConversion"/>
  </si>
  <si>
    <t>AO Module @CH 추가</t>
    <phoneticPr fontId="2" type="noConversion"/>
  </si>
  <si>
    <t>제어측 SSR 3CH 추가</t>
    <phoneticPr fontId="2" type="noConversion"/>
  </si>
  <si>
    <t>제어측 SSR제어 3CH 추가</t>
    <phoneticPr fontId="2" type="noConversion"/>
  </si>
  <si>
    <t>SSR(32V, 10A) @CH 추가</t>
    <phoneticPr fontId="2" type="noConversion"/>
  </si>
  <si>
    <t>EVR(1000V, 50A) @CH 추가</t>
    <phoneticPr fontId="2" type="noConversion"/>
  </si>
  <si>
    <t>인가측 EVR 3CH 추가</t>
    <phoneticPr fontId="2" type="noConversion"/>
  </si>
  <si>
    <t>RACK1 - Control Rack 제작 외 @CH 추가</t>
    <phoneticPr fontId="2" type="noConversion"/>
  </si>
  <si>
    <t>기능구현</t>
    <phoneticPr fontId="2" type="noConversion"/>
  </si>
  <si>
    <t>진단기능</t>
    <phoneticPr fontId="2" type="noConversion"/>
  </si>
  <si>
    <t>개발비 @CH 추가</t>
    <phoneticPr fontId="2" type="noConversion"/>
  </si>
  <si>
    <t>통합디버깅 @CH 추가</t>
    <phoneticPr fontId="2" type="noConversion"/>
  </si>
  <si>
    <t>필요개발기간 :  TOTAL 30MD (HW 추가 10MD, SW 추가 30MD)</t>
    <phoneticPr fontId="2" type="noConversion"/>
  </si>
  <si>
    <t>우진공업) Pre ChargeRelay 특성평가 시험장비_신뢰성 시험 3CH 추가</t>
    <phoneticPr fontId="2" type="noConversion"/>
  </si>
  <si>
    <r>
      <t>LOAD BANK 800V,450V, 40</t>
    </r>
    <r>
      <rPr>
        <sz val="11"/>
        <color theme="1"/>
        <rFont val="Calibri"/>
        <family val="2"/>
        <charset val="161"/>
      </rPr>
      <t>Ω</t>
    </r>
    <r>
      <rPr>
        <sz val="11"/>
        <color theme="1"/>
        <rFont val="맑은 고딕"/>
        <family val="2"/>
        <charset val="129"/>
        <scheme val="minor"/>
      </rPr>
      <t>J
공냉방식,철크롬</t>
    </r>
    <phoneticPr fontId="2" type="noConversion"/>
  </si>
  <si>
    <t>PRV 200 40ΩJ</t>
  </si>
  <si>
    <t>R회로(up to 4uW) / MOQ100EA</t>
    <phoneticPr fontId="2" type="noConversion"/>
  </si>
  <si>
    <t>R회로(up to 8uW) / MOQ100EA</t>
    <phoneticPr fontId="2" type="noConversion"/>
  </si>
  <si>
    <t>PRV 200 1.2J</t>
  </si>
  <si>
    <t>PRV 200 1.2J</t>
    <phoneticPr fontId="2" type="noConversion"/>
  </si>
  <si>
    <t>PRV 200 12J</t>
  </si>
  <si>
    <t>PRV 200 12J</t>
    <phoneticPr fontId="2" type="noConversion"/>
  </si>
  <si>
    <t>* SPARE</t>
    <phoneticPr fontId="2" type="noConversion"/>
  </si>
  <si>
    <t>PRV 200 40ΩJ</t>
    <phoneticPr fontId="2" type="noConversion"/>
  </si>
  <si>
    <t>행 레이블</t>
  </si>
  <si>
    <t>합계 : 5</t>
  </si>
  <si>
    <t>합계 : 8</t>
  </si>
  <si>
    <t>PRV 200 1kΩJ</t>
  </si>
  <si>
    <t>spare</t>
    <phoneticPr fontId="2" type="noConversion"/>
  </si>
  <si>
    <t xml:space="preserve">ESA </t>
    <phoneticPr fontId="2" type="noConversion"/>
  </si>
  <si>
    <t>800V*10A 일때 INPUT 32A</t>
    <phoneticPr fontId="2" type="noConversion"/>
  </si>
  <si>
    <t>230VAC</t>
    <phoneticPr fontId="2" type="noConversion"/>
  </si>
  <si>
    <t>(3P3W)180~460VAC</t>
    <phoneticPr fontId="2" type="noConversion"/>
  </si>
  <si>
    <t>4.1A</t>
    <phoneticPr fontId="2" type="noConversion"/>
  </si>
  <si>
    <t>1U</t>
    <phoneticPr fontId="2" type="noConversion"/>
  </si>
  <si>
    <t>5.1kg</t>
    <phoneticPr fontId="2" type="noConversion"/>
  </si>
  <si>
    <t>소비전류</t>
    <phoneticPr fontId="2" type="noConversion"/>
  </si>
  <si>
    <t>3상220VAC</t>
    <phoneticPr fontId="2" type="noConversion"/>
  </si>
  <si>
    <t>24V</t>
    <phoneticPr fontId="2" type="noConversion"/>
  </si>
  <si>
    <t>1A</t>
    <phoneticPr fontId="2" type="noConversion"/>
  </si>
  <si>
    <t>750W</t>
    <phoneticPr fontId="2" type="noConversion"/>
  </si>
  <si>
    <t>30V</t>
    <phoneticPr fontId="2" type="noConversion"/>
  </si>
  <si>
    <t>25A</t>
    <phoneticPr fontId="2" type="noConversion"/>
  </si>
  <si>
    <t>기본특성시험기</t>
    <phoneticPr fontId="2" type="noConversion"/>
  </si>
  <si>
    <t>메카니컬신뢰성시험기</t>
    <phoneticPr fontId="2" type="noConversion"/>
  </si>
  <si>
    <t>환경신뢰성시험기</t>
    <phoneticPr fontId="2" type="noConversion"/>
  </si>
  <si>
    <t>내구ES수명시험기</t>
    <phoneticPr fontId="2" type="noConversion"/>
  </si>
  <si>
    <t>PC</t>
    <phoneticPr fontId="2" type="noConversion"/>
  </si>
  <si>
    <t>220VAC</t>
    <phoneticPr fontId="2" type="noConversion"/>
  </si>
  <si>
    <t>3A</t>
    <phoneticPr fontId="2" type="noConversion"/>
  </si>
  <si>
    <t>7.3kg</t>
    <phoneticPr fontId="2" type="noConversion"/>
  </si>
  <si>
    <t>426 (W) × 266 (H) × 180 (D) mm</t>
  </si>
  <si>
    <t>290 VA</t>
    <phoneticPr fontId="2" type="noConversion"/>
  </si>
  <si>
    <t>1.2A</t>
    <phoneticPr fontId="2" type="noConversion"/>
  </si>
  <si>
    <t>2.4kg</t>
    <phoneticPr fontId="2" type="noConversion"/>
  </si>
  <si>
    <t>0.1A</t>
    <phoneticPr fontId="2" type="noConversion"/>
  </si>
  <si>
    <t>7.5kg</t>
    <phoneticPr fontId="2" type="noConversion"/>
  </si>
  <si>
    <t>Approx. 375 mm (W) × 259 mm (H) × 202 mm (D)</t>
  </si>
  <si>
    <t>280 VA</t>
  </si>
  <si>
    <t>26kg</t>
    <phoneticPr fontId="2" type="noConversion"/>
  </si>
  <si>
    <t>5.5A</t>
    <phoneticPr fontId="2" type="noConversion"/>
  </si>
  <si>
    <t>3P3W 220VAC 100A</t>
    <phoneticPr fontId="2" type="noConversion"/>
  </si>
  <si>
    <t>3.63 kg</t>
  </si>
  <si>
    <t>88 mm high × 213 mm wide × 410 mm deep</t>
    <phoneticPr fontId="2" type="noConversion"/>
  </si>
  <si>
    <t>60VA</t>
    <phoneticPr fontId="2" type="noConversion"/>
  </si>
  <si>
    <t>단상 220VAC 3A</t>
    <phoneticPr fontId="2" type="noConversion"/>
  </si>
  <si>
    <t>단상 220VAC 20A</t>
    <phoneticPr fontId="2" type="noConversion"/>
  </si>
  <si>
    <t>단상 220VAC</t>
  </si>
  <si>
    <t xml:space="preserve"> 100A</t>
    <phoneticPr fontId="2" type="noConversion"/>
  </si>
  <si>
    <t>3P3W 220VAC</t>
    <phoneticPr fontId="2" type="noConversion"/>
  </si>
  <si>
    <t>14A</t>
    <phoneticPr fontId="2" type="noConversion"/>
  </si>
  <si>
    <t>18A</t>
    <phoneticPr fontId="2" type="noConversion"/>
  </si>
  <si>
    <t>21A</t>
    <phoneticPr fontId="2" type="noConversion"/>
  </si>
  <si>
    <t xml:space="preserve"> 150A</t>
    <phoneticPr fontId="2" type="noConversion"/>
  </si>
  <si>
    <t>15;18</t>
    <phoneticPr fontId="2" type="noConversion"/>
  </si>
  <si>
    <t>8;X</t>
    <phoneticPr fontId="2" type="noConversion"/>
  </si>
  <si>
    <t>800V/10A 출력시 소비전류</t>
    <phoneticPr fontId="2" type="noConversion"/>
  </si>
  <si>
    <t>(8kW 출력시)</t>
    <phoneticPr fontId="2" type="noConversion"/>
  </si>
  <si>
    <t>24.07.24</t>
    <phoneticPr fontId="2" type="noConversion"/>
  </si>
  <si>
    <t>24.07.23</t>
    <phoneticPr fontId="2" type="noConversion"/>
  </si>
  <si>
    <t>24.07.15</t>
    <phoneticPr fontId="2" type="noConversion"/>
  </si>
  <si>
    <t>24.07.23 / 기흥</t>
    <phoneticPr fontId="2" type="noConversion"/>
  </si>
  <si>
    <t>24.07.15</t>
  </si>
  <si>
    <t>24.07.30 입고 / 기흥</t>
    <phoneticPr fontId="2" type="noConversion"/>
  </si>
  <si>
    <t>24.07.26</t>
    <phoneticPr fontId="2" type="noConversion"/>
  </si>
  <si>
    <t>입고완료</t>
    <phoneticPr fontId="2" type="noConversion"/>
  </si>
  <si>
    <t>10월 말</t>
    <phoneticPr fontId="2" type="noConversion"/>
  </si>
  <si>
    <t>1 W / 24.08.08입고예정</t>
    <phoneticPr fontId="2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</si>
  <si>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2" type="noConversion"/>
  </si>
  <si>
    <t>약 45일 / 8.21완성</t>
    <phoneticPr fontId="2" type="noConversion"/>
  </si>
  <si>
    <t>약 5개월 / 8.21완성</t>
    <phoneticPr fontId="2" type="noConversion"/>
  </si>
  <si>
    <t>약 60일 / 8.21완성</t>
    <phoneticPr fontId="2" type="noConversion"/>
  </si>
  <si>
    <t>약 50일 / 8.21완성</t>
    <phoneticPr fontId="2" type="noConversion"/>
  </si>
  <si>
    <t>24.08.08 입고 / 기흥</t>
  </si>
  <si>
    <t>24.08.08 입고 / 기흥</t>
    <phoneticPr fontId="2" type="noConversion"/>
  </si>
  <si>
    <t>O</t>
    <phoneticPr fontId="2" type="noConversion"/>
  </si>
  <si>
    <t>24.08.13</t>
    <phoneticPr fontId="2" type="noConversion"/>
  </si>
  <si>
    <t xml:space="preserve">[Product] 고전압 Relay(LS社 GPR-M040, GPR-M100)  </t>
    <phoneticPr fontId="2" type="noConversion"/>
  </si>
  <si>
    <t>입고예정</t>
    <phoneticPr fontId="2" type="noConversion"/>
  </si>
  <si>
    <t>우진공업) Pre ChargeRelay 특성평가 시험장비_환경/메카니컬 신뢰성 시험/내구 시험 CH 추가</t>
    <phoneticPr fontId="2" type="noConversion"/>
  </si>
  <si>
    <t>1. Control Parts_환경 신뢰성 시험</t>
    <phoneticPr fontId="2" type="noConversion"/>
  </si>
  <si>
    <t>AO Module @ 3CH 추가</t>
    <phoneticPr fontId="2" type="noConversion"/>
  </si>
  <si>
    <t>제어측 SSR제어 6CH 추가</t>
    <phoneticPr fontId="2" type="noConversion"/>
  </si>
  <si>
    <t>2. Control rack Parts_환경 신뢰성 시험</t>
    <phoneticPr fontId="2" type="noConversion"/>
  </si>
  <si>
    <t>Test Circuit 제작 및 배선 작업 외 @CH 추가</t>
    <phoneticPr fontId="2" type="noConversion"/>
  </si>
  <si>
    <t>1W</t>
    <phoneticPr fontId="2" type="noConversion"/>
  </si>
  <si>
    <t>제어측 SSR 6CH 추가</t>
    <phoneticPr fontId="2" type="noConversion"/>
  </si>
  <si>
    <t>2W</t>
    <phoneticPr fontId="2" type="noConversion"/>
  </si>
  <si>
    <t>EVR(1000V, 40A) @CH 추가</t>
    <phoneticPr fontId="2" type="noConversion"/>
  </si>
  <si>
    <t>GPR-M040</t>
    <phoneticPr fontId="2" type="noConversion"/>
  </si>
  <si>
    <t>LSIS</t>
    <phoneticPr fontId="2" type="noConversion"/>
  </si>
  <si>
    <t>인가측 EVR 6CH 추가</t>
    <phoneticPr fontId="2" type="noConversion"/>
  </si>
  <si>
    <t>6W</t>
    <phoneticPr fontId="2" type="noConversion"/>
  </si>
  <si>
    <t>3. Control Parts_메카니컬 신뢰성 시험</t>
    <phoneticPr fontId="2" type="noConversion"/>
  </si>
  <si>
    <t>4. Control rack Parts_메카니컬 신뢰성 시험</t>
    <phoneticPr fontId="2" type="noConversion"/>
  </si>
  <si>
    <t>5. Control Parts_내구 시험</t>
    <phoneticPr fontId="2" type="noConversion"/>
  </si>
  <si>
    <t>6. Control rack Parts_내구 시험</t>
    <phoneticPr fontId="2" type="noConversion"/>
  </si>
  <si>
    <t>EVR(1000V, 100A) @CH 추가</t>
    <phoneticPr fontId="2" type="noConversion"/>
  </si>
  <si>
    <t xml:space="preserve">GPR-M100 </t>
    <phoneticPr fontId="2" type="noConversion"/>
  </si>
  <si>
    <t>7. Software Parts_환경/메카니컬 신뢰성 시험</t>
    <phoneticPr fontId="2" type="noConversion"/>
  </si>
  <si>
    <t>현재 SSR제어 AO에서 DO로 변경으로 기존 검토된 AO module(NI-9269) 추가 구매 제외 적용</t>
    <phoneticPr fontId="2" type="noConversion"/>
  </si>
  <si>
    <t xml:space="preserve">H/W 시험 장비 당 비용 적용, S/W는 시험 장비 통합 비용 적용 </t>
    <phoneticPr fontId="2" type="noConversion"/>
  </si>
  <si>
    <t xml:space="preserve">납기 : 발주 후 약 3개월 </t>
    <phoneticPr fontId="2" type="noConversion"/>
  </si>
  <si>
    <t>※ 추가 개발진행시, 통합디버깅에 대한 Risk 검증 및 공수 발생, 안정화를 위한 일정확보가 반드시 필요</t>
    <phoneticPr fontId="2" type="noConversion"/>
  </si>
  <si>
    <t>현 위치(240902)</t>
    <phoneticPr fontId="2" type="noConversion"/>
  </si>
  <si>
    <t>한영전자정밀 발송_3EA</t>
    <phoneticPr fontId="2" type="noConversion"/>
  </si>
  <si>
    <t>한영전자정밀 발송_12EA</t>
    <phoneticPr fontId="2" type="noConversion"/>
  </si>
  <si>
    <t>한영전자정밀 발송_6EA</t>
    <phoneticPr fontId="2" type="noConversion"/>
  </si>
  <si>
    <t>한영전자정밀 발송_10EA</t>
    <phoneticPr fontId="2" type="noConversion"/>
  </si>
  <si>
    <t>한영전자정밀 발송_4EA</t>
    <phoneticPr fontId="2" type="noConversion"/>
  </si>
  <si>
    <t>한영전자정밀 발송_2EA</t>
    <phoneticPr fontId="2" type="noConversion"/>
  </si>
  <si>
    <t>현 위치(240906)</t>
    <phoneticPr fontId="2" type="noConversion"/>
  </si>
  <si>
    <t>기흥 1EA, 한영 2EA</t>
    <phoneticPr fontId="2" type="noConversion"/>
  </si>
  <si>
    <t>한영 3EA</t>
  </si>
  <si>
    <t>한영 6EA</t>
  </si>
  <si>
    <t>한영 10EA</t>
  </si>
  <si>
    <t>한영 4EA</t>
  </si>
  <si>
    <t>미적용</t>
    <phoneticPr fontId="2" type="noConversion"/>
  </si>
  <si>
    <t>기흥</t>
  </si>
  <si>
    <t>기흥</t>
    <phoneticPr fontId="2" type="noConversion"/>
  </si>
  <si>
    <t>기흥 1EA, 한영 3EA</t>
    <phoneticPr fontId="2" type="noConversion"/>
  </si>
  <si>
    <t>기흥 1EA, 한영 12EA</t>
    <phoneticPr fontId="2" type="noConversion"/>
  </si>
  <si>
    <t>제작 중</t>
  </si>
  <si>
    <t>제작 중</t>
    <phoneticPr fontId="2" type="noConversion"/>
  </si>
  <si>
    <t>기흥 1EA, 한영 4EA</t>
    <phoneticPr fontId="2" type="noConversion"/>
  </si>
  <si>
    <t>기흥 2EA, 한영 2EA</t>
    <phoneticPr fontId="2" type="noConversion"/>
  </si>
  <si>
    <t>PRV 200 12ΩJ</t>
  </si>
  <si>
    <t>PRV 200 1.2ΩJ</t>
  </si>
  <si>
    <t>BL 1W 400MΩ</t>
  </si>
  <si>
    <t>BL 1W 800MΩ</t>
  </si>
  <si>
    <t>HV1</t>
    <phoneticPr fontId="2" type="noConversion"/>
  </si>
  <si>
    <t>HV2</t>
    <phoneticPr fontId="2" type="noConversion"/>
  </si>
  <si>
    <t>HS1</t>
    <phoneticPr fontId="2" type="noConversion"/>
  </si>
  <si>
    <t>HS2</t>
    <phoneticPr fontId="2" type="noConversion"/>
  </si>
  <si>
    <t>메카 신뢰</t>
    <phoneticPr fontId="2" type="noConversion"/>
  </si>
  <si>
    <t>환경 신뢰</t>
    <phoneticPr fontId="2" type="noConversion"/>
  </si>
  <si>
    <t>1CH</t>
    <phoneticPr fontId="2" type="noConversion"/>
  </si>
  <si>
    <t>2CH</t>
    <phoneticPr fontId="2" type="noConversion"/>
  </si>
  <si>
    <t>HV+</t>
    <phoneticPr fontId="2" type="noConversion"/>
  </si>
  <si>
    <t>HV-</t>
    <phoneticPr fontId="2" type="noConversion"/>
  </si>
  <si>
    <t>C전압</t>
    <phoneticPr fontId="2" type="noConversion"/>
  </si>
  <si>
    <t>제어전류(Shunt)</t>
    <phoneticPr fontId="2" type="noConversion"/>
  </si>
  <si>
    <t>SPARE</t>
    <phoneticPr fontId="2" type="noConversion"/>
  </si>
  <si>
    <t>기존</t>
    <phoneticPr fontId="2" type="noConversion"/>
  </si>
  <si>
    <t>변경</t>
    <phoneticPr fontId="2" type="noConversion"/>
  </si>
  <si>
    <t>24.09.20</t>
    <phoneticPr fontId="2" type="noConversion"/>
  </si>
  <si>
    <t>일부 입고</t>
    <phoneticPr fontId="2" type="noConversion"/>
  </si>
  <si>
    <t>기흥 1EA, 한영 1EA, RL 1EA, 수리 1EA</t>
    <phoneticPr fontId="2" type="noConversion"/>
  </si>
  <si>
    <t>기흥 1EA, 한영 1EA, RL 2EA, 수리 1EA</t>
    <phoneticPr fontId="2" type="noConversion"/>
  </si>
  <si>
    <t>위치</t>
    <phoneticPr fontId="2" type="noConversion"/>
  </si>
  <si>
    <t>입고 완료</t>
  </si>
  <si>
    <t>입고 완료</t>
    <phoneticPr fontId="2" type="noConversion"/>
  </si>
  <si>
    <t>24.09.24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</si>
</sst>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2" formatCode="_-&quot;₩&quot;* #,##0_-;\-&quot;₩&quot;* #,##0_-;_-&quot;₩&quot;* &quot;-&quot;_-;_-@_-"/>
    <numFmt numFmtId="41" formatCode="_-* #,##0_-;\-* #,##0_-;_-* &quot;-&quot;_-;_-@_-"/>
    <numFmt numFmtId="176" formatCode="#,##0_);[Red]\(#,##0\)"/>
    <numFmt numFmtId="177" formatCode="0.0%"/>
    <numFmt numFmtId="178" formatCode="_-&quot;₩&quot;* #,##0_-;\-&quot;₩&quot;* #,##0_-;_-&quot;₩&quot;* &quot;-&quot;??_-;_-@_-"/>
    <numFmt numFmtId="179" formatCode="mm&quot;월&quot;\ dd&quot;일&quot;"/>
    <numFmt numFmtId="180" formatCode="0.000"/>
    <numFmt numFmtId="181" formatCode="_-* #,##0.0000_-;\-* #,##0.0000_-;_-* &quot;-&quot;_-;_-@_-"/>
    <numFmt numFmtId="182" formatCode="_-* #,##0.000000_-;\-* #,##0.000000_-;_-* &quot;-&quot;_-;_-@_-"/>
    <numFmt numFmtId="183" formatCode="#,##0&quot;A&quot;"/>
  </numFmts>
  <fonts count="4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2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i/>
      <sz val="14"/>
      <color theme="0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Helv"/>
      <family val="2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9"/>
      <color indexed="63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3"/>
      <color theme="0"/>
      <name val="맑은 고딕"/>
      <family val="3"/>
      <charset val="129"/>
      <scheme val="minor"/>
    </font>
    <font>
      <sz val="11"/>
      <name val="Calibri"/>
      <family val="3"/>
      <charset val="161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  <font>
      <strike/>
      <sz val="11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</font>
    <font>
      <strike/>
      <sz val="11"/>
      <color rgb="FFC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u/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Calibri"/>
      <family val="2"/>
      <charset val="161"/>
    </font>
    <font>
      <sz val="11"/>
      <color rgb="FFC00000"/>
      <name val="Calibri"/>
      <family val="3"/>
      <charset val="161"/>
    </font>
    <font>
      <sz val="10"/>
      <color rgb="FFC00000"/>
      <name val="맑은 고딕"/>
      <family val="3"/>
      <charset val="129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3CC82"/>
        <bgColor indexed="64"/>
      </patternFill>
    </fill>
    <fill>
      <patternFill patternType="solid">
        <fgColor theme="4" tint="0.59999389629810485"/>
        <bgColor indexed="64"/>
      </patternFill>
    </fill>
  </fills>
  <borders count="17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theme="9" tint="-0.249977111117893"/>
      </left>
      <right style="medium">
        <color indexed="64"/>
      </right>
      <top style="medium">
        <color theme="9" tint="-0.249977111117893"/>
      </top>
      <bottom style="medium">
        <color indexed="64"/>
      </bottom>
      <diagonal/>
    </border>
    <border>
      <left style="medium">
        <color indexed="64"/>
      </left>
      <right/>
      <top style="medium">
        <color theme="9" tint="-0.249977111117893"/>
      </top>
      <bottom style="medium">
        <color indexed="64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medium">
        <color indexed="64"/>
      </bottom>
      <diagonal/>
    </border>
    <border>
      <left style="medium">
        <color theme="9" tint="-0.24997711111789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9" tint="-0.249977111117893"/>
      </right>
      <top style="medium">
        <color indexed="64"/>
      </top>
      <bottom style="medium">
        <color indexed="64"/>
      </bottom>
      <diagonal/>
    </border>
    <border>
      <left style="medium">
        <color theme="9" tint="-0.249977111117893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theme="9" tint="-0.249977111117893"/>
      </right>
      <top style="thin">
        <color auto="1"/>
      </top>
      <bottom style="thin">
        <color auto="1"/>
      </bottom>
      <diagonal/>
    </border>
    <border>
      <left style="medium">
        <color theme="9" tint="-0.249977111117893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theme="9" tint="-0.249977111117893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theme="9" tint="-0.249977111117893"/>
      </left>
      <right style="medium">
        <color indexed="64"/>
      </right>
      <top style="medium">
        <color indexed="64"/>
      </top>
      <bottom style="medium">
        <color theme="9" tint="-0.249977111117893"/>
      </bottom>
      <diagonal/>
    </border>
    <border>
      <left style="medium">
        <color indexed="64"/>
      </left>
      <right/>
      <top style="medium">
        <color indexed="64"/>
      </top>
      <bottom style="medium">
        <color theme="9" tint="-0.249977111117893"/>
      </bottom>
      <diagonal/>
    </border>
    <border>
      <left/>
      <right style="medium">
        <color theme="9" tint="-0.249977111117893"/>
      </right>
      <top style="medium">
        <color indexed="64"/>
      </top>
      <bottom style="medium">
        <color theme="9" tint="-0.249977111117893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theme="9" tint="-0.249977111117893"/>
      </left>
      <right/>
      <top style="thin">
        <color auto="1"/>
      </top>
      <bottom style="thin">
        <color auto="1"/>
      </bottom>
      <diagonal/>
    </border>
    <border>
      <left style="medium">
        <color theme="9" tint="-0.249977111117893"/>
      </left>
      <right/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theme="9" tint="-0.249977111117893"/>
      </left>
      <right style="medium">
        <color indexed="64"/>
      </right>
      <top/>
      <bottom style="thin">
        <color auto="1"/>
      </bottom>
      <diagonal/>
    </border>
    <border>
      <left style="medium">
        <color theme="9" tint="-0.249977111117893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theme="9" tint="-0.249977111117893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theme="9" tint="-0.249977111117893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theme="9" tint="-0.249977111117893"/>
      </left>
      <right/>
      <top style="medium">
        <color indexed="64"/>
      </top>
      <bottom/>
      <diagonal/>
    </border>
    <border>
      <left style="medium">
        <color theme="9" tint="-0.249977111117893"/>
      </left>
      <right/>
      <top/>
      <bottom/>
      <diagonal/>
    </border>
    <border>
      <left style="medium">
        <color theme="9" tint="-0.249977111117893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theme="9" tint="-0.249977111117893"/>
      </left>
      <right/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theme="9" tint="-0.249977111117893"/>
      </left>
      <right/>
      <top style="thin">
        <color theme="1"/>
      </top>
      <bottom style="medium">
        <color indexed="64"/>
      </bottom>
      <diagonal/>
    </border>
    <border>
      <left/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theme="9" tint="-0.249977111117893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theme="9" tint="-0.249977111117893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theme="9" tint="-0.249977111117893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theme="9" tint="-0.249977111117893"/>
      </left>
      <right style="medium">
        <color indexed="64"/>
      </right>
      <top style="thin">
        <color theme="1"/>
      </top>
      <bottom style="thin">
        <color auto="1"/>
      </bottom>
      <diagonal/>
    </border>
    <border>
      <left style="medium">
        <color theme="9" tint="-0.249977111117893"/>
      </left>
      <right/>
      <top style="thin">
        <color theme="1"/>
      </top>
      <bottom/>
      <diagonal/>
    </border>
    <border>
      <left/>
      <right style="medium">
        <color indexed="64"/>
      </right>
      <top style="thin">
        <color theme="1"/>
      </top>
      <bottom/>
      <diagonal/>
    </border>
    <border>
      <left style="medium">
        <color theme="9" tint="-0.249977111117893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theme="9" tint="-0.249977111117893"/>
      </left>
      <right/>
      <top/>
      <bottom style="thin">
        <color auto="1"/>
      </bottom>
      <diagonal/>
    </border>
    <border>
      <left style="medium">
        <color theme="9" tint="-0.249977111117893"/>
      </left>
      <right style="medium">
        <color indexed="64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medium">
        <color theme="1"/>
      </bottom>
      <diagonal/>
    </border>
    <border>
      <left style="thin">
        <color theme="1"/>
      </left>
      <right style="medium">
        <color theme="9" tint="-0.249977111117893"/>
      </right>
      <top style="thin">
        <color auto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indexed="64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medium">
        <color theme="1"/>
      </bottom>
      <diagonal/>
    </border>
    <border>
      <left style="thin">
        <color theme="1"/>
      </left>
      <right style="medium">
        <color theme="9" tint="-0.249977111117893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theme="9" tint="-0.249977111117893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9" tint="-0.249977111117893"/>
      </right>
      <top style="thin">
        <color theme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9" tint="-0.249977111117893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theme="9" tint="-0.249977111117893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theme="9" tint="-0.249977111117893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theme="9" tint="-0.249977111117893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theme="9" tint="-0.249977111117893"/>
      </right>
      <top style="thin">
        <color auto="1"/>
      </top>
      <bottom/>
      <diagonal/>
    </border>
    <border>
      <left style="thin">
        <color indexed="64"/>
      </left>
      <right style="medium">
        <color theme="9" tint="-0.249977111117893"/>
      </right>
      <top/>
      <bottom style="thin">
        <color auto="1"/>
      </bottom>
      <diagonal/>
    </border>
    <border>
      <left style="medium">
        <color theme="9" tint="-0.249977111117893"/>
      </left>
      <right/>
      <top/>
      <bottom style="thin">
        <color theme="1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 style="medium">
        <color theme="9" tint="-0.249977111117893"/>
      </left>
      <right/>
      <top style="thin">
        <color auto="1"/>
      </top>
      <bottom style="thin">
        <color theme="1"/>
      </bottom>
      <diagonal/>
    </border>
    <border>
      <left/>
      <right style="medium">
        <color indexed="64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theme="9" tint="-0.249977111117893"/>
      </right>
      <top style="thin">
        <color auto="1"/>
      </top>
      <bottom/>
      <diagonal/>
    </border>
    <border>
      <left/>
      <right style="medium">
        <color theme="9" tint="-0.249977111117893"/>
      </right>
      <top style="medium">
        <color auto="1"/>
      </top>
      <bottom style="thin">
        <color indexed="64"/>
      </bottom>
      <diagonal/>
    </border>
    <border>
      <left style="medium">
        <color theme="9" tint="-0.249977111117893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theme="9" tint="-0.2499465926084170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theme="9" tint="-0.249977111117893"/>
      </right>
      <top style="thin">
        <color auto="1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 diagonalDown="1">
      <left style="medium">
        <color indexed="64"/>
      </left>
      <right style="thin">
        <color auto="1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 style="thin">
        <color auto="1"/>
      </right>
      <top/>
      <bottom style="thin">
        <color auto="1"/>
      </bottom>
      <diagonal style="thin">
        <color indexed="64"/>
      </diagonal>
    </border>
    <border>
      <left style="medium">
        <color indexed="64"/>
      </left>
      <right/>
      <top style="thin">
        <color auto="1"/>
      </top>
      <bottom style="hair">
        <color indexed="64"/>
      </bottom>
      <diagonal/>
    </border>
    <border>
      <left/>
      <right/>
      <top style="thin">
        <color auto="1"/>
      </top>
      <bottom style="hair">
        <color indexed="64"/>
      </bottom>
      <diagonal/>
    </border>
    <border>
      <left/>
      <right style="thin">
        <color auto="1"/>
      </right>
      <top style="thin">
        <color auto="1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auto="1"/>
      </right>
      <top style="hair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thin">
        <color auto="1"/>
      </bottom>
      <diagonal/>
    </border>
    <border>
      <left style="thin">
        <color auto="1"/>
      </left>
      <right/>
      <top style="hair">
        <color indexed="64"/>
      </top>
      <bottom style="thin">
        <color auto="1"/>
      </bottom>
      <diagonal/>
    </border>
    <border>
      <left/>
      <right/>
      <top style="hair">
        <color indexed="64"/>
      </top>
      <bottom style="thin">
        <color auto="1"/>
      </bottom>
      <diagonal/>
    </border>
    <border>
      <left/>
      <right style="thin">
        <color auto="1"/>
      </right>
      <top style="hair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hair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0" borderId="0"/>
    <xf numFmtId="0" fontId="16" fillId="0" borderId="0">
      <alignment vertical="center"/>
    </xf>
    <xf numFmtId="0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</cellStyleXfs>
  <cellXfs count="1668">
    <xf numFmtId="0" fontId="0" fillId="0" borderId="0" xfId="0">
      <alignment vertical="center"/>
    </xf>
    <xf numFmtId="42" fontId="0" fillId="0" borderId="0" xfId="1" applyNumberFormat="1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42" fontId="0" fillId="0" borderId="0" xfId="1" applyNumberFormat="1" applyFont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42" fontId="6" fillId="3" borderId="21" xfId="1" applyNumberFormat="1" applyFont="1" applyFill="1" applyBorder="1" applyAlignment="1">
      <alignment horizontal="center" vertical="center"/>
    </xf>
    <xf numFmtId="42" fontId="6" fillId="3" borderId="22" xfId="1" applyNumberFormat="1" applyFont="1" applyFill="1" applyBorder="1" applyAlignment="1">
      <alignment horizontal="center" vertical="center"/>
    </xf>
    <xf numFmtId="9" fontId="0" fillId="0" borderId="24" xfId="1" applyNumberFormat="1" applyFont="1" applyBorder="1" applyAlignment="1">
      <alignment horizontal="center" vertical="center"/>
    </xf>
    <xf numFmtId="9" fontId="0" fillId="0" borderId="12" xfId="1" applyNumberFormat="1" applyFont="1" applyFill="1" applyBorder="1" applyAlignment="1">
      <alignment horizontal="center" vertical="center"/>
    </xf>
    <xf numFmtId="9" fontId="0" fillId="0" borderId="28" xfId="1" applyNumberFormat="1" applyFont="1" applyBorder="1" applyAlignment="1">
      <alignment horizontal="center" vertical="center"/>
    </xf>
    <xf numFmtId="9" fontId="0" fillId="0" borderId="30" xfId="1" applyNumberFormat="1" applyFont="1" applyFill="1" applyBorder="1" applyAlignment="1">
      <alignment horizontal="center" vertical="center"/>
    </xf>
    <xf numFmtId="0" fontId="14" fillId="0" borderId="0" xfId="2" applyFont="1" applyAlignment="1">
      <alignment vertical="center"/>
    </xf>
    <xf numFmtId="0" fontId="15" fillId="0" borderId="0" xfId="2" applyFont="1" applyAlignment="1">
      <alignment vertical="center"/>
    </xf>
    <xf numFmtId="0" fontId="14" fillId="5" borderId="25" xfId="4" applyFont="1" applyFill="1" applyBorder="1" applyAlignment="1">
      <alignment horizontal="center" vertical="center"/>
    </xf>
    <xf numFmtId="0" fontId="14" fillId="5" borderId="2" xfId="4" applyFont="1" applyFill="1" applyBorder="1" applyAlignment="1">
      <alignment horizontal="center" vertical="center"/>
    </xf>
    <xf numFmtId="0" fontId="14" fillId="6" borderId="2" xfId="4" applyFont="1" applyFill="1" applyBorder="1" applyAlignment="1">
      <alignment horizontal="center" vertical="center" wrapText="1"/>
    </xf>
    <xf numFmtId="0" fontId="14" fillId="4" borderId="2" xfId="4" applyFont="1" applyFill="1" applyBorder="1" applyAlignment="1">
      <alignment horizontal="center" vertical="center" wrapText="1"/>
    </xf>
    <xf numFmtId="0" fontId="14" fillId="5" borderId="35" xfId="2" applyFont="1" applyFill="1" applyBorder="1" applyAlignment="1">
      <alignment horizontal="center" vertical="center" wrapText="1"/>
    </xf>
    <xf numFmtId="0" fontId="15" fillId="7" borderId="28" xfId="4" applyFont="1" applyFill="1" applyBorder="1" applyAlignment="1">
      <alignment horizontal="center" vertical="center"/>
    </xf>
    <xf numFmtId="3" fontId="18" fillId="7" borderId="8" xfId="4" applyNumberFormat="1" applyFont="1" applyFill="1" applyBorder="1" applyAlignment="1">
      <alignment horizontal="right" vertical="center" wrapText="1"/>
    </xf>
    <xf numFmtId="41" fontId="15" fillId="8" borderId="8" xfId="5" applyFont="1" applyFill="1" applyBorder="1">
      <alignment vertical="center"/>
    </xf>
    <xf numFmtId="176" fontId="15" fillId="7" borderId="8" xfId="4" applyNumberFormat="1" applyFont="1" applyFill="1" applyBorder="1" applyAlignment="1">
      <alignment vertical="center"/>
    </xf>
    <xf numFmtId="41" fontId="15" fillId="0" borderId="8" xfId="5" applyFont="1" applyFill="1" applyBorder="1">
      <alignment vertical="center"/>
    </xf>
    <xf numFmtId="9" fontId="14" fillId="7" borderId="29" xfId="6" applyNumberFormat="1" applyFont="1" applyFill="1" applyBorder="1" applyAlignment="1">
      <alignment horizontal="center" vertical="center"/>
    </xf>
    <xf numFmtId="0" fontId="15" fillId="7" borderId="12" xfId="4" applyFont="1" applyFill="1" applyBorder="1" applyAlignment="1">
      <alignment horizontal="center" vertical="center"/>
    </xf>
    <xf numFmtId="3" fontId="18" fillId="7" borderId="1" xfId="4" applyNumberFormat="1" applyFont="1" applyFill="1" applyBorder="1" applyAlignment="1">
      <alignment horizontal="right" vertical="center" wrapText="1"/>
    </xf>
    <xf numFmtId="41" fontId="15" fillId="8" borderId="1" xfId="5" applyFont="1" applyFill="1" applyBorder="1">
      <alignment vertical="center"/>
    </xf>
    <xf numFmtId="176" fontId="15" fillId="7" borderId="1" xfId="4" applyNumberFormat="1" applyFont="1" applyFill="1" applyBorder="1" applyAlignment="1">
      <alignment vertical="center"/>
    </xf>
    <xf numFmtId="41" fontId="15" fillId="0" borderId="1" xfId="5" applyFont="1" applyFill="1" applyBorder="1">
      <alignment vertical="center"/>
    </xf>
    <xf numFmtId="9" fontId="14" fillId="7" borderId="13" xfId="6" applyNumberFormat="1" applyFont="1" applyFill="1" applyBorder="1" applyAlignment="1">
      <alignment horizontal="center" vertical="center"/>
    </xf>
    <xf numFmtId="0" fontId="15" fillId="9" borderId="12" xfId="4" applyFont="1" applyFill="1" applyBorder="1" applyAlignment="1">
      <alignment horizontal="center" vertical="center"/>
    </xf>
    <xf numFmtId="3" fontId="18" fillId="9" borderId="1" xfId="4" applyNumberFormat="1" applyFont="1" applyFill="1" applyBorder="1" applyAlignment="1">
      <alignment horizontal="right" vertical="center" wrapText="1"/>
    </xf>
    <xf numFmtId="41" fontId="15" fillId="9" borderId="1" xfId="5" applyFont="1" applyFill="1" applyBorder="1">
      <alignment vertical="center"/>
    </xf>
    <xf numFmtId="176" fontId="15" fillId="9" borderId="1" xfId="4" applyNumberFormat="1" applyFont="1" applyFill="1" applyBorder="1" applyAlignment="1">
      <alignment vertical="center"/>
    </xf>
    <xf numFmtId="9" fontId="14" fillId="9" borderId="13" xfId="6" applyNumberFormat="1" applyFont="1" applyFill="1" applyBorder="1" applyAlignment="1">
      <alignment horizontal="center" vertical="center"/>
    </xf>
    <xf numFmtId="176" fontId="15" fillId="9" borderId="12" xfId="4" applyNumberFormat="1" applyFont="1" applyFill="1" applyBorder="1" applyAlignment="1">
      <alignment horizontal="center" vertical="center"/>
    </xf>
    <xf numFmtId="176" fontId="18" fillId="9" borderId="1" xfId="4" applyNumberFormat="1" applyFont="1" applyFill="1" applyBorder="1" applyAlignment="1">
      <alignment horizontal="right" vertical="center" wrapText="1"/>
    </xf>
    <xf numFmtId="176" fontId="15" fillId="9" borderId="1" xfId="5" applyNumberFormat="1" applyFont="1" applyFill="1" applyBorder="1">
      <alignment vertical="center"/>
    </xf>
    <xf numFmtId="0" fontId="15" fillId="7" borderId="24" xfId="4" applyFont="1" applyFill="1" applyBorder="1" applyAlignment="1">
      <alignment horizontal="center" vertical="center"/>
    </xf>
    <xf numFmtId="3" fontId="18" fillId="7" borderId="3" xfId="4" applyNumberFormat="1" applyFont="1" applyFill="1" applyBorder="1" applyAlignment="1">
      <alignment horizontal="right" vertical="center" wrapText="1"/>
    </xf>
    <xf numFmtId="41" fontId="15" fillId="7" borderId="3" xfId="5" applyFont="1" applyFill="1" applyBorder="1">
      <alignment vertical="center"/>
    </xf>
    <xf numFmtId="0" fontId="15" fillId="7" borderId="30" xfId="4" applyFont="1" applyFill="1" applyBorder="1" applyAlignment="1">
      <alignment horizontal="center" vertical="center"/>
    </xf>
    <xf numFmtId="3" fontId="18" fillId="7" borderId="15" xfId="4" applyNumberFormat="1" applyFont="1" applyFill="1" applyBorder="1" applyAlignment="1">
      <alignment horizontal="right" vertical="center" wrapText="1"/>
    </xf>
    <xf numFmtId="41" fontId="15" fillId="7" borderId="15" xfId="5" applyFont="1" applyFill="1" applyBorder="1">
      <alignment vertical="center"/>
    </xf>
    <xf numFmtId="41" fontId="15" fillId="8" borderId="15" xfId="5" applyFont="1" applyFill="1" applyBorder="1">
      <alignment vertical="center"/>
    </xf>
    <xf numFmtId="176" fontId="15" fillId="7" borderId="15" xfId="4" applyNumberFormat="1" applyFont="1" applyFill="1" applyBorder="1" applyAlignment="1">
      <alignment vertical="center"/>
    </xf>
    <xf numFmtId="41" fontId="15" fillId="0" borderId="15" xfId="5" applyFont="1" applyFill="1" applyBorder="1">
      <alignment vertical="center"/>
    </xf>
    <xf numFmtId="9" fontId="14" fillId="7" borderId="31" xfId="6" applyNumberFormat="1" applyFont="1" applyFill="1" applyBorder="1" applyAlignment="1">
      <alignment horizontal="center" vertical="center"/>
    </xf>
    <xf numFmtId="0" fontId="15" fillId="0" borderId="0" xfId="4" applyFont="1" applyFill="1">
      <alignment vertical="center"/>
    </xf>
    <xf numFmtId="0" fontId="15" fillId="0" borderId="0" xfId="2" applyFont="1" applyFill="1"/>
    <xf numFmtId="41" fontId="14" fillId="0" borderId="0" xfId="5" applyFont="1" applyFill="1" applyBorder="1">
      <alignment vertical="center"/>
    </xf>
    <xf numFmtId="41" fontId="15" fillId="0" borderId="0" xfId="4" applyNumberFormat="1" applyFont="1" applyFill="1" applyBorder="1">
      <alignment vertical="center"/>
    </xf>
    <xf numFmtId="177" fontId="14" fillId="0" borderId="0" xfId="6" applyNumberFormat="1" applyFont="1" applyFill="1" applyBorder="1" applyAlignment="1">
      <alignment horizontal="center" vertical="center"/>
    </xf>
    <xf numFmtId="42" fontId="21" fillId="0" borderId="1" xfId="1" applyNumberFormat="1" applyFont="1" applyFill="1" applyBorder="1">
      <alignment vertical="center"/>
    </xf>
    <xf numFmtId="0" fontId="21" fillId="0" borderId="1" xfId="0" applyFont="1" applyFill="1" applyBorder="1" applyAlignment="1">
      <alignment horizontal="center" vertical="center"/>
    </xf>
    <xf numFmtId="0" fontId="21" fillId="0" borderId="30" xfId="0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/>
    </xf>
    <xf numFmtId="0" fontId="21" fillId="0" borderId="31" xfId="0" applyFon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1" fillId="0" borderId="28" xfId="0" applyFont="1" applyFill="1" applyBorder="1" applyAlignment="1">
      <alignment horizontal="center" vertical="center"/>
    </xf>
    <xf numFmtId="0" fontId="22" fillId="0" borderId="8" xfId="0" applyFont="1" applyFill="1" applyBorder="1" applyAlignment="1">
      <alignment horizontal="center" vertical="center"/>
    </xf>
    <xf numFmtId="0" fontId="21" fillId="0" borderId="29" xfId="0" applyFont="1" applyFill="1" applyBorder="1" applyAlignment="1">
      <alignment horizontal="center" vertical="center"/>
    </xf>
    <xf numFmtId="0" fontId="21" fillId="0" borderId="25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21" fillId="0" borderId="35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6" fillId="3" borderId="38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14" fontId="19" fillId="0" borderId="0" xfId="1" applyNumberFormat="1" applyFont="1" applyFill="1" applyBorder="1" applyAlignment="1">
      <alignment horizontal="right" vertical="center" indent="1"/>
    </xf>
    <xf numFmtId="42" fontId="19" fillId="0" borderId="0" xfId="1" applyNumberFormat="1" applyFont="1" applyFill="1" applyBorder="1">
      <alignment vertical="center"/>
    </xf>
    <xf numFmtId="42" fontId="11" fillId="0" borderId="33" xfId="1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3" fillId="0" borderId="0" xfId="0" applyFont="1">
      <alignment vertical="center"/>
    </xf>
    <xf numFmtId="0" fontId="21" fillId="0" borderId="8" xfId="0" applyFont="1" applyFill="1" applyBorder="1" applyAlignment="1">
      <alignment horizontal="center" vertical="center"/>
    </xf>
    <xf numFmtId="42" fontId="21" fillId="0" borderId="8" xfId="1" applyNumberFormat="1" applyFont="1" applyFill="1" applyBorder="1">
      <alignment vertical="center"/>
    </xf>
    <xf numFmtId="0" fontId="21" fillId="0" borderId="0" xfId="0" applyFont="1">
      <alignment vertical="center"/>
    </xf>
    <xf numFmtId="0" fontId="3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1" fillId="0" borderId="8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/>
    </xf>
    <xf numFmtId="0" fontId="21" fillId="0" borderId="15" xfId="0" applyFont="1" applyFill="1" applyBorder="1" applyAlignment="1">
      <alignment vertical="center"/>
    </xf>
    <xf numFmtId="0" fontId="21" fillId="0" borderId="28" xfId="0" quotePrefix="1" applyFont="1" applyFill="1" applyBorder="1" applyAlignment="1">
      <alignment horizontal="left" vertical="center" indent="1"/>
    </xf>
    <xf numFmtId="0" fontId="21" fillId="0" borderId="12" xfId="0" quotePrefix="1" applyFont="1" applyFill="1" applyBorder="1" applyAlignment="1">
      <alignment horizontal="left" vertical="center" indent="1"/>
    </xf>
    <xf numFmtId="0" fontId="21" fillId="0" borderId="25" xfId="0" quotePrefix="1" applyFont="1" applyFill="1" applyBorder="1" applyAlignment="1">
      <alignment horizontal="left" vertical="center" indent="1"/>
    </xf>
    <xf numFmtId="0" fontId="21" fillId="0" borderId="30" xfId="0" quotePrefix="1" applyFont="1" applyFill="1" applyBorder="1" applyAlignment="1">
      <alignment horizontal="left" vertical="center" indent="1"/>
    </xf>
    <xf numFmtId="0" fontId="8" fillId="2" borderId="19" xfId="0" applyFont="1" applyFill="1" applyBorder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38" xfId="0" applyFont="1" applyFill="1" applyBorder="1" applyAlignment="1">
      <alignment horizontal="center" vertical="center"/>
    </xf>
    <xf numFmtId="0" fontId="19" fillId="0" borderId="36" xfId="0" applyFont="1" applyFill="1" applyBorder="1" applyAlignment="1">
      <alignment horizontal="center" vertical="center"/>
    </xf>
    <xf numFmtId="0" fontId="19" fillId="0" borderId="3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9" fontId="3" fillId="0" borderId="17" xfId="0" applyNumberFormat="1" applyFont="1" applyBorder="1" applyAlignment="1">
      <alignment horizontal="center" vertical="center"/>
    </xf>
    <xf numFmtId="0" fontId="26" fillId="8" borderId="54" xfId="0" applyFont="1" applyFill="1" applyBorder="1" applyAlignment="1">
      <alignment horizontal="center" vertical="center"/>
    </xf>
    <xf numFmtId="0" fontId="26" fillId="8" borderId="52" xfId="0" applyFont="1" applyFill="1" applyBorder="1" applyAlignment="1">
      <alignment horizontal="center" vertical="center"/>
    </xf>
    <xf numFmtId="0" fontId="26" fillId="8" borderId="53" xfId="0" applyFont="1" applyFill="1" applyBorder="1" applyAlignment="1">
      <alignment horizontal="center" vertical="center"/>
    </xf>
    <xf numFmtId="0" fontId="0" fillId="8" borderId="0" xfId="0" applyFill="1">
      <alignment vertical="center"/>
    </xf>
    <xf numFmtId="0" fontId="8" fillId="8" borderId="19" xfId="0" applyFont="1" applyFill="1" applyBorder="1" applyAlignment="1">
      <alignment horizontal="center" vertical="center"/>
    </xf>
    <xf numFmtId="0" fontId="8" fillId="8" borderId="0" xfId="0" applyFont="1" applyFill="1" applyBorder="1" applyAlignment="1">
      <alignment horizontal="center" vertical="center"/>
    </xf>
    <xf numFmtId="0" fontId="8" fillId="8" borderId="0" xfId="0" applyFont="1" applyFill="1" applyBorder="1" applyAlignment="1">
      <alignment vertical="center"/>
    </xf>
    <xf numFmtId="42" fontId="8" fillId="8" borderId="0" xfId="1" applyNumberFormat="1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42" fontId="0" fillId="8" borderId="0" xfId="1" applyNumberFormat="1" applyFont="1" applyFill="1">
      <alignment vertical="center"/>
    </xf>
    <xf numFmtId="42" fontId="8" fillId="2" borderId="7" xfId="1" applyNumberFormat="1" applyFont="1" applyFill="1" applyBorder="1" applyAlignment="1">
      <alignment horizontal="center" vertical="center"/>
    </xf>
    <xf numFmtId="42" fontId="21" fillId="0" borderId="9" xfId="1" applyNumberFormat="1" applyFont="1" applyFill="1" applyBorder="1" applyAlignment="1">
      <alignment vertical="center"/>
    </xf>
    <xf numFmtId="42" fontId="21" fillId="0" borderId="4" xfId="1" applyNumberFormat="1" applyFont="1" applyFill="1" applyBorder="1" applyAlignment="1">
      <alignment vertical="center"/>
    </xf>
    <xf numFmtId="42" fontId="21" fillId="0" borderId="16" xfId="1" applyNumberFormat="1" applyFont="1" applyFill="1" applyBorder="1" applyAlignment="1">
      <alignment vertical="center"/>
    </xf>
    <xf numFmtId="0" fontId="19" fillId="13" borderId="7" xfId="0" applyFont="1" applyFill="1" applyBorder="1" applyAlignment="1">
      <alignment horizontal="center" vertical="center"/>
    </xf>
    <xf numFmtId="0" fontId="19" fillId="13" borderId="21" xfId="0" applyFont="1" applyFill="1" applyBorder="1" applyAlignment="1">
      <alignment horizontal="center" vertical="center"/>
    </xf>
    <xf numFmtId="0" fontId="19" fillId="13" borderId="34" xfId="0" applyFont="1" applyFill="1" applyBorder="1" applyAlignment="1">
      <alignment horizontal="center" vertical="center"/>
    </xf>
    <xf numFmtId="0" fontId="3" fillId="13" borderId="19" xfId="0" applyFont="1" applyFill="1" applyBorder="1" applyAlignment="1">
      <alignment horizontal="left" vertical="center"/>
    </xf>
    <xf numFmtId="0" fontId="19" fillId="13" borderId="19" xfId="0" applyFont="1" applyFill="1" applyBorder="1" applyAlignment="1">
      <alignment vertical="center"/>
    </xf>
    <xf numFmtId="0" fontId="19" fillId="13" borderId="20" xfId="0" applyFont="1" applyFill="1" applyBorder="1" applyAlignment="1">
      <alignment vertical="center"/>
    </xf>
    <xf numFmtId="42" fontId="19" fillId="13" borderId="19" xfId="1" applyNumberFormat="1" applyFont="1" applyFill="1" applyBorder="1">
      <alignment vertical="center"/>
    </xf>
    <xf numFmtId="0" fontId="5" fillId="13" borderId="33" xfId="0" applyFont="1" applyFill="1" applyBorder="1" applyAlignment="1">
      <alignment horizontal="center" vertical="center"/>
    </xf>
    <xf numFmtId="42" fontId="12" fillId="14" borderId="22" xfId="1" applyNumberFormat="1" applyFont="1" applyFill="1" applyBorder="1">
      <alignment vertical="center"/>
    </xf>
    <xf numFmtId="42" fontId="4" fillId="14" borderId="18" xfId="0" applyNumberFormat="1" applyFont="1" applyFill="1" applyBorder="1" applyAlignment="1">
      <alignment vertical="center"/>
    </xf>
    <xf numFmtId="178" fontId="28" fillId="11" borderId="23" xfId="0" applyNumberFormat="1" applyFont="1" applyFill="1" applyBorder="1" applyAlignment="1">
      <alignment horizontal="left" vertical="center"/>
    </xf>
    <xf numFmtId="10" fontId="28" fillId="11" borderId="37" xfId="1" applyNumberFormat="1" applyFont="1" applyFill="1" applyBorder="1" applyAlignment="1">
      <alignment horizontal="center" vertical="center"/>
    </xf>
    <xf numFmtId="0" fontId="28" fillId="11" borderId="19" xfId="0" applyFont="1" applyFill="1" applyBorder="1" applyAlignment="1">
      <alignment vertical="center"/>
    </xf>
    <xf numFmtId="42" fontId="28" fillId="11" borderId="51" xfId="1" applyNumberFormat="1" applyFont="1" applyFill="1" applyBorder="1" applyAlignment="1">
      <alignment vertical="center"/>
    </xf>
    <xf numFmtId="0" fontId="28" fillId="11" borderId="14" xfId="0" applyFont="1" applyFill="1" applyBorder="1" applyAlignment="1">
      <alignment vertical="center"/>
    </xf>
    <xf numFmtId="0" fontId="24" fillId="14" borderId="7" xfId="0" applyFont="1" applyFill="1" applyBorder="1" applyAlignment="1">
      <alignment horizontal="center" vertical="center"/>
    </xf>
    <xf numFmtId="0" fontId="19" fillId="0" borderId="2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0" fontId="28" fillId="11" borderId="51" xfId="1" applyNumberFormat="1" applyFont="1" applyFill="1" applyBorder="1" applyAlignment="1">
      <alignment horizontal="center" vertical="center"/>
    </xf>
    <xf numFmtId="0" fontId="19" fillId="13" borderId="59" xfId="0" applyFont="1" applyFill="1" applyBorder="1" applyAlignment="1">
      <alignment horizontal="center" vertical="center"/>
    </xf>
    <xf numFmtId="42" fontId="12" fillId="14" borderId="59" xfId="1" applyNumberFormat="1" applyFont="1" applyFill="1" applyBorder="1" applyAlignment="1">
      <alignment horizontal="center" vertical="center"/>
    </xf>
    <xf numFmtId="42" fontId="21" fillId="8" borderId="61" xfId="1" applyNumberFormat="1" applyFont="1" applyFill="1" applyBorder="1" applyAlignment="1">
      <alignment vertical="center"/>
    </xf>
    <xf numFmtId="42" fontId="21" fillId="8" borderId="63" xfId="1" applyNumberFormat="1" applyFont="1" applyFill="1" applyBorder="1" applyAlignment="1">
      <alignment vertical="center"/>
    </xf>
    <xf numFmtId="42" fontId="21" fillId="8" borderId="64" xfId="1" applyNumberFormat="1" applyFont="1" applyFill="1" applyBorder="1" applyAlignment="1">
      <alignment vertical="center"/>
    </xf>
    <xf numFmtId="0" fontId="4" fillId="14" borderId="65" xfId="0" applyFont="1" applyFill="1" applyBorder="1" applyAlignment="1">
      <alignment vertical="center"/>
    </xf>
    <xf numFmtId="42" fontId="10" fillId="12" borderId="56" xfId="1" applyNumberFormat="1" applyFont="1" applyFill="1" applyBorder="1" applyAlignment="1">
      <alignment horizontal="center" vertical="center"/>
    </xf>
    <xf numFmtId="0" fontId="20" fillId="8" borderId="28" xfId="0" applyFont="1" applyFill="1" applyBorder="1" applyAlignment="1">
      <alignment horizontal="center" vertical="center"/>
    </xf>
    <xf numFmtId="0" fontId="25" fillId="8" borderId="8" xfId="0" applyFont="1" applyFill="1" applyBorder="1" applyAlignment="1">
      <alignment horizontal="center" vertical="center"/>
    </xf>
    <xf numFmtId="0" fontId="21" fillId="8" borderId="8" xfId="0" applyFont="1" applyFill="1" applyBorder="1" applyAlignment="1">
      <alignment horizontal="center" vertical="center"/>
    </xf>
    <xf numFmtId="0" fontId="21" fillId="8" borderId="29" xfId="0" applyFont="1" applyFill="1" applyBorder="1" applyAlignment="1">
      <alignment horizontal="center" vertical="center"/>
    </xf>
    <xf numFmtId="0" fontId="21" fillId="8" borderId="28" xfId="0" applyFont="1" applyFill="1" applyBorder="1" applyAlignment="1">
      <alignment horizontal="left" vertical="center" indent="1"/>
    </xf>
    <xf numFmtId="42" fontId="21" fillId="8" borderId="8" xfId="1" applyNumberFormat="1" applyFont="1" applyFill="1" applyBorder="1">
      <alignment vertical="center"/>
    </xf>
    <xf numFmtId="9" fontId="21" fillId="8" borderId="61" xfId="1" applyNumberFormat="1" applyFont="1" applyFill="1" applyBorder="1" applyAlignment="1">
      <alignment horizontal="center" vertical="center"/>
    </xf>
    <xf numFmtId="0" fontId="20" fillId="8" borderId="12" xfId="0" applyFont="1" applyFill="1" applyBorder="1" applyAlignment="1">
      <alignment horizontal="center" vertical="center"/>
    </xf>
    <xf numFmtId="0" fontId="25" fillId="8" borderId="1" xfId="0" applyFont="1" applyFill="1" applyBorder="1" applyAlignment="1">
      <alignment horizontal="center" vertical="center"/>
    </xf>
    <xf numFmtId="0" fontId="21" fillId="8" borderId="13" xfId="0" applyFont="1" applyFill="1" applyBorder="1" applyAlignment="1">
      <alignment horizontal="center" vertical="center"/>
    </xf>
    <xf numFmtId="0" fontId="21" fillId="8" borderId="36" xfId="0" applyFont="1" applyFill="1" applyBorder="1" applyAlignment="1">
      <alignment horizontal="center" vertical="center"/>
    </xf>
    <xf numFmtId="0" fontId="20" fillId="8" borderId="24" xfId="0" applyFont="1" applyFill="1" applyBorder="1" applyAlignment="1">
      <alignment horizontal="center" vertical="center"/>
    </xf>
    <xf numFmtId="0" fontId="21" fillId="8" borderId="73" xfId="0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/>
    </xf>
    <xf numFmtId="0" fontId="21" fillId="8" borderId="12" xfId="0" applyFont="1" applyFill="1" applyBorder="1" applyAlignment="1">
      <alignment horizontal="left" vertical="center" indent="1"/>
    </xf>
    <xf numFmtId="42" fontId="21" fillId="8" borderId="1" xfId="1" applyNumberFormat="1" applyFont="1" applyFill="1" applyBorder="1">
      <alignment vertical="center"/>
    </xf>
    <xf numFmtId="9" fontId="21" fillId="8" borderId="63" xfId="1" applyNumberFormat="1" applyFont="1" applyFill="1" applyBorder="1" applyAlignment="1">
      <alignment horizontal="center" vertical="center"/>
    </xf>
    <xf numFmtId="9" fontId="21" fillId="8" borderId="75" xfId="1" applyNumberFormat="1" applyFont="1" applyFill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177" fontId="0" fillId="0" borderId="11" xfId="0" applyNumberFormat="1" applyBorder="1" applyAlignment="1">
      <alignment horizontal="center" vertical="center"/>
    </xf>
    <xf numFmtId="9" fontId="21" fillId="8" borderId="64" xfId="1" applyNumberFormat="1" applyFont="1" applyFill="1" applyBorder="1" applyAlignment="1">
      <alignment horizontal="center" vertical="center"/>
    </xf>
    <xf numFmtId="42" fontId="21" fillId="8" borderId="77" xfId="1" applyNumberFormat="1" applyFont="1" applyFill="1" applyBorder="1">
      <alignment vertical="center"/>
    </xf>
    <xf numFmtId="42" fontId="21" fillId="8" borderId="78" xfId="1" applyNumberFormat="1" applyFont="1" applyFill="1" applyBorder="1">
      <alignment vertical="center"/>
    </xf>
    <xf numFmtId="0" fontId="19" fillId="0" borderId="9" xfId="0" applyFont="1" applyFill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1" fillId="8" borderId="5" xfId="0" applyFont="1" applyFill="1" applyBorder="1" applyAlignment="1">
      <alignment horizontal="left" vertical="center" indent="1"/>
    </xf>
    <xf numFmtId="0" fontId="21" fillId="8" borderId="36" xfId="0" applyFont="1" applyFill="1" applyBorder="1" applyAlignment="1">
      <alignment horizontal="left" vertical="center"/>
    </xf>
    <xf numFmtId="42" fontId="21" fillId="0" borderId="3" xfId="1" applyNumberFormat="1" applyFont="1" applyFill="1" applyBorder="1">
      <alignment vertical="center"/>
    </xf>
    <xf numFmtId="42" fontId="21" fillId="0" borderId="2" xfId="1" applyNumberFormat="1" applyFont="1" applyFill="1" applyBorder="1">
      <alignment vertical="center"/>
    </xf>
    <xf numFmtId="0" fontId="0" fillId="8" borderId="82" xfId="0" applyFill="1" applyBorder="1" applyAlignment="1">
      <alignment horizontal="left" vertical="center"/>
    </xf>
    <xf numFmtId="0" fontId="0" fillId="8" borderId="83" xfId="0" applyFill="1" applyBorder="1" applyAlignment="1">
      <alignment horizontal="left" vertical="center"/>
    </xf>
    <xf numFmtId="0" fontId="0" fillId="8" borderId="84" xfId="0" applyFill="1" applyBorder="1" applyAlignment="1">
      <alignment horizontal="left" vertical="center"/>
    </xf>
    <xf numFmtId="0" fontId="21" fillId="0" borderId="12" xfId="0" applyFont="1" applyFill="1" applyBorder="1" applyAlignment="1">
      <alignment horizontal="left" vertical="center" indent="1"/>
    </xf>
    <xf numFmtId="0" fontId="21" fillId="0" borderId="91" xfId="0" applyFont="1" applyBorder="1" applyAlignment="1">
      <alignment horizontal="left" vertical="center" wrapText="1" indent="1"/>
    </xf>
    <xf numFmtId="0" fontId="21" fillId="0" borderId="3" xfId="0" applyFont="1" applyBorder="1" applyAlignment="1">
      <alignment horizontal="center" vertical="center"/>
    </xf>
    <xf numFmtId="0" fontId="21" fillId="0" borderId="91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42" fontId="19" fillId="8" borderId="96" xfId="7" applyFont="1" applyFill="1" applyBorder="1" applyAlignment="1">
      <alignment horizontal="center" vertical="center"/>
    </xf>
    <xf numFmtId="42" fontId="19" fillId="8" borderId="97" xfId="7" applyFont="1" applyFill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73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6" xfId="0" applyFont="1" applyBorder="1" applyAlignment="1">
      <alignment horizontal="left" vertical="center" wrapText="1" indent="1"/>
    </xf>
    <xf numFmtId="9" fontId="21" fillId="8" borderId="99" xfId="1" applyNumberFormat="1" applyFont="1" applyFill="1" applyBorder="1" applyAlignment="1">
      <alignment horizontal="center" vertical="center"/>
    </xf>
    <xf numFmtId="9" fontId="21" fillId="8" borderId="100" xfId="1" applyNumberFormat="1" applyFont="1" applyFill="1" applyBorder="1" applyAlignment="1">
      <alignment horizontal="center" vertical="center"/>
    </xf>
    <xf numFmtId="9" fontId="21" fillId="8" borderId="101" xfId="1" applyNumberFormat="1" applyFont="1" applyFill="1" applyBorder="1" applyAlignment="1">
      <alignment horizontal="center" vertical="center"/>
    </xf>
    <xf numFmtId="0" fontId="21" fillId="0" borderId="25" xfId="0" applyFont="1" applyFill="1" applyBorder="1" applyAlignment="1">
      <alignment horizontal="left" vertical="center" indent="1"/>
    </xf>
    <xf numFmtId="0" fontId="21" fillId="0" borderId="2" xfId="0" applyFont="1" applyFill="1" applyBorder="1" applyAlignment="1">
      <alignment horizontal="center" vertical="center"/>
    </xf>
    <xf numFmtId="42" fontId="19" fillId="8" borderId="4" xfId="1" applyNumberFormat="1" applyFont="1" applyFill="1" applyBorder="1">
      <alignment vertical="center"/>
    </xf>
    <xf numFmtId="42" fontId="19" fillId="8" borderId="78" xfId="1" applyNumberFormat="1" applyFont="1" applyFill="1" applyBorder="1">
      <alignment vertical="center"/>
    </xf>
    <xf numFmtId="42" fontId="19" fillId="8" borderId="77" xfId="1" applyNumberFormat="1" applyFont="1" applyFill="1" applyBorder="1">
      <alignment vertical="center"/>
    </xf>
    <xf numFmtId="0" fontId="25" fillId="8" borderId="3" xfId="0" applyFont="1" applyFill="1" applyBorder="1" applyAlignment="1">
      <alignment horizontal="center" vertical="center"/>
    </xf>
    <xf numFmtId="0" fontId="21" fillId="8" borderId="3" xfId="0" applyFont="1" applyFill="1" applyBorder="1" applyAlignment="1">
      <alignment horizontal="center" vertical="center"/>
    </xf>
    <xf numFmtId="0" fontId="21" fillId="8" borderId="24" xfId="0" applyFont="1" applyFill="1" applyBorder="1" applyAlignment="1">
      <alignment horizontal="left" vertical="center" indent="1"/>
    </xf>
    <xf numFmtId="42" fontId="21" fillId="8" borderId="3" xfId="1" applyNumberFormat="1" applyFont="1" applyFill="1" applyBorder="1">
      <alignment vertical="center"/>
    </xf>
    <xf numFmtId="0" fontId="0" fillId="0" borderId="9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2" fontId="0" fillId="0" borderId="3" xfId="1" applyNumberFormat="1" applyFont="1" applyFill="1" applyBorder="1">
      <alignment vertical="center"/>
    </xf>
    <xf numFmtId="0" fontId="21" fillId="0" borderId="91" xfId="0" applyFont="1" applyBorder="1" applyAlignment="1">
      <alignment horizontal="left" vertical="center" indent="1"/>
    </xf>
    <xf numFmtId="0" fontId="21" fillId="8" borderId="106" xfId="0" applyFont="1" applyFill="1" applyBorder="1" applyAlignment="1">
      <alignment horizontal="left" vertical="center"/>
    </xf>
    <xf numFmtId="0" fontId="21" fillId="8" borderId="91" xfId="0" applyFont="1" applyFill="1" applyBorder="1" applyAlignment="1">
      <alignment horizontal="center" vertical="center"/>
    </xf>
    <xf numFmtId="9" fontId="21" fillId="8" borderId="108" xfId="1" applyNumberFormat="1" applyFont="1" applyFill="1" applyBorder="1" applyAlignment="1">
      <alignment horizontal="center" vertical="center"/>
    </xf>
    <xf numFmtId="0" fontId="21" fillId="0" borderId="38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21" fillId="0" borderId="36" xfId="0" applyFont="1" applyFill="1" applyBorder="1" applyAlignment="1">
      <alignment horizontal="center" vertical="center"/>
    </xf>
    <xf numFmtId="0" fontId="19" fillId="0" borderId="30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21" fillId="0" borderId="37" xfId="0" applyFont="1" applyFill="1" applyBorder="1" applyAlignment="1">
      <alignment horizontal="center" vertical="center"/>
    </xf>
    <xf numFmtId="0" fontId="3" fillId="13" borderId="27" xfId="0" applyFont="1" applyFill="1" applyBorder="1" applyAlignment="1">
      <alignment horizontal="left" vertical="center"/>
    </xf>
    <xf numFmtId="0" fontId="19" fillId="13" borderId="27" xfId="0" applyFont="1" applyFill="1" applyBorder="1" applyAlignment="1">
      <alignment vertical="center"/>
    </xf>
    <xf numFmtId="0" fontId="19" fillId="13" borderId="50" xfId="0" applyFont="1" applyFill="1" applyBorder="1" applyAlignment="1">
      <alignment vertical="center"/>
    </xf>
    <xf numFmtId="42" fontId="19" fillId="13" borderId="27" xfId="1" applyNumberFormat="1" applyFont="1" applyFill="1" applyBorder="1">
      <alignment vertical="center"/>
    </xf>
    <xf numFmtId="0" fontId="19" fillId="0" borderId="109" xfId="0" applyFont="1" applyFill="1" applyBorder="1" applyAlignment="1">
      <alignment horizontal="center" vertical="center"/>
    </xf>
    <xf numFmtId="0" fontId="19" fillId="0" borderId="110" xfId="0" applyFont="1" applyFill="1" applyBorder="1" applyAlignment="1">
      <alignment horizontal="center" vertical="center"/>
    </xf>
    <xf numFmtId="0" fontId="19" fillId="0" borderId="111" xfId="0" applyFont="1" applyFill="1" applyBorder="1" applyAlignment="1">
      <alignment horizontal="center" vertical="center"/>
    </xf>
    <xf numFmtId="42" fontId="19" fillId="0" borderId="111" xfId="1" applyNumberFormat="1" applyFont="1" applyFill="1" applyBorder="1">
      <alignment vertical="center"/>
    </xf>
    <xf numFmtId="42" fontId="19" fillId="0" borderId="112" xfId="1" applyNumberFormat="1" applyFont="1" applyFill="1" applyBorder="1">
      <alignment vertical="center"/>
    </xf>
    <xf numFmtId="0" fontId="0" fillId="0" borderId="113" xfId="0" applyFill="1" applyBorder="1" applyAlignment="1">
      <alignment horizontal="left" vertical="center" indent="1"/>
    </xf>
    <xf numFmtId="0" fontId="0" fillId="0" borderId="114" xfId="0" applyFill="1" applyBorder="1" applyAlignment="1">
      <alignment horizontal="left" vertical="center" indent="1"/>
    </xf>
    <xf numFmtId="0" fontId="0" fillId="0" borderId="115" xfId="0" applyFill="1" applyBorder="1" applyAlignment="1">
      <alignment horizontal="left" vertical="center" indent="1"/>
    </xf>
    <xf numFmtId="42" fontId="19" fillId="0" borderId="116" xfId="1" applyNumberFormat="1" applyFont="1" applyFill="1" applyBorder="1">
      <alignment vertical="center"/>
    </xf>
    <xf numFmtId="42" fontId="19" fillId="0" borderId="117" xfId="1" applyNumberFormat="1" applyFont="1" applyFill="1" applyBorder="1">
      <alignment vertical="center"/>
    </xf>
    <xf numFmtId="42" fontId="19" fillId="0" borderId="118" xfId="1" applyNumberFormat="1" applyFont="1" applyFill="1" applyBorder="1">
      <alignment vertical="center"/>
    </xf>
    <xf numFmtId="0" fontId="5" fillId="13" borderId="119" xfId="0" applyFont="1" applyFill="1" applyBorder="1" applyAlignment="1">
      <alignment horizontal="center" vertical="center"/>
    </xf>
    <xf numFmtId="0" fontId="19" fillId="13" borderId="120" xfId="0" applyFont="1" applyFill="1" applyBorder="1" applyAlignment="1">
      <alignment horizontal="center" vertical="center"/>
    </xf>
    <xf numFmtId="0" fontId="19" fillId="13" borderId="121" xfId="0" applyFont="1" applyFill="1" applyBorder="1" applyAlignment="1">
      <alignment horizontal="center" vertical="center"/>
    </xf>
    <xf numFmtId="0" fontId="3" fillId="13" borderId="122" xfId="0" applyFont="1" applyFill="1" applyBorder="1" applyAlignment="1">
      <alignment horizontal="left" vertical="center"/>
    </xf>
    <xf numFmtId="0" fontId="19" fillId="13" borderId="122" xfId="0" applyFont="1" applyFill="1" applyBorder="1" applyAlignment="1">
      <alignment vertical="center"/>
    </xf>
    <xf numFmtId="0" fontId="19" fillId="13" borderId="68" xfId="0" applyFont="1" applyFill="1" applyBorder="1" applyAlignment="1">
      <alignment vertical="center"/>
    </xf>
    <xf numFmtId="42" fontId="19" fillId="13" borderId="122" xfId="1" applyNumberFormat="1" applyFont="1" applyFill="1" applyBorder="1">
      <alignment vertical="center"/>
    </xf>
    <xf numFmtId="0" fontId="19" fillId="13" borderId="123" xfId="0" applyFont="1" applyFill="1" applyBorder="1" applyAlignment="1">
      <alignment horizontal="center" vertical="center"/>
    </xf>
    <xf numFmtId="0" fontId="19" fillId="13" borderId="125" xfId="0" applyFont="1" applyFill="1" applyBorder="1" applyAlignment="1">
      <alignment horizontal="center" vertical="center"/>
    </xf>
    <xf numFmtId="0" fontId="5" fillId="13" borderId="126" xfId="0" applyFont="1" applyFill="1" applyBorder="1" applyAlignment="1">
      <alignment horizontal="center" vertical="center"/>
    </xf>
    <xf numFmtId="0" fontId="19" fillId="13" borderId="127" xfId="0" applyFont="1" applyFill="1" applyBorder="1" applyAlignment="1">
      <alignment horizontal="center" vertical="center"/>
    </xf>
    <xf numFmtId="0" fontId="19" fillId="13" borderId="128" xfId="0" applyFont="1" applyFill="1" applyBorder="1" applyAlignment="1">
      <alignment horizontal="center" vertical="center"/>
    </xf>
    <xf numFmtId="0" fontId="19" fillId="13" borderId="129" xfId="0" applyFont="1" applyFill="1" applyBorder="1" applyAlignment="1">
      <alignment horizontal="center" vertical="center"/>
    </xf>
    <xf numFmtId="0" fontId="19" fillId="13" borderId="51" xfId="0" applyFont="1" applyFill="1" applyBorder="1" applyAlignment="1">
      <alignment horizontal="center" vertical="center"/>
    </xf>
    <xf numFmtId="0" fontId="19" fillId="0" borderId="131" xfId="0" applyFont="1" applyBorder="1" applyAlignment="1">
      <alignment horizontal="center" vertical="center"/>
    </xf>
    <xf numFmtId="0" fontId="19" fillId="0" borderId="132" xfId="0" applyFont="1" applyBorder="1" applyAlignment="1">
      <alignment horizontal="center" vertical="center"/>
    </xf>
    <xf numFmtId="0" fontId="19" fillId="0" borderId="133" xfId="0" applyFont="1" applyBorder="1" applyAlignment="1">
      <alignment horizontal="center" vertical="center"/>
    </xf>
    <xf numFmtId="0" fontId="21" fillId="0" borderId="48" xfId="0" applyFont="1" applyBorder="1" applyAlignment="1">
      <alignment horizontal="left" vertical="center" wrapText="1" indent="1"/>
    </xf>
    <xf numFmtId="0" fontId="21" fillId="0" borderId="132" xfId="0" applyFont="1" applyBorder="1" applyAlignment="1">
      <alignment horizontal="center" vertical="center"/>
    </xf>
    <xf numFmtId="0" fontId="21" fillId="0" borderId="48" xfId="0" applyFont="1" applyBorder="1" applyAlignment="1">
      <alignment horizontal="center" vertical="center"/>
    </xf>
    <xf numFmtId="0" fontId="20" fillId="0" borderId="132" xfId="0" applyFont="1" applyBorder="1" applyAlignment="1">
      <alignment horizontal="center" vertical="center"/>
    </xf>
    <xf numFmtId="42" fontId="21" fillId="0" borderId="132" xfId="1" applyNumberFormat="1" applyFont="1" applyFill="1" applyBorder="1">
      <alignment vertical="center"/>
    </xf>
    <xf numFmtId="42" fontId="21" fillId="8" borderId="135" xfId="1" applyNumberFormat="1" applyFont="1" applyFill="1" applyBorder="1">
      <alignment vertical="center"/>
    </xf>
    <xf numFmtId="0" fontId="20" fillId="8" borderId="126" xfId="0" applyFont="1" applyFill="1" applyBorder="1" applyAlignment="1">
      <alignment horizontal="center" vertical="center"/>
    </xf>
    <xf numFmtId="0" fontId="25" fillId="8" borderId="127" xfId="0" applyFont="1" applyFill="1" applyBorder="1" applyAlignment="1">
      <alignment horizontal="center" vertical="center"/>
    </xf>
    <xf numFmtId="0" fontId="21" fillId="8" borderId="127" xfId="0" applyFont="1" applyFill="1" applyBorder="1" applyAlignment="1">
      <alignment horizontal="center" vertical="center"/>
    </xf>
    <xf numFmtId="0" fontId="21" fillId="8" borderId="128" xfId="0" applyFont="1" applyFill="1" applyBorder="1" applyAlignment="1">
      <alignment horizontal="center" vertical="center"/>
    </xf>
    <xf numFmtId="0" fontId="21" fillId="8" borderId="126" xfId="0" applyFont="1" applyFill="1" applyBorder="1" applyAlignment="1">
      <alignment horizontal="left" vertical="center" indent="1"/>
    </xf>
    <xf numFmtId="42" fontId="21" fillId="8" borderId="127" xfId="1" applyNumberFormat="1" applyFont="1" applyFill="1" applyBorder="1">
      <alignment vertical="center"/>
    </xf>
    <xf numFmtId="42" fontId="21" fillId="8" borderId="136" xfId="1" applyNumberFormat="1" applyFont="1" applyFill="1" applyBorder="1">
      <alignment vertical="center"/>
    </xf>
    <xf numFmtId="9" fontId="21" fillId="8" borderId="129" xfId="1" applyNumberFormat="1" applyFont="1" applyFill="1" applyBorder="1" applyAlignment="1">
      <alignment horizontal="center" vertical="center"/>
    </xf>
    <xf numFmtId="0" fontId="21" fillId="8" borderId="51" xfId="0" applyFont="1" applyFill="1" applyBorder="1" applyAlignment="1">
      <alignment horizontal="left" vertical="center"/>
    </xf>
    <xf numFmtId="0" fontId="21" fillId="8" borderId="70" xfId="0" applyFont="1" applyFill="1" applyBorder="1" applyAlignment="1">
      <alignment vertical="center"/>
    </xf>
    <xf numFmtId="0" fontId="21" fillId="8" borderId="11" xfId="0" applyFont="1" applyFill="1" applyBorder="1" applyAlignment="1">
      <alignment vertical="center"/>
    </xf>
    <xf numFmtId="0" fontId="21" fillId="8" borderId="55" xfId="0" applyFont="1" applyFill="1" applyBorder="1" applyAlignment="1">
      <alignment vertical="center"/>
    </xf>
    <xf numFmtId="0" fontId="21" fillId="8" borderId="10" xfId="0" applyFont="1" applyFill="1" applyBorder="1" applyAlignment="1">
      <alignment vertical="center"/>
    </xf>
    <xf numFmtId="0" fontId="21" fillId="0" borderId="5" xfId="0" applyFont="1" applyBorder="1" applyAlignment="1">
      <alignment horizontal="left" vertical="center" wrapText="1" indent="1"/>
    </xf>
    <xf numFmtId="0" fontId="23" fillId="13" borderId="19" xfId="0" applyFont="1" applyFill="1" applyBorder="1" applyAlignment="1">
      <alignment horizontal="left" vertical="center"/>
    </xf>
    <xf numFmtId="0" fontId="21" fillId="13" borderId="27" xfId="0" applyFont="1" applyFill="1" applyBorder="1" applyAlignment="1">
      <alignment vertical="center"/>
    </xf>
    <xf numFmtId="0" fontId="21" fillId="13" borderId="19" xfId="0" applyFont="1" applyFill="1" applyBorder="1" applyAlignment="1">
      <alignment vertical="center"/>
    </xf>
    <xf numFmtId="0" fontId="23" fillId="0" borderId="0" xfId="0" applyFont="1" applyAlignment="1">
      <alignment horizontal="center" vertical="center"/>
    </xf>
    <xf numFmtId="42" fontId="19" fillId="0" borderId="142" xfId="1" applyNumberFormat="1" applyFont="1" applyFill="1" applyBorder="1">
      <alignment vertical="center"/>
    </xf>
    <xf numFmtId="42" fontId="19" fillId="0" borderId="143" xfId="1" applyNumberFormat="1" applyFont="1" applyFill="1" applyBorder="1">
      <alignment vertical="center"/>
    </xf>
    <xf numFmtId="42" fontId="19" fillId="0" borderId="141" xfId="1" applyNumberFormat="1" applyFont="1" applyFill="1" applyBorder="1">
      <alignment vertical="center"/>
    </xf>
    <xf numFmtId="42" fontId="21" fillId="0" borderId="120" xfId="1" applyNumberFormat="1" applyFont="1" applyFill="1" applyBorder="1">
      <alignment vertical="center"/>
    </xf>
    <xf numFmtId="0" fontId="21" fillId="8" borderId="2" xfId="0" applyFont="1" applyFill="1" applyBorder="1" applyAlignment="1">
      <alignment horizontal="center" vertical="center"/>
    </xf>
    <xf numFmtId="0" fontId="21" fillId="8" borderId="35" xfId="0" applyFont="1" applyFill="1" applyBorder="1" applyAlignment="1">
      <alignment horizontal="center" vertical="center"/>
    </xf>
    <xf numFmtId="0" fontId="19" fillId="8" borderId="28" xfId="0" applyFont="1" applyFill="1" applyBorder="1" applyAlignment="1">
      <alignment horizontal="center" vertical="center"/>
    </xf>
    <xf numFmtId="0" fontId="19" fillId="8" borderId="8" xfId="0" applyFont="1" applyFill="1" applyBorder="1" applyAlignment="1">
      <alignment horizontal="center" vertical="center"/>
    </xf>
    <xf numFmtId="0" fontId="19" fillId="8" borderId="29" xfId="0" applyFont="1" applyFill="1" applyBorder="1" applyAlignment="1">
      <alignment horizontal="center" vertical="center"/>
    </xf>
    <xf numFmtId="0" fontId="21" fillId="0" borderId="40" xfId="0" applyFont="1" applyBorder="1" applyAlignment="1">
      <alignment horizontal="left" vertical="center" wrapText="1" indent="1"/>
    </xf>
    <xf numFmtId="0" fontId="21" fillId="0" borderId="8" xfId="0" applyFont="1" applyBorder="1" applyAlignment="1">
      <alignment horizontal="center" vertical="center"/>
    </xf>
    <xf numFmtId="0" fontId="21" fillId="0" borderId="40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8" borderId="38" xfId="0" applyFont="1" applyFill="1" applyBorder="1" applyAlignment="1">
      <alignment horizontal="center" vertical="center"/>
    </xf>
    <xf numFmtId="0" fontId="20" fillId="8" borderId="25" xfId="0" applyFont="1" applyFill="1" applyBorder="1" applyAlignment="1">
      <alignment horizontal="center" vertical="center"/>
    </xf>
    <xf numFmtId="0" fontId="21" fillId="8" borderId="106" xfId="0" applyFont="1" applyFill="1" applyBorder="1" applyAlignment="1">
      <alignment horizontal="center" vertical="center"/>
    </xf>
    <xf numFmtId="0" fontId="19" fillId="8" borderId="12" xfId="0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19" fillId="8" borderId="13" xfId="0" applyFont="1" applyFill="1" applyBorder="1" applyAlignment="1">
      <alignment horizontal="center" vertical="center"/>
    </xf>
    <xf numFmtId="0" fontId="19" fillId="8" borderId="24" xfId="0" applyFont="1" applyFill="1" applyBorder="1" applyAlignment="1">
      <alignment horizontal="center" vertical="center"/>
    </xf>
    <xf numFmtId="0" fontId="19" fillId="8" borderId="73" xfId="0" applyFont="1" applyFill="1" applyBorder="1" applyAlignment="1">
      <alignment horizontal="center" vertical="center"/>
    </xf>
    <xf numFmtId="0" fontId="19" fillId="8" borderId="120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1" fillId="8" borderId="107" xfId="0" applyFont="1" applyFill="1" applyBorder="1" applyAlignment="1">
      <alignment vertical="center"/>
    </xf>
    <xf numFmtId="0" fontId="21" fillId="8" borderId="98" xfId="0" applyFont="1" applyFill="1" applyBorder="1" applyAlignment="1">
      <alignment vertical="center"/>
    </xf>
    <xf numFmtId="0" fontId="21" fillId="15" borderId="40" xfId="0" applyFont="1" applyFill="1" applyBorder="1" applyAlignment="1">
      <alignment horizontal="left" vertical="center" wrapText="1" indent="1"/>
    </xf>
    <xf numFmtId="0" fontId="21" fillId="15" borderId="8" xfId="0" applyFont="1" applyFill="1" applyBorder="1" applyAlignment="1">
      <alignment horizontal="center" vertical="center"/>
    </xf>
    <xf numFmtId="0" fontId="21" fillId="15" borderId="40" xfId="0" applyFont="1" applyFill="1" applyBorder="1" applyAlignment="1">
      <alignment horizontal="center" vertical="center"/>
    </xf>
    <xf numFmtId="0" fontId="20" fillId="15" borderId="8" xfId="0" applyFont="1" applyFill="1" applyBorder="1" applyAlignment="1">
      <alignment horizontal="center" vertical="center"/>
    </xf>
    <xf numFmtId="42" fontId="21" fillId="15" borderId="8" xfId="1" applyNumberFormat="1" applyFont="1" applyFill="1" applyBorder="1">
      <alignment vertical="center"/>
    </xf>
    <xf numFmtId="42" fontId="19" fillId="15" borderId="77" xfId="1" applyNumberFormat="1" applyFont="1" applyFill="1" applyBorder="1">
      <alignment vertical="center"/>
    </xf>
    <xf numFmtId="9" fontId="21" fillId="15" borderId="61" xfId="1" applyNumberFormat="1" applyFont="1" applyFill="1" applyBorder="1" applyAlignment="1">
      <alignment horizontal="center" vertical="center"/>
    </xf>
    <xf numFmtId="0" fontId="21" fillId="15" borderId="25" xfId="0" applyFont="1" applyFill="1" applyBorder="1" applyAlignment="1">
      <alignment horizontal="left" vertical="center" indent="1"/>
    </xf>
    <xf numFmtId="0" fontId="21" fillId="15" borderId="2" xfId="0" applyFont="1" applyFill="1" applyBorder="1" applyAlignment="1">
      <alignment horizontal="center" vertical="center"/>
    </xf>
    <xf numFmtId="42" fontId="21" fillId="15" borderId="2" xfId="1" applyNumberFormat="1" applyFont="1" applyFill="1" applyBorder="1">
      <alignment vertical="center"/>
    </xf>
    <xf numFmtId="42" fontId="19" fillId="15" borderId="135" xfId="1" applyNumberFormat="1" applyFont="1" applyFill="1" applyBorder="1">
      <alignment vertical="center"/>
    </xf>
    <xf numFmtId="9" fontId="21" fillId="15" borderId="63" xfId="1" applyNumberFormat="1" applyFont="1" applyFill="1" applyBorder="1" applyAlignment="1">
      <alignment horizontal="center" vertical="center"/>
    </xf>
    <xf numFmtId="0" fontId="21" fillId="15" borderId="12" xfId="0" applyFont="1" applyFill="1" applyBorder="1" applyAlignment="1">
      <alignment horizontal="left" vertical="center" indent="1"/>
    </xf>
    <xf numFmtId="0" fontId="21" fillId="15" borderId="1" xfId="0" applyFont="1" applyFill="1" applyBorder="1" applyAlignment="1">
      <alignment horizontal="center" vertical="center"/>
    </xf>
    <xf numFmtId="42" fontId="21" fillId="15" borderId="1" xfId="1" applyNumberFormat="1" applyFont="1" applyFill="1" applyBorder="1">
      <alignment vertical="center"/>
    </xf>
    <xf numFmtId="42" fontId="19" fillId="15" borderId="78" xfId="1" applyNumberFormat="1" applyFont="1" applyFill="1" applyBorder="1">
      <alignment vertical="center"/>
    </xf>
    <xf numFmtId="0" fontId="21" fillId="16" borderId="12" xfId="0" applyFont="1" applyFill="1" applyBorder="1" applyAlignment="1">
      <alignment horizontal="left" vertical="center" indent="1"/>
    </xf>
    <xf numFmtId="0" fontId="21" fillId="16" borderId="1" xfId="0" applyFont="1" applyFill="1" applyBorder="1" applyAlignment="1">
      <alignment horizontal="center" vertical="center"/>
    </xf>
    <xf numFmtId="42" fontId="21" fillId="16" borderId="1" xfId="1" applyNumberFormat="1" applyFont="1" applyFill="1" applyBorder="1">
      <alignment vertical="center"/>
    </xf>
    <xf numFmtId="42" fontId="19" fillId="16" borderId="78" xfId="1" applyNumberFormat="1" applyFont="1" applyFill="1" applyBorder="1">
      <alignment vertical="center"/>
    </xf>
    <xf numFmtId="9" fontId="21" fillId="16" borderId="63" xfId="1" applyNumberFormat="1" applyFont="1" applyFill="1" applyBorder="1" applyAlignment="1">
      <alignment horizontal="center" vertical="center"/>
    </xf>
    <xf numFmtId="0" fontId="21" fillId="16" borderId="12" xfId="0" applyFont="1" applyFill="1" applyBorder="1" applyAlignment="1">
      <alignment horizontal="left" vertical="center" wrapText="1" indent="1"/>
    </xf>
    <xf numFmtId="0" fontId="21" fillId="17" borderId="25" xfId="0" applyFont="1" applyFill="1" applyBorder="1" applyAlignment="1">
      <alignment horizontal="left" vertical="center" indent="1"/>
    </xf>
    <xf numFmtId="0" fontId="21" fillId="17" borderId="2" xfId="0" applyFont="1" applyFill="1" applyBorder="1" applyAlignment="1">
      <alignment horizontal="center" vertical="center"/>
    </xf>
    <xf numFmtId="42" fontId="21" fillId="17" borderId="2" xfId="1" applyNumberFormat="1" applyFont="1" applyFill="1" applyBorder="1">
      <alignment vertical="center"/>
    </xf>
    <xf numFmtId="42" fontId="19" fillId="17" borderId="78" xfId="1" applyNumberFormat="1" applyFont="1" applyFill="1" applyBorder="1">
      <alignment vertical="center"/>
    </xf>
    <xf numFmtId="9" fontId="21" fillId="17" borderId="63" xfId="1" applyNumberFormat="1" applyFont="1" applyFill="1" applyBorder="1" applyAlignment="1">
      <alignment horizontal="center" vertical="center"/>
    </xf>
    <xf numFmtId="0" fontId="21" fillId="17" borderId="25" xfId="0" applyFont="1" applyFill="1" applyBorder="1" applyAlignment="1">
      <alignment horizontal="left" vertical="center" wrapText="1" indent="1"/>
    </xf>
    <xf numFmtId="0" fontId="21" fillId="17" borderId="2" xfId="0" quotePrefix="1" applyFont="1" applyFill="1" applyBorder="1" applyAlignment="1">
      <alignment horizontal="center" vertical="center"/>
    </xf>
    <xf numFmtId="0" fontId="21" fillId="17" borderId="12" xfId="0" applyFont="1" applyFill="1" applyBorder="1" applyAlignment="1">
      <alignment horizontal="left" vertical="center" wrapText="1" indent="1"/>
    </xf>
    <xf numFmtId="0" fontId="21" fillId="17" borderId="1" xfId="0" applyFont="1" applyFill="1" applyBorder="1" applyAlignment="1">
      <alignment horizontal="center" vertical="center"/>
    </xf>
    <xf numFmtId="42" fontId="21" fillId="17" borderId="1" xfId="1" applyNumberFormat="1" applyFont="1" applyFill="1" applyBorder="1">
      <alignment vertical="center"/>
    </xf>
    <xf numFmtId="42" fontId="21" fillId="17" borderId="1" xfId="1" applyNumberFormat="1" applyFont="1" applyFill="1" applyBorder="1" applyAlignment="1">
      <alignment horizontal="center" vertical="center"/>
    </xf>
    <xf numFmtId="0" fontId="21" fillId="18" borderId="91" xfId="0" applyFont="1" applyFill="1" applyBorder="1" applyAlignment="1">
      <alignment horizontal="left" vertical="center" wrapText="1" indent="1"/>
    </xf>
    <xf numFmtId="0" fontId="21" fillId="18" borderId="3" xfId="0" applyFont="1" applyFill="1" applyBorder="1" applyAlignment="1">
      <alignment horizontal="center" vertical="center"/>
    </xf>
    <xf numFmtId="0" fontId="21" fillId="18" borderId="91" xfId="0" applyFont="1" applyFill="1" applyBorder="1" applyAlignment="1">
      <alignment horizontal="center" vertical="center"/>
    </xf>
    <xf numFmtId="0" fontId="20" fillId="18" borderId="3" xfId="0" applyFont="1" applyFill="1" applyBorder="1" applyAlignment="1">
      <alignment horizontal="center" vertical="center"/>
    </xf>
    <xf numFmtId="42" fontId="21" fillId="18" borderId="3" xfId="1" applyNumberFormat="1" applyFont="1" applyFill="1" applyBorder="1">
      <alignment vertical="center"/>
    </xf>
    <xf numFmtId="42" fontId="19" fillId="18" borderId="78" xfId="1" applyNumberFormat="1" applyFont="1" applyFill="1" applyBorder="1">
      <alignment vertical="center"/>
    </xf>
    <xf numFmtId="9" fontId="21" fillId="18" borderId="63" xfId="1" applyNumberFormat="1" applyFont="1" applyFill="1" applyBorder="1" applyAlignment="1">
      <alignment horizontal="center" vertical="center"/>
    </xf>
    <xf numFmtId="0" fontId="21" fillId="18" borderId="5" xfId="0" applyFont="1" applyFill="1" applyBorder="1" applyAlignment="1">
      <alignment horizontal="left" vertical="center" wrapText="1" indent="1"/>
    </xf>
    <xf numFmtId="0" fontId="21" fillId="18" borderId="1" xfId="0" applyFont="1" applyFill="1" applyBorder="1" applyAlignment="1">
      <alignment horizontal="center" vertical="center"/>
    </xf>
    <xf numFmtId="0" fontId="21" fillId="18" borderId="5" xfId="0" applyFont="1" applyFill="1" applyBorder="1" applyAlignment="1">
      <alignment horizontal="center" vertical="center"/>
    </xf>
    <xf numFmtId="0" fontId="20" fillId="18" borderId="1" xfId="0" applyFont="1" applyFill="1" applyBorder="1" applyAlignment="1">
      <alignment horizontal="center" vertical="center"/>
    </xf>
    <xf numFmtId="42" fontId="21" fillId="18" borderId="1" xfId="1" applyNumberFormat="1" applyFont="1" applyFill="1" applyBorder="1">
      <alignment vertical="center"/>
    </xf>
    <xf numFmtId="42" fontId="21" fillId="18" borderId="4" xfId="1" applyNumberFormat="1" applyFont="1" applyFill="1" applyBorder="1">
      <alignment vertical="center"/>
    </xf>
    <xf numFmtId="9" fontId="21" fillId="18" borderId="75" xfId="1" applyNumberFormat="1" applyFont="1" applyFill="1" applyBorder="1" applyAlignment="1">
      <alignment horizontal="center" vertical="center"/>
    </xf>
    <xf numFmtId="42" fontId="21" fillId="18" borderId="2" xfId="1" applyNumberFormat="1" applyFont="1" applyFill="1" applyBorder="1">
      <alignment vertical="center"/>
    </xf>
    <xf numFmtId="42" fontId="19" fillId="18" borderId="4" xfId="1" applyNumberFormat="1" applyFont="1" applyFill="1" applyBorder="1">
      <alignment vertical="center"/>
    </xf>
    <xf numFmtId="0" fontId="21" fillId="18" borderId="12" xfId="0" applyFont="1" applyFill="1" applyBorder="1" applyAlignment="1">
      <alignment horizontal="left" vertical="center" indent="1"/>
    </xf>
    <xf numFmtId="0" fontId="21" fillId="18" borderId="25" xfId="0" applyFont="1" applyFill="1" applyBorder="1" applyAlignment="1">
      <alignment horizontal="left" vertical="center" indent="1"/>
    </xf>
    <xf numFmtId="0" fontId="21" fillId="19" borderId="91" xfId="0" applyFont="1" applyFill="1" applyBorder="1" applyAlignment="1">
      <alignment horizontal="left" vertical="center" wrapText="1" indent="1"/>
    </xf>
    <xf numFmtId="0" fontId="21" fillId="19" borderId="3" xfId="0" applyFont="1" applyFill="1" applyBorder="1" applyAlignment="1">
      <alignment horizontal="center" vertical="center"/>
    </xf>
    <xf numFmtId="0" fontId="21" fillId="19" borderId="91" xfId="0" applyFont="1" applyFill="1" applyBorder="1" applyAlignment="1">
      <alignment horizontal="center" vertical="center"/>
    </xf>
    <xf numFmtId="0" fontId="20" fillId="19" borderId="3" xfId="0" applyFont="1" applyFill="1" applyBorder="1" applyAlignment="1">
      <alignment horizontal="center" vertical="center"/>
    </xf>
    <xf numFmtId="42" fontId="21" fillId="19" borderId="3" xfId="1" applyNumberFormat="1" applyFont="1" applyFill="1" applyBorder="1">
      <alignment vertical="center"/>
    </xf>
    <xf numFmtId="42" fontId="19" fillId="19" borderId="78" xfId="1" applyNumberFormat="1" applyFont="1" applyFill="1" applyBorder="1">
      <alignment vertical="center"/>
    </xf>
    <xf numFmtId="9" fontId="21" fillId="19" borderId="63" xfId="1" applyNumberFormat="1" applyFont="1" applyFill="1" applyBorder="1" applyAlignment="1">
      <alignment horizontal="center" vertical="center"/>
    </xf>
    <xf numFmtId="0" fontId="21" fillId="19" borderId="25" xfId="0" applyFont="1" applyFill="1" applyBorder="1" applyAlignment="1">
      <alignment horizontal="left" vertical="center" wrapText="1" indent="1"/>
    </xf>
    <xf numFmtId="0" fontId="21" fillId="19" borderId="12" xfId="0" applyFont="1" applyFill="1" applyBorder="1" applyAlignment="1">
      <alignment horizontal="left" vertical="center" wrapText="1" indent="1"/>
    </xf>
    <xf numFmtId="0" fontId="21" fillId="8" borderId="74" xfId="0" applyFont="1" applyFill="1" applyBorder="1" applyAlignment="1">
      <alignment horizontal="center" vertical="center"/>
    </xf>
    <xf numFmtId="42" fontId="19" fillId="8" borderId="39" xfId="7" applyFont="1" applyFill="1" applyBorder="1" applyAlignment="1">
      <alignment horizontal="center" vertical="center"/>
    </xf>
    <xf numFmtId="42" fontId="19" fillId="8" borderId="62" xfId="7" applyFont="1" applyFill="1" applyBorder="1" applyAlignment="1">
      <alignment horizontal="center" vertical="center"/>
    </xf>
    <xf numFmtId="0" fontId="0" fillId="8" borderId="82" xfId="0" applyFill="1" applyBorder="1" applyAlignment="1">
      <alignment horizontal="left" vertical="center"/>
    </xf>
    <xf numFmtId="0" fontId="0" fillId="8" borderId="83" xfId="0" applyFill="1" applyBorder="1" applyAlignment="1">
      <alignment horizontal="left" vertical="center"/>
    </xf>
    <xf numFmtId="0" fontId="0" fillId="8" borderId="84" xfId="0" applyFill="1" applyBorder="1" applyAlignment="1">
      <alignment horizontal="left" vertical="center"/>
    </xf>
    <xf numFmtId="0" fontId="19" fillId="0" borderId="12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Border="1">
      <alignment vertical="center"/>
    </xf>
    <xf numFmtId="0" fontId="19" fillId="0" borderId="0" xfId="0" applyFont="1">
      <alignment vertical="center"/>
    </xf>
    <xf numFmtId="0" fontId="19" fillId="0" borderId="109" xfId="0" applyFont="1" applyBorder="1" applyAlignment="1">
      <alignment horizontal="center" vertical="center"/>
    </xf>
    <xf numFmtId="0" fontId="19" fillId="0" borderId="110" xfId="0" applyFont="1" applyBorder="1" applyAlignment="1">
      <alignment horizontal="center" vertical="center"/>
    </xf>
    <xf numFmtId="0" fontId="19" fillId="0" borderId="111" xfId="0" applyFont="1" applyBorder="1" applyAlignment="1">
      <alignment horizontal="center" vertical="center"/>
    </xf>
    <xf numFmtId="42" fontId="19" fillId="8" borderId="39" xfId="7" applyFont="1" applyFill="1" applyBorder="1" applyAlignment="1">
      <alignment horizontal="center" vertical="center"/>
    </xf>
    <xf numFmtId="42" fontId="19" fillId="8" borderId="62" xfId="7" applyFont="1" applyFill="1" applyBorder="1" applyAlignment="1">
      <alignment horizontal="center" vertical="center"/>
    </xf>
    <xf numFmtId="0" fontId="21" fillId="8" borderId="70" xfId="0" applyFont="1" applyFill="1" applyBorder="1" applyAlignment="1">
      <alignment horizontal="center" vertical="center"/>
    </xf>
    <xf numFmtId="0" fontId="21" fillId="8" borderId="11" xfId="0" applyFont="1" applyFill="1" applyBorder="1" applyAlignment="1">
      <alignment horizontal="center" vertical="center"/>
    </xf>
    <xf numFmtId="42" fontId="19" fillId="8" borderId="39" xfId="7" applyFont="1" applyFill="1" applyBorder="1" applyAlignment="1">
      <alignment horizontal="center" vertical="center"/>
    </xf>
    <xf numFmtId="42" fontId="19" fillId="8" borderId="62" xfId="7" applyFont="1" applyFill="1" applyBorder="1" applyAlignment="1">
      <alignment horizontal="center" vertical="center"/>
    </xf>
    <xf numFmtId="0" fontId="0" fillId="8" borderId="82" xfId="0" applyFill="1" applyBorder="1" applyAlignment="1">
      <alignment horizontal="left" vertical="center"/>
    </xf>
    <xf numFmtId="0" fontId="0" fillId="8" borderId="83" xfId="0" applyFill="1" applyBorder="1" applyAlignment="1">
      <alignment horizontal="left" vertical="center"/>
    </xf>
    <xf numFmtId="0" fontId="0" fillId="8" borderId="84" xfId="0" applyFill="1" applyBorder="1" applyAlignment="1">
      <alignment horizontal="left" vertical="center"/>
    </xf>
    <xf numFmtId="0" fontId="19" fillId="13" borderId="19" xfId="0" applyFont="1" applyFill="1" applyBorder="1">
      <alignment vertical="center"/>
    </xf>
    <xf numFmtId="0" fontId="19" fillId="13" borderId="20" xfId="0" applyFont="1" applyFill="1" applyBorder="1">
      <alignment vertical="center"/>
    </xf>
    <xf numFmtId="42" fontId="19" fillId="8" borderId="39" xfId="7" applyFont="1" applyFill="1" applyBorder="1" applyAlignment="1">
      <alignment horizontal="center" vertical="center"/>
    </xf>
    <xf numFmtId="42" fontId="19" fillId="8" borderId="62" xfId="7" applyFont="1" applyFill="1" applyBorder="1" applyAlignment="1">
      <alignment horizontal="center" vertical="center"/>
    </xf>
    <xf numFmtId="42" fontId="19" fillId="0" borderId="1" xfId="1" applyNumberFormat="1" applyFont="1" applyFill="1" applyBorder="1">
      <alignment vertical="center"/>
    </xf>
    <xf numFmtId="0" fontId="19" fillId="0" borderId="91" xfId="0" applyFont="1" applyBorder="1" applyAlignment="1">
      <alignment horizontal="left" vertical="center" indent="1"/>
    </xf>
    <xf numFmtId="0" fontId="19" fillId="0" borderId="5" xfId="0" applyFont="1" applyBorder="1" applyAlignment="1">
      <alignment horizontal="left" vertical="center" indent="1"/>
    </xf>
    <xf numFmtId="42" fontId="19" fillId="0" borderId="148" xfId="1" applyNumberFormat="1" applyFont="1" applyFill="1" applyBorder="1">
      <alignment vertical="center"/>
    </xf>
    <xf numFmtId="0" fontId="21" fillId="0" borderId="12" xfId="0" applyFont="1" applyBorder="1" applyAlignment="1">
      <alignment horizontal="left" vertical="center" indent="1"/>
    </xf>
    <xf numFmtId="42" fontId="21" fillId="0" borderId="1" xfId="1" applyNumberFormat="1" applyFont="1" applyFill="1" applyBorder="1" applyAlignment="1">
      <alignment horizontal="center" vertical="center"/>
    </xf>
    <xf numFmtId="179" fontId="21" fillId="8" borderId="1" xfId="0" applyNumberFormat="1" applyFont="1" applyFill="1" applyBorder="1" applyAlignment="1">
      <alignment horizontal="center" vertical="center"/>
    </xf>
    <xf numFmtId="0" fontId="19" fillId="0" borderId="0" xfId="0" applyFont="1" applyFill="1" applyBorder="1">
      <alignment vertical="center"/>
    </xf>
    <xf numFmtId="3" fontId="0" fillId="0" borderId="0" xfId="0" applyNumberFormat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19" fillId="0" borderId="13" xfId="0" applyFont="1" applyFill="1" applyBorder="1" applyAlignment="1">
      <alignment horizontal="center" vertical="center"/>
    </xf>
    <xf numFmtId="0" fontId="21" fillId="0" borderId="106" xfId="0" applyFont="1" applyFill="1" applyBorder="1" applyAlignment="1">
      <alignment horizontal="left" vertical="center"/>
    </xf>
    <xf numFmtId="0" fontId="19" fillId="0" borderId="0" xfId="0" applyFont="1" applyFill="1">
      <alignment vertical="center"/>
    </xf>
    <xf numFmtId="0" fontId="20" fillId="20" borderId="24" xfId="0" applyFont="1" applyFill="1" applyBorder="1" applyAlignment="1">
      <alignment horizontal="center" vertical="center"/>
    </xf>
    <xf numFmtId="0" fontId="25" fillId="20" borderId="3" xfId="0" applyFont="1" applyFill="1" applyBorder="1" applyAlignment="1">
      <alignment horizontal="center" vertical="center"/>
    </xf>
    <xf numFmtId="0" fontId="21" fillId="20" borderId="3" xfId="0" applyFont="1" applyFill="1" applyBorder="1" applyAlignment="1">
      <alignment horizontal="center" vertical="center"/>
    </xf>
    <xf numFmtId="0" fontId="21" fillId="20" borderId="24" xfId="0" applyFont="1" applyFill="1" applyBorder="1" applyAlignment="1">
      <alignment horizontal="left" vertical="center" indent="1"/>
    </xf>
    <xf numFmtId="0" fontId="21" fillId="20" borderId="1" xfId="0" applyFont="1" applyFill="1" applyBorder="1" applyAlignment="1">
      <alignment horizontal="center" vertical="center"/>
    </xf>
    <xf numFmtId="42" fontId="21" fillId="20" borderId="3" xfId="1" applyNumberFormat="1" applyFont="1" applyFill="1" applyBorder="1">
      <alignment vertical="center"/>
    </xf>
    <xf numFmtId="42" fontId="21" fillId="20" borderId="78" xfId="1" applyNumberFormat="1" applyFont="1" applyFill="1" applyBorder="1">
      <alignment vertical="center"/>
    </xf>
    <xf numFmtId="9" fontId="21" fillId="20" borderId="75" xfId="1" applyNumberFormat="1" applyFont="1" applyFill="1" applyBorder="1" applyAlignment="1">
      <alignment horizontal="center" vertical="center"/>
    </xf>
    <xf numFmtId="0" fontId="32" fillId="0" borderId="0" xfId="0" applyFont="1">
      <alignment vertical="center"/>
    </xf>
    <xf numFmtId="42" fontId="19" fillId="8" borderId="39" xfId="7" applyFont="1" applyFill="1" applyBorder="1" applyAlignment="1">
      <alignment horizontal="center" vertical="center"/>
    </xf>
    <xf numFmtId="42" fontId="19" fillId="8" borderId="62" xfId="7" applyFont="1" applyFill="1" applyBorder="1" applyAlignment="1">
      <alignment horizontal="center" vertical="center"/>
    </xf>
    <xf numFmtId="0" fontId="21" fillId="8" borderId="74" xfId="0" applyFont="1" applyFill="1" applyBorder="1" applyAlignment="1">
      <alignment horizontal="center" vertical="center"/>
    </xf>
    <xf numFmtId="0" fontId="21" fillId="0" borderId="0" xfId="0" applyFont="1" applyFill="1">
      <alignment vertical="center"/>
    </xf>
    <xf numFmtId="0" fontId="20" fillId="0" borderId="24" xfId="0" applyFont="1" applyFill="1" applyBorder="1" applyAlignment="1">
      <alignment horizontal="center" vertical="center"/>
    </xf>
    <xf numFmtId="0" fontId="25" fillId="0" borderId="3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0" fontId="21" fillId="0" borderId="24" xfId="0" applyFont="1" applyFill="1" applyBorder="1" applyAlignment="1">
      <alignment horizontal="left" vertical="center" indent="1"/>
    </xf>
    <xf numFmtId="42" fontId="21" fillId="0" borderId="78" xfId="1" applyNumberFormat="1" applyFont="1" applyFill="1" applyBorder="1">
      <alignment vertical="center"/>
    </xf>
    <xf numFmtId="9" fontId="21" fillId="0" borderId="75" xfId="1" applyNumberFormat="1" applyFont="1" applyFill="1" applyBorder="1" applyAlignment="1">
      <alignment horizontal="center" vertical="center"/>
    </xf>
    <xf numFmtId="0" fontId="21" fillId="0" borderId="74" xfId="0" applyFont="1" applyFill="1" applyBorder="1" applyAlignment="1">
      <alignment horizontal="center" vertical="center"/>
    </xf>
    <xf numFmtId="42" fontId="19" fillId="8" borderId="39" xfId="7" applyFont="1" applyFill="1" applyBorder="1" applyAlignment="1">
      <alignment horizontal="center" vertical="center"/>
    </xf>
    <xf numFmtId="42" fontId="19" fillId="8" borderId="62" xfId="7" applyFont="1" applyFill="1" applyBorder="1" applyAlignment="1">
      <alignment horizontal="center" vertical="center"/>
    </xf>
    <xf numFmtId="42" fontId="19" fillId="20" borderId="39" xfId="7" applyFont="1" applyFill="1" applyBorder="1" applyAlignment="1">
      <alignment horizontal="center" vertical="center"/>
    </xf>
    <xf numFmtId="42" fontId="19" fillId="20" borderId="62" xfId="7" applyFont="1" applyFill="1" applyBorder="1" applyAlignment="1">
      <alignment horizontal="center" vertical="center"/>
    </xf>
    <xf numFmtId="0" fontId="24" fillId="14" borderId="23" xfId="0" applyFont="1" applyFill="1" applyBorder="1" applyAlignment="1">
      <alignment horizontal="center" vertical="center"/>
    </xf>
    <xf numFmtId="0" fontId="19" fillId="13" borderId="23" xfId="0" applyFont="1" applyFill="1" applyBorder="1" applyAlignment="1">
      <alignment horizontal="center" vertical="center"/>
    </xf>
    <xf numFmtId="0" fontId="21" fillId="8" borderId="70" xfId="0" applyFont="1" applyFill="1" applyBorder="1" applyAlignment="1">
      <alignment horizontal="center" vertical="center"/>
    </xf>
    <xf numFmtId="0" fontId="21" fillId="8" borderId="11" xfId="0" applyFont="1" applyFill="1" applyBorder="1" applyAlignment="1">
      <alignment horizontal="center" vertical="center"/>
    </xf>
    <xf numFmtId="0" fontId="21" fillId="8" borderId="10" xfId="0" applyFont="1" applyFill="1" applyBorder="1" applyAlignment="1">
      <alignment horizontal="center" vertical="center"/>
    </xf>
    <xf numFmtId="0" fontId="21" fillId="13" borderId="23" xfId="0" applyFont="1" applyFill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42" xfId="0" applyFont="1" applyBorder="1" applyAlignment="1">
      <alignment horizontal="center" vertical="center"/>
    </xf>
    <xf numFmtId="0" fontId="0" fillId="8" borderId="82" xfId="0" applyFill="1" applyBorder="1" applyAlignment="1">
      <alignment horizontal="left" vertical="center"/>
    </xf>
    <xf numFmtId="0" fontId="0" fillId="8" borderId="83" xfId="0" applyFill="1" applyBorder="1" applyAlignment="1">
      <alignment horizontal="left" vertical="center"/>
    </xf>
    <xf numFmtId="0" fontId="0" fillId="8" borderId="84" xfId="0" applyFill="1" applyBorder="1" applyAlignment="1">
      <alignment horizontal="left" vertical="center"/>
    </xf>
    <xf numFmtId="0" fontId="21" fillId="20" borderId="70" xfId="0" applyFont="1" applyFill="1" applyBorder="1" applyAlignment="1">
      <alignment horizontal="center" vertical="center"/>
    </xf>
    <xf numFmtId="0" fontId="21" fillId="20" borderId="11" xfId="0" applyFont="1" applyFill="1" applyBorder="1" applyAlignment="1">
      <alignment horizontal="center" vertical="center"/>
    </xf>
    <xf numFmtId="0" fontId="21" fillId="8" borderId="105" xfId="0" applyFont="1" applyFill="1" applyBorder="1" applyAlignment="1">
      <alignment horizontal="center" vertical="center"/>
    </xf>
    <xf numFmtId="0" fontId="21" fillId="8" borderId="98" xfId="0" applyFont="1" applyFill="1" applyBorder="1" applyAlignment="1">
      <alignment horizontal="center" vertical="center"/>
    </xf>
    <xf numFmtId="0" fontId="21" fillId="8" borderId="74" xfId="0" applyFont="1" applyFill="1" applyBorder="1" applyAlignment="1">
      <alignment horizontal="center" vertical="center"/>
    </xf>
    <xf numFmtId="0" fontId="21" fillId="21" borderId="12" xfId="0" applyFont="1" applyFill="1" applyBorder="1" applyAlignment="1">
      <alignment horizontal="left" vertical="center" indent="1"/>
    </xf>
    <xf numFmtId="0" fontId="21" fillId="21" borderId="1" xfId="0" applyFont="1" applyFill="1" applyBorder="1" applyAlignment="1">
      <alignment horizontal="center" vertical="center"/>
    </xf>
    <xf numFmtId="0" fontId="21" fillId="21" borderId="5" xfId="0" applyFont="1" applyFill="1" applyBorder="1" applyAlignment="1">
      <alignment horizontal="center" vertical="center"/>
    </xf>
    <xf numFmtId="0" fontId="20" fillId="21" borderId="1" xfId="0" applyFont="1" applyFill="1" applyBorder="1" applyAlignment="1">
      <alignment horizontal="center" vertical="center"/>
    </xf>
    <xf numFmtId="42" fontId="21" fillId="21" borderId="1" xfId="1" applyNumberFormat="1" applyFont="1" applyFill="1" applyBorder="1">
      <alignment vertical="center"/>
    </xf>
    <xf numFmtId="42" fontId="19" fillId="21" borderId="148" xfId="1" applyNumberFormat="1" applyFont="1" applyFill="1" applyBorder="1">
      <alignment vertical="center"/>
    </xf>
    <xf numFmtId="9" fontId="21" fillId="21" borderId="63" xfId="1" applyNumberFormat="1" applyFont="1" applyFill="1" applyBorder="1" applyAlignment="1">
      <alignment horizontal="center" vertical="center"/>
    </xf>
    <xf numFmtId="0" fontId="21" fillId="21" borderId="5" xfId="0" applyFont="1" applyFill="1" applyBorder="1" applyAlignment="1">
      <alignment horizontal="left" vertical="center" wrapText="1" indent="1"/>
    </xf>
    <xf numFmtId="42" fontId="19" fillId="8" borderId="39" xfId="7" applyFont="1" applyFill="1" applyBorder="1" applyAlignment="1">
      <alignment horizontal="center" vertical="center"/>
    </xf>
    <xf numFmtId="42" fontId="19" fillId="8" borderId="62" xfId="7" applyFont="1" applyFill="1" applyBorder="1" applyAlignment="1">
      <alignment horizontal="center" vertical="center"/>
    </xf>
    <xf numFmtId="0" fontId="21" fillId="20" borderId="70" xfId="0" applyFont="1" applyFill="1" applyBorder="1" applyAlignment="1">
      <alignment horizontal="center" vertical="center"/>
    </xf>
    <xf numFmtId="0" fontId="21" fillId="20" borderId="11" xfId="0" applyFont="1" applyFill="1" applyBorder="1" applyAlignment="1">
      <alignment horizontal="center" vertical="center"/>
    </xf>
    <xf numFmtId="0" fontId="0" fillId="8" borderId="82" xfId="0" applyFill="1" applyBorder="1" applyAlignment="1">
      <alignment horizontal="left" vertical="center"/>
    </xf>
    <xf numFmtId="0" fontId="0" fillId="8" borderId="83" xfId="0" applyFill="1" applyBorder="1" applyAlignment="1">
      <alignment horizontal="left" vertical="center"/>
    </xf>
    <xf numFmtId="0" fontId="0" fillId="8" borderId="84" xfId="0" applyFill="1" applyBorder="1" applyAlignment="1">
      <alignment horizontal="left" vertical="center"/>
    </xf>
    <xf numFmtId="42" fontId="19" fillId="20" borderId="39" xfId="7" applyFont="1" applyFill="1" applyBorder="1" applyAlignment="1">
      <alignment horizontal="center" vertical="center"/>
    </xf>
    <xf numFmtId="42" fontId="19" fillId="20" borderId="62" xfId="7" applyFont="1" applyFill="1" applyBorder="1" applyAlignment="1">
      <alignment horizontal="center" vertical="center"/>
    </xf>
    <xf numFmtId="0" fontId="21" fillId="8" borderId="74" xfId="0" applyFont="1" applyFill="1" applyBorder="1" applyAlignment="1">
      <alignment horizontal="center" vertical="center"/>
    </xf>
    <xf numFmtId="0" fontId="19" fillId="21" borderId="1" xfId="0" applyFont="1" applyFill="1" applyBorder="1" applyAlignment="1">
      <alignment horizontal="center" vertical="center"/>
    </xf>
    <xf numFmtId="0" fontId="6" fillId="3" borderId="44" xfId="0" applyFont="1" applyFill="1" applyBorder="1" applyAlignment="1">
      <alignment horizontal="center" vertical="center"/>
    </xf>
    <xf numFmtId="0" fontId="21" fillId="0" borderId="44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42" xfId="0" applyFont="1" applyBorder="1" applyAlignment="1">
      <alignment horizontal="center" vertical="center"/>
    </xf>
    <xf numFmtId="42" fontId="19" fillId="13" borderId="19" xfId="1" applyNumberFormat="1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42" fontId="0" fillId="0" borderId="55" xfId="0" applyNumberFormat="1" applyBorder="1" applyAlignment="1">
      <alignment horizontal="center" vertical="center"/>
    </xf>
    <xf numFmtId="42" fontId="0" fillId="0" borderId="6" xfId="0" applyNumberFormat="1" applyBorder="1" applyAlignment="1">
      <alignment horizontal="center" vertical="center"/>
    </xf>
    <xf numFmtId="42" fontId="0" fillId="0" borderId="14" xfId="0" applyNumberFormat="1" applyBorder="1" applyAlignment="1">
      <alignment horizontal="center" vertical="center"/>
    </xf>
    <xf numFmtId="0" fontId="21" fillId="0" borderId="98" xfId="0" applyFont="1" applyFill="1" applyBorder="1" applyAlignment="1">
      <alignment horizontal="center" vertical="center"/>
    </xf>
    <xf numFmtId="0" fontId="21" fillId="20" borderId="36" xfId="0" applyFont="1" applyFill="1" applyBorder="1" applyAlignment="1">
      <alignment horizontal="center" vertical="center"/>
    </xf>
    <xf numFmtId="0" fontId="21" fillId="21" borderId="36" xfId="0" applyFont="1" applyFill="1" applyBorder="1" applyAlignment="1">
      <alignment horizontal="center" vertical="center"/>
    </xf>
    <xf numFmtId="0" fontId="30" fillId="8" borderId="36" xfId="0" applyFont="1" applyFill="1" applyBorder="1" applyAlignment="1">
      <alignment horizontal="center" vertical="center"/>
    </xf>
    <xf numFmtId="0" fontId="21" fillId="8" borderId="37" xfId="0" applyFont="1" applyFill="1" applyBorder="1" applyAlignment="1">
      <alignment horizontal="center" vertical="center"/>
    </xf>
    <xf numFmtId="42" fontId="21" fillId="0" borderId="148" xfId="1" applyNumberFormat="1" applyFont="1" applyFill="1" applyBorder="1">
      <alignment vertical="center"/>
    </xf>
    <xf numFmtId="0" fontId="19" fillId="21" borderId="12" xfId="0" applyFont="1" applyFill="1" applyBorder="1" applyAlignment="1">
      <alignment horizontal="center" vertical="center"/>
    </xf>
    <xf numFmtId="0" fontId="25" fillId="21" borderId="1" xfId="0" applyFont="1" applyFill="1" applyBorder="1" applyAlignment="1">
      <alignment horizontal="center" vertical="center"/>
    </xf>
    <xf numFmtId="0" fontId="19" fillId="21" borderId="13" xfId="0" applyFont="1" applyFill="1" applyBorder="1" applyAlignment="1">
      <alignment horizontal="center" vertical="center"/>
    </xf>
    <xf numFmtId="0" fontId="21" fillId="8" borderId="38" xfId="0" applyFont="1" applyFill="1" applyBorder="1" applyAlignment="1">
      <alignment horizontal="left" vertical="center"/>
    </xf>
    <xf numFmtId="0" fontId="0" fillId="0" borderId="39" xfId="0" applyBorder="1" applyAlignment="1">
      <alignment horizontal="center" vertical="center"/>
    </xf>
    <xf numFmtId="0" fontId="21" fillId="8" borderId="37" xfId="0" applyFont="1" applyFill="1" applyBorder="1" applyAlignment="1">
      <alignment horizontal="left" vertical="center"/>
    </xf>
    <xf numFmtId="0" fontId="21" fillId="0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/>
    </xf>
    <xf numFmtId="42" fontId="23" fillId="8" borderId="78" xfId="1" applyNumberFormat="1" applyFont="1" applyFill="1" applyBorder="1">
      <alignment vertical="center"/>
    </xf>
    <xf numFmtId="9" fontId="23" fillId="8" borderId="63" xfId="1" applyNumberFormat="1" applyFont="1" applyFill="1" applyBorder="1" applyAlignment="1">
      <alignment horizontal="center" vertical="center"/>
    </xf>
    <xf numFmtId="0" fontId="23" fillId="8" borderId="12" xfId="0" applyFont="1" applyFill="1" applyBorder="1" applyAlignment="1">
      <alignment horizontal="left" vertical="center" indent="1"/>
    </xf>
    <xf numFmtId="42" fontId="23" fillId="0" borderId="1" xfId="1" applyNumberFormat="1" applyFont="1" applyFill="1" applyBorder="1">
      <alignment vertical="center"/>
    </xf>
    <xf numFmtId="0" fontId="23" fillId="8" borderId="106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42" fontId="23" fillId="8" borderId="3" xfId="1" applyNumberFormat="1" applyFont="1" applyFill="1" applyBorder="1">
      <alignment vertical="center"/>
    </xf>
    <xf numFmtId="0" fontId="21" fillId="20" borderId="24" xfId="0" applyFont="1" applyFill="1" applyBorder="1" applyAlignment="1">
      <alignment horizontal="center" vertical="center"/>
    </xf>
    <xf numFmtId="0" fontId="22" fillId="20" borderId="3" xfId="0" applyFont="1" applyFill="1" applyBorder="1" applyAlignment="1">
      <alignment horizontal="center" vertical="center"/>
    </xf>
    <xf numFmtId="0" fontId="21" fillId="0" borderId="24" xfId="0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center" vertical="center"/>
    </xf>
    <xf numFmtId="0" fontId="21" fillId="8" borderId="12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1" fillId="8" borderId="28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9" fontId="21" fillId="0" borderId="63" xfId="1" applyNumberFormat="1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horizontal="left" vertical="center" wrapText="1" indent="1"/>
    </xf>
    <xf numFmtId="0" fontId="21" fillId="0" borderId="36" xfId="0" applyFont="1" applyFill="1" applyBorder="1" applyAlignment="1">
      <alignment horizontal="left" vertical="center"/>
    </xf>
    <xf numFmtId="0" fontId="20" fillId="0" borderId="12" xfId="0" applyFont="1" applyFill="1" applyBorder="1" applyAlignment="1">
      <alignment horizontal="center" vertical="center"/>
    </xf>
    <xf numFmtId="179" fontId="21" fillId="0" borderId="1" xfId="0" applyNumberFormat="1" applyFont="1" applyFill="1" applyBorder="1" applyAlignment="1">
      <alignment horizontal="center" vertical="center"/>
    </xf>
    <xf numFmtId="0" fontId="21" fillId="8" borderId="70" xfId="0" applyFont="1" applyFill="1" applyBorder="1" applyAlignment="1">
      <alignment horizontal="left" vertical="center" indent="1"/>
    </xf>
    <xf numFmtId="0" fontId="21" fillId="8" borderId="11" xfId="0" applyFont="1" applyFill="1" applyBorder="1" applyAlignment="1">
      <alignment horizontal="left" vertical="center" indent="1"/>
    </xf>
    <xf numFmtId="0" fontId="21" fillId="15" borderId="13" xfId="0" applyFont="1" applyFill="1" applyBorder="1" applyAlignment="1">
      <alignment horizontal="center" vertical="center"/>
    </xf>
    <xf numFmtId="42" fontId="21" fillId="15" borderId="78" xfId="1" applyNumberFormat="1" applyFont="1" applyFill="1" applyBorder="1">
      <alignment vertical="center"/>
    </xf>
    <xf numFmtId="0" fontId="0" fillId="15" borderId="0" xfId="0" applyFont="1" applyFill="1" applyBorder="1">
      <alignment vertical="center"/>
    </xf>
    <xf numFmtId="0" fontId="20" fillId="15" borderId="12" xfId="0" applyFont="1" applyFill="1" applyBorder="1" applyAlignment="1">
      <alignment horizontal="center" vertical="center"/>
    </xf>
    <xf numFmtId="0" fontId="25" fillId="15" borderId="1" xfId="0" applyFont="1" applyFill="1" applyBorder="1" applyAlignment="1">
      <alignment horizontal="center" vertical="center"/>
    </xf>
    <xf numFmtId="179" fontId="21" fillId="15" borderId="1" xfId="0" applyNumberFormat="1" applyFont="1" applyFill="1" applyBorder="1" applyAlignment="1">
      <alignment horizontal="center" vertical="center"/>
    </xf>
    <xf numFmtId="0" fontId="20" fillId="20" borderId="12" xfId="0" applyFont="1" applyFill="1" applyBorder="1" applyAlignment="1">
      <alignment horizontal="center" vertical="center"/>
    </xf>
    <xf numFmtId="0" fontId="25" fillId="20" borderId="1" xfId="0" applyFont="1" applyFill="1" applyBorder="1" applyAlignment="1">
      <alignment horizontal="center" vertical="center"/>
    </xf>
    <xf numFmtId="0" fontId="21" fillId="20" borderId="13" xfId="0" applyFont="1" applyFill="1" applyBorder="1" applyAlignment="1">
      <alignment horizontal="center" vertical="center"/>
    </xf>
    <xf numFmtId="0" fontId="21" fillId="20" borderId="12" xfId="0" applyFont="1" applyFill="1" applyBorder="1" applyAlignment="1">
      <alignment horizontal="left" vertical="center" indent="1"/>
    </xf>
    <xf numFmtId="42" fontId="21" fillId="20" borderId="1" xfId="1" applyNumberFormat="1" applyFont="1" applyFill="1" applyBorder="1">
      <alignment vertical="center"/>
    </xf>
    <xf numFmtId="9" fontId="21" fillId="20" borderId="63" xfId="1" applyNumberFormat="1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21" fillId="20" borderId="5" xfId="0" applyFont="1" applyFill="1" applyBorder="1" applyAlignment="1">
      <alignment horizontal="center" vertical="center"/>
    </xf>
    <xf numFmtId="0" fontId="20" fillId="20" borderId="1" xfId="0" applyFont="1" applyFill="1" applyBorder="1" applyAlignment="1">
      <alignment horizontal="center" vertical="center"/>
    </xf>
    <xf numFmtId="42" fontId="19" fillId="20" borderId="148" xfId="1" applyNumberFormat="1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Alignment="1">
      <alignment horizontal="center" vertical="center"/>
    </xf>
    <xf numFmtId="42" fontId="19" fillId="8" borderId="39" xfId="7" applyFont="1" applyFill="1" applyBorder="1" applyAlignment="1">
      <alignment horizontal="center" vertical="center"/>
    </xf>
    <xf numFmtId="42" fontId="19" fillId="8" borderId="62" xfId="7" applyFont="1" applyFill="1" applyBorder="1" applyAlignment="1">
      <alignment horizontal="center" vertical="center"/>
    </xf>
    <xf numFmtId="42" fontId="19" fillId="20" borderId="39" xfId="7" applyFont="1" applyFill="1" applyBorder="1" applyAlignment="1">
      <alignment horizontal="center" vertical="center"/>
    </xf>
    <xf numFmtId="42" fontId="19" fillId="20" borderId="62" xfId="7" applyFont="1" applyFill="1" applyBorder="1" applyAlignment="1">
      <alignment horizontal="center" vertical="center"/>
    </xf>
    <xf numFmtId="0" fontId="21" fillId="8" borderId="98" xfId="0" applyFont="1" applyFill="1" applyBorder="1" applyAlignment="1">
      <alignment horizontal="center" vertical="center"/>
    </xf>
    <xf numFmtId="0" fontId="21" fillId="15" borderId="5" xfId="0" applyFont="1" applyFill="1" applyBorder="1" applyAlignment="1">
      <alignment horizontal="center" vertical="center"/>
    </xf>
    <xf numFmtId="42" fontId="21" fillId="15" borderId="3" xfId="1" applyNumberFormat="1" applyFont="1" applyFill="1" applyBorder="1">
      <alignment vertical="center"/>
    </xf>
    <xf numFmtId="0" fontId="19" fillId="15" borderId="12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9" fillId="15" borderId="13" xfId="0" applyFont="1" applyFill="1" applyBorder="1" applyAlignment="1">
      <alignment horizontal="center" vertical="center"/>
    </xf>
    <xf numFmtId="42" fontId="21" fillId="15" borderId="1" xfId="1" applyNumberFormat="1" applyFont="1" applyFill="1" applyBorder="1" applyAlignment="1">
      <alignment horizontal="center" vertical="center"/>
    </xf>
    <xf numFmtId="42" fontId="19" fillId="15" borderId="148" xfId="1" applyNumberFormat="1" applyFont="1" applyFill="1" applyBorder="1">
      <alignment vertical="center"/>
    </xf>
    <xf numFmtId="14" fontId="19" fillId="0" borderId="0" xfId="1" applyNumberFormat="1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42" fontId="19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1" fillId="15" borderId="5" xfId="0" applyFont="1" applyFill="1" applyBorder="1" applyAlignment="1">
      <alignment horizontal="left" vertical="center" wrapText="1" indent="1"/>
    </xf>
    <xf numFmtId="42" fontId="19" fillId="8" borderId="39" xfId="7" applyFont="1" applyFill="1" applyBorder="1" applyAlignment="1">
      <alignment horizontal="center" vertical="center"/>
    </xf>
    <xf numFmtId="42" fontId="19" fillId="8" borderId="62" xfId="7" applyFont="1" applyFill="1" applyBorder="1" applyAlignment="1">
      <alignment horizontal="center" vertical="center"/>
    </xf>
    <xf numFmtId="0" fontId="21" fillId="8" borderId="70" xfId="0" applyFont="1" applyFill="1" applyBorder="1" applyAlignment="1">
      <alignment horizontal="left" vertical="center" indent="1"/>
    </xf>
    <xf numFmtId="0" fontId="21" fillId="8" borderId="11" xfId="0" applyFont="1" applyFill="1" applyBorder="1" applyAlignment="1">
      <alignment horizontal="left" vertical="center" indent="1"/>
    </xf>
    <xf numFmtId="0" fontId="0" fillId="8" borderId="82" xfId="0" applyFill="1" applyBorder="1" applyAlignment="1">
      <alignment horizontal="left" vertical="center"/>
    </xf>
    <xf numFmtId="0" fontId="0" fillId="8" borderId="83" xfId="0" applyFill="1" applyBorder="1" applyAlignment="1">
      <alignment horizontal="left" vertical="center"/>
    </xf>
    <xf numFmtId="0" fontId="0" fillId="8" borderId="84" xfId="0" applyFill="1" applyBorder="1" applyAlignment="1">
      <alignment horizontal="left" vertical="center"/>
    </xf>
    <xf numFmtId="0" fontId="21" fillId="8" borderId="98" xfId="0" applyFont="1" applyFill="1" applyBorder="1" applyAlignment="1">
      <alignment horizontal="center" vertical="center"/>
    </xf>
    <xf numFmtId="0" fontId="21" fillId="8" borderId="74" xfId="0" applyFont="1" applyFill="1" applyBorder="1" applyAlignment="1">
      <alignment horizontal="center" vertical="center"/>
    </xf>
    <xf numFmtId="2" fontId="0" fillId="0" borderId="0" xfId="0" applyNumberFormat="1">
      <alignment vertical="center"/>
    </xf>
    <xf numFmtId="0" fontId="21" fillId="8" borderId="70" xfId="0" applyFont="1" applyFill="1" applyBorder="1" applyAlignment="1">
      <alignment horizontal="left" vertical="center" indent="1"/>
    </xf>
    <xf numFmtId="0" fontId="21" fillId="8" borderId="11" xfId="0" applyFont="1" applyFill="1" applyBorder="1" applyAlignment="1">
      <alignment horizontal="left" vertical="center" indent="1"/>
    </xf>
    <xf numFmtId="0" fontId="21" fillId="8" borderId="98" xfId="0" applyFont="1" applyFill="1" applyBorder="1" applyAlignment="1">
      <alignment horizontal="center" vertical="center"/>
    </xf>
    <xf numFmtId="0" fontId="21" fillId="8" borderId="74" xfId="0" applyFont="1" applyFill="1" applyBorder="1" applyAlignment="1">
      <alignment horizontal="center" vertical="center"/>
    </xf>
    <xf numFmtId="0" fontId="30" fillId="0" borderId="0" xfId="0" applyFont="1">
      <alignment vertical="center"/>
    </xf>
    <xf numFmtId="0" fontId="30" fillId="0" borderId="0" xfId="0" applyFont="1" applyFill="1">
      <alignment vertical="center"/>
    </xf>
    <xf numFmtId="0" fontId="30" fillId="8" borderId="0" xfId="0" applyFont="1" applyFill="1">
      <alignment vertical="center"/>
    </xf>
    <xf numFmtId="0" fontId="30" fillId="0" borderId="0" xfId="0" applyFont="1" applyAlignment="1">
      <alignment horizontal="center" vertical="center"/>
    </xf>
    <xf numFmtId="0" fontId="30" fillId="0" borderId="0" xfId="0" applyFont="1" applyBorder="1">
      <alignment vertical="center"/>
    </xf>
    <xf numFmtId="0" fontId="30" fillId="0" borderId="0" xfId="0" applyFont="1" applyAlignment="1">
      <alignment horizontal="left" vertical="center"/>
    </xf>
    <xf numFmtId="0" fontId="30" fillId="0" borderId="0" xfId="0" applyFont="1" applyAlignment="1">
      <alignment vertical="center" wrapText="1"/>
    </xf>
    <xf numFmtId="0" fontId="30" fillId="0" borderId="0" xfId="0" applyFont="1" applyFill="1" applyAlignment="1">
      <alignment vertical="center" wrapText="1"/>
    </xf>
    <xf numFmtId="0" fontId="21" fillId="8" borderId="70" xfId="0" applyFont="1" applyFill="1" applyBorder="1" applyAlignment="1">
      <alignment horizontal="left" vertical="center" indent="1"/>
    </xf>
    <xf numFmtId="0" fontId="21" fillId="8" borderId="11" xfId="0" applyFont="1" applyFill="1" applyBorder="1" applyAlignment="1">
      <alignment horizontal="left" vertical="center" indent="1"/>
    </xf>
    <xf numFmtId="0" fontId="21" fillId="20" borderId="70" xfId="0" applyFont="1" applyFill="1" applyBorder="1" applyAlignment="1">
      <alignment horizontal="left" vertical="center" indent="1"/>
    </xf>
    <xf numFmtId="0" fontId="21" fillId="20" borderId="11" xfId="0" applyFont="1" applyFill="1" applyBorder="1" applyAlignment="1">
      <alignment horizontal="left" vertical="center" indent="1"/>
    </xf>
    <xf numFmtId="0" fontId="21" fillId="8" borderId="70" xfId="0" applyFont="1" applyFill="1" applyBorder="1" applyAlignment="1">
      <alignment horizontal="center" vertical="center"/>
    </xf>
    <xf numFmtId="0" fontId="21" fillId="8" borderId="11" xfId="0" applyFont="1" applyFill="1" applyBorder="1" applyAlignment="1">
      <alignment horizontal="center" vertical="center"/>
    </xf>
    <xf numFmtId="0" fontId="21" fillId="8" borderId="98" xfId="0" applyFont="1" applyFill="1" applyBorder="1" applyAlignment="1">
      <alignment horizontal="center" vertical="center"/>
    </xf>
    <xf numFmtId="42" fontId="21" fillId="8" borderId="39" xfId="7" applyFont="1" applyFill="1" applyBorder="1" applyAlignment="1">
      <alignment horizontal="center" vertical="center"/>
    </xf>
    <xf numFmtId="42" fontId="21" fillId="8" borderId="62" xfId="7" applyFont="1" applyFill="1" applyBorder="1" applyAlignment="1">
      <alignment horizontal="center" vertical="center"/>
    </xf>
    <xf numFmtId="42" fontId="0" fillId="0" borderId="0" xfId="0" applyNumberFormat="1">
      <alignment vertical="center"/>
    </xf>
    <xf numFmtId="42" fontId="0" fillId="0" borderId="7" xfId="0" applyNumberFormat="1" applyBorder="1">
      <alignment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20" borderId="12" xfId="0" applyFont="1" applyFill="1" applyBorder="1" applyAlignment="1">
      <alignment horizontal="center" vertical="center"/>
    </xf>
    <xf numFmtId="0" fontId="22" fillId="20" borderId="1" xfId="0" applyFont="1" applyFill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2" fillId="13" borderId="33" xfId="0" applyFont="1" applyFill="1" applyBorder="1" applyAlignment="1">
      <alignment horizontal="center" vertical="center"/>
    </xf>
    <xf numFmtId="0" fontId="21" fillId="13" borderId="21" xfId="0" applyFont="1" applyFill="1" applyBorder="1" applyAlignment="1">
      <alignment horizontal="center" vertical="center"/>
    </xf>
    <xf numFmtId="0" fontId="21" fillId="13" borderId="34" xfId="0" applyFont="1" applyFill="1" applyBorder="1" applyAlignment="1">
      <alignment horizontal="center" vertical="center"/>
    </xf>
    <xf numFmtId="0" fontId="21" fillId="13" borderId="19" xfId="0" applyFont="1" applyFill="1" applyBorder="1">
      <alignment vertical="center"/>
    </xf>
    <xf numFmtId="0" fontId="21" fillId="13" borderId="20" xfId="0" applyFont="1" applyFill="1" applyBorder="1">
      <alignment vertical="center"/>
    </xf>
    <xf numFmtId="42" fontId="21" fillId="13" borderId="19" xfId="1" applyNumberFormat="1" applyFont="1" applyFill="1" applyBorder="1">
      <alignment vertical="center"/>
    </xf>
    <xf numFmtId="0" fontId="21" fillId="13" borderId="59" xfId="0" applyFont="1" applyFill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73" xfId="0" applyFont="1" applyBorder="1" applyAlignment="1">
      <alignment horizontal="center" vertical="center"/>
    </xf>
    <xf numFmtId="0" fontId="21" fillId="0" borderId="5" xfId="0" applyFont="1" applyBorder="1" applyAlignment="1">
      <alignment horizontal="left" vertical="center" indent="1"/>
    </xf>
    <xf numFmtId="42" fontId="21" fillId="20" borderId="39" xfId="7" applyFont="1" applyFill="1" applyBorder="1" applyAlignment="1">
      <alignment horizontal="center" vertical="center"/>
    </xf>
    <xf numFmtId="42" fontId="21" fillId="20" borderId="62" xfId="7" applyFont="1" applyFill="1" applyBorder="1" applyAlignment="1">
      <alignment horizontal="center" vertical="center"/>
    </xf>
    <xf numFmtId="42" fontId="21" fillId="20" borderId="148" xfId="1" applyNumberFormat="1" applyFont="1" applyFill="1" applyBorder="1">
      <alignment vertical="center"/>
    </xf>
    <xf numFmtId="0" fontId="0" fillId="0" borderId="0" xfId="0" applyAlignment="1">
      <alignment horizontal="right" vertical="center"/>
    </xf>
    <xf numFmtId="0" fontId="19" fillId="0" borderId="1" xfId="0" applyFont="1" applyBorder="1" applyAlignment="1">
      <alignment horizontal="right" vertical="center"/>
    </xf>
    <xf numFmtId="42" fontId="19" fillId="0" borderId="1" xfId="0" applyNumberFormat="1" applyFont="1" applyBorder="1">
      <alignment vertical="center"/>
    </xf>
    <xf numFmtId="0" fontId="19" fillId="13" borderId="1" xfId="0" applyFont="1" applyFill="1" applyBorder="1" applyAlignment="1">
      <alignment horizontal="center" vertical="center"/>
    </xf>
    <xf numFmtId="0" fontId="19" fillId="22" borderId="1" xfId="0" applyFont="1" applyFill="1" applyBorder="1" applyAlignment="1">
      <alignment horizontal="right" vertical="center"/>
    </xf>
    <xf numFmtId="42" fontId="19" fillId="22" borderId="1" xfId="0" applyNumberFormat="1" applyFont="1" applyFill="1" applyBorder="1">
      <alignment vertical="center"/>
    </xf>
    <xf numFmtId="42" fontId="21" fillId="0" borderId="0" xfId="1" applyNumberFormat="1" applyFont="1" applyFill="1" applyBorder="1">
      <alignment vertical="center"/>
    </xf>
    <xf numFmtId="0" fontId="30" fillId="0" borderId="24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0" fillId="8" borderId="13" xfId="0" applyFont="1" applyFill="1" applyBorder="1" applyAlignment="1">
      <alignment horizontal="center" vertical="center"/>
    </xf>
    <xf numFmtId="0" fontId="30" fillId="8" borderId="12" xfId="0" applyFont="1" applyFill="1" applyBorder="1" applyAlignment="1">
      <alignment horizontal="left" vertical="center" indent="1"/>
    </xf>
    <xf numFmtId="0" fontId="30" fillId="8" borderId="1" xfId="0" applyFont="1" applyFill="1" applyBorder="1" applyAlignment="1">
      <alignment horizontal="center" vertical="center"/>
    </xf>
    <xf numFmtId="42" fontId="30" fillId="8" borderId="1" xfId="1" applyNumberFormat="1" applyFont="1" applyFill="1" applyBorder="1">
      <alignment vertical="center"/>
    </xf>
    <xf numFmtId="42" fontId="30" fillId="8" borderId="78" xfId="1" applyNumberFormat="1" applyFont="1" applyFill="1" applyBorder="1">
      <alignment vertical="center"/>
    </xf>
    <xf numFmtId="9" fontId="30" fillId="8" borderId="63" xfId="1" applyNumberFormat="1" applyFont="1" applyFill="1" applyBorder="1" applyAlignment="1">
      <alignment horizontal="center" vertical="center"/>
    </xf>
    <xf numFmtId="0" fontId="30" fillId="8" borderId="12" xfId="0" applyFont="1" applyFill="1" applyBorder="1" applyAlignment="1">
      <alignment horizontal="center" vertical="center"/>
    </xf>
    <xf numFmtId="0" fontId="30" fillId="0" borderId="5" xfId="0" applyFont="1" applyBorder="1" applyAlignment="1">
      <alignment horizontal="left" vertical="center" wrapText="1" indent="1"/>
    </xf>
    <xf numFmtId="0" fontId="30" fillId="0" borderId="1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42" fontId="30" fillId="0" borderId="3" xfId="1" applyNumberFormat="1" applyFont="1" applyFill="1" applyBorder="1">
      <alignment vertical="center"/>
    </xf>
    <xf numFmtId="42" fontId="30" fillId="0" borderId="1" xfId="1" applyNumberFormat="1" applyFont="1" applyFill="1" applyBorder="1">
      <alignment vertical="center"/>
    </xf>
    <xf numFmtId="0" fontId="33" fillId="8" borderId="1" xfId="0" applyFont="1" applyFill="1" applyBorder="1" applyAlignment="1">
      <alignment horizontal="center" vertical="center"/>
    </xf>
    <xf numFmtId="0" fontId="30" fillId="0" borderId="73" xfId="0" applyFont="1" applyBorder="1" applyAlignment="1">
      <alignment horizontal="center" vertical="center"/>
    </xf>
    <xf numFmtId="0" fontId="30" fillId="0" borderId="91" xfId="0" applyFont="1" applyBorder="1" applyAlignment="1">
      <alignment horizontal="left" vertical="center" indent="1"/>
    </xf>
    <xf numFmtId="180" fontId="21" fillId="0" borderId="0" xfId="0" applyNumberFormat="1" applyFont="1">
      <alignment vertical="center"/>
    </xf>
    <xf numFmtId="42" fontId="21" fillId="0" borderId="0" xfId="1" quotePrefix="1" applyNumberFormat="1" applyFont="1" applyFill="1" applyBorder="1">
      <alignment vertical="center"/>
    </xf>
    <xf numFmtId="0" fontId="30" fillId="0" borderId="12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30" fillId="0" borderId="12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30" fillId="0" borderId="4" xfId="0" applyFont="1" applyFill="1" applyBorder="1" applyAlignment="1">
      <alignment horizontal="center" vertical="center"/>
    </xf>
    <xf numFmtId="0" fontId="30" fillId="0" borderId="114" xfId="0" applyFont="1" applyFill="1" applyBorder="1" applyAlignment="1">
      <alignment horizontal="left" vertical="center" indent="1"/>
    </xf>
    <xf numFmtId="0" fontId="30" fillId="0" borderId="110" xfId="0" applyFont="1" applyFill="1" applyBorder="1" applyAlignment="1">
      <alignment horizontal="center" vertical="center"/>
    </xf>
    <xf numFmtId="0" fontId="30" fillId="0" borderId="110" xfId="0" applyFont="1" applyBorder="1" applyAlignment="1">
      <alignment horizontal="center" vertical="center"/>
    </xf>
    <xf numFmtId="42" fontId="30" fillId="0" borderId="117" xfId="1" applyNumberFormat="1" applyFont="1" applyFill="1" applyBorder="1">
      <alignment vertical="center"/>
    </xf>
    <xf numFmtId="0" fontId="21" fillId="8" borderId="70" xfId="0" applyFont="1" applyFill="1" applyBorder="1" applyAlignment="1">
      <alignment horizontal="left" vertical="center" indent="1"/>
    </xf>
    <xf numFmtId="0" fontId="21" fillId="8" borderId="11" xfId="0" applyFont="1" applyFill="1" applyBorder="1" applyAlignment="1">
      <alignment horizontal="left" vertical="center" indent="1"/>
    </xf>
    <xf numFmtId="0" fontId="0" fillId="8" borderId="82" xfId="0" applyFill="1" applyBorder="1" applyAlignment="1">
      <alignment horizontal="left" vertical="center"/>
    </xf>
    <xf numFmtId="0" fontId="0" fillId="8" borderId="83" xfId="0" applyFill="1" applyBorder="1" applyAlignment="1">
      <alignment horizontal="left" vertical="center"/>
    </xf>
    <xf numFmtId="0" fontId="0" fillId="8" borderId="84" xfId="0" applyFill="1" applyBorder="1" applyAlignment="1">
      <alignment horizontal="left" vertical="center"/>
    </xf>
    <xf numFmtId="42" fontId="19" fillId="8" borderId="39" xfId="7" applyFont="1" applyFill="1" applyBorder="1" applyAlignment="1">
      <alignment horizontal="center" vertical="center"/>
    </xf>
    <xf numFmtId="42" fontId="19" fillId="8" borderId="62" xfId="7" applyFont="1" applyFill="1" applyBorder="1" applyAlignment="1">
      <alignment horizontal="center" vertical="center"/>
    </xf>
    <xf numFmtId="42" fontId="21" fillId="8" borderId="39" xfId="7" applyFont="1" applyFill="1" applyBorder="1" applyAlignment="1">
      <alignment horizontal="center" vertical="center"/>
    </xf>
    <xf numFmtId="42" fontId="21" fillId="8" borderId="62" xfId="7" applyFont="1" applyFill="1" applyBorder="1" applyAlignment="1">
      <alignment horizontal="center" vertical="center"/>
    </xf>
    <xf numFmtId="0" fontId="21" fillId="8" borderId="70" xfId="0" applyFont="1" applyFill="1" applyBorder="1" applyAlignment="1">
      <alignment horizontal="left" vertical="center" indent="1"/>
    </xf>
    <xf numFmtId="0" fontId="21" fillId="8" borderId="11" xfId="0" applyFont="1" applyFill="1" applyBorder="1" applyAlignment="1">
      <alignment horizontal="left" vertical="center" indent="1"/>
    </xf>
    <xf numFmtId="0" fontId="21" fillId="8" borderId="70" xfId="0" applyFont="1" applyFill="1" applyBorder="1" applyAlignment="1">
      <alignment horizontal="center" vertical="center"/>
    </xf>
    <xf numFmtId="0" fontId="21" fillId="8" borderId="11" xfId="0" applyFont="1" applyFill="1" applyBorder="1" applyAlignment="1">
      <alignment horizontal="center" vertical="center"/>
    </xf>
    <xf numFmtId="0" fontId="21" fillId="0" borderId="0" xfId="0" applyFont="1" applyBorder="1">
      <alignment vertical="center"/>
    </xf>
    <xf numFmtId="0" fontId="35" fillId="8" borderId="12" xfId="0" applyFont="1" applyFill="1" applyBorder="1" applyAlignment="1">
      <alignment horizontal="center" vertical="center"/>
    </xf>
    <xf numFmtId="0" fontId="35" fillId="8" borderId="1" xfId="0" applyFont="1" applyFill="1" applyBorder="1" applyAlignment="1">
      <alignment horizontal="center" vertical="center"/>
    </xf>
    <xf numFmtId="0" fontId="35" fillId="8" borderId="13" xfId="0" applyFont="1" applyFill="1" applyBorder="1" applyAlignment="1">
      <alignment horizontal="center" vertical="center"/>
    </xf>
    <xf numFmtId="0" fontId="35" fillId="0" borderId="5" xfId="0" applyFont="1" applyBorder="1" applyAlignment="1">
      <alignment horizontal="left" vertical="center" wrapText="1" indent="1"/>
    </xf>
    <xf numFmtId="0" fontId="35" fillId="0" borderId="1" xfId="0" applyFont="1" applyBorder="1" applyAlignment="1">
      <alignment horizontal="center" vertical="center"/>
    </xf>
    <xf numFmtId="0" fontId="35" fillId="0" borderId="5" xfId="0" applyFont="1" applyBorder="1" applyAlignment="1">
      <alignment horizontal="center" vertical="center"/>
    </xf>
    <xf numFmtId="42" fontId="35" fillId="0" borderId="3" xfId="1" applyNumberFormat="1" applyFont="1" applyFill="1" applyBorder="1">
      <alignment vertical="center"/>
    </xf>
    <xf numFmtId="42" fontId="35" fillId="0" borderId="1" xfId="1" applyNumberFormat="1" applyFont="1" applyFill="1" applyBorder="1">
      <alignment vertical="center"/>
    </xf>
    <xf numFmtId="42" fontId="35" fillId="8" borderId="78" xfId="1" applyNumberFormat="1" applyFont="1" applyFill="1" applyBorder="1">
      <alignment vertical="center"/>
    </xf>
    <xf numFmtId="9" fontId="35" fillId="8" borderId="63" xfId="1" applyNumberFormat="1" applyFont="1" applyFill="1" applyBorder="1" applyAlignment="1">
      <alignment horizontal="center" vertical="center"/>
    </xf>
    <xf numFmtId="0" fontId="35" fillId="8" borderId="70" xfId="0" applyFont="1" applyFill="1" applyBorder="1" applyAlignment="1">
      <alignment horizontal="left" vertical="center" indent="1"/>
    </xf>
    <xf numFmtId="0" fontId="35" fillId="8" borderId="11" xfId="0" applyFont="1" applyFill="1" applyBorder="1" applyAlignment="1">
      <alignment horizontal="left" vertical="center" indent="1"/>
    </xf>
    <xf numFmtId="0" fontId="35" fillId="20" borderId="24" xfId="0" applyFont="1" applyFill="1" applyBorder="1" applyAlignment="1">
      <alignment horizontal="center" vertical="center"/>
    </xf>
    <xf numFmtId="0" fontId="36" fillId="20" borderId="3" xfId="0" applyFont="1" applyFill="1" applyBorder="1" applyAlignment="1">
      <alignment horizontal="center" vertical="center"/>
    </xf>
    <xf numFmtId="0" fontId="35" fillId="20" borderId="3" xfId="0" applyFont="1" applyFill="1" applyBorder="1" applyAlignment="1">
      <alignment horizontal="center" vertical="center"/>
    </xf>
    <xf numFmtId="0" fontId="35" fillId="20" borderId="24" xfId="0" applyFont="1" applyFill="1" applyBorder="1" applyAlignment="1">
      <alignment horizontal="left" vertical="center" indent="1"/>
    </xf>
    <xf numFmtId="0" fontId="35" fillId="20" borderId="1" xfId="0" applyFont="1" applyFill="1" applyBorder="1" applyAlignment="1">
      <alignment horizontal="center" vertical="center"/>
    </xf>
    <xf numFmtId="42" fontId="35" fillId="20" borderId="3" xfId="1" applyNumberFormat="1" applyFont="1" applyFill="1" applyBorder="1">
      <alignment vertical="center"/>
    </xf>
    <xf numFmtId="42" fontId="35" fillId="20" borderId="78" xfId="1" applyNumberFormat="1" applyFont="1" applyFill="1" applyBorder="1">
      <alignment vertical="center"/>
    </xf>
    <xf numFmtId="9" fontId="35" fillId="20" borderId="75" xfId="1" applyNumberFormat="1" applyFont="1" applyFill="1" applyBorder="1" applyAlignment="1">
      <alignment horizontal="center" vertical="center"/>
    </xf>
    <xf numFmtId="0" fontId="35" fillId="0" borderId="0" xfId="0" applyFont="1">
      <alignment vertical="center"/>
    </xf>
    <xf numFmtId="0" fontId="35" fillId="0" borderId="24" xfId="0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35" fillId="0" borderId="73" xfId="0" applyFont="1" applyBorder="1" applyAlignment="1">
      <alignment horizontal="center" vertical="center"/>
    </xf>
    <xf numFmtId="0" fontId="35" fillId="0" borderId="91" xfId="0" applyFont="1" applyBorder="1" applyAlignment="1">
      <alignment horizontal="left" vertical="center" indent="1"/>
    </xf>
    <xf numFmtId="42" fontId="35" fillId="8" borderId="1" xfId="1" applyNumberFormat="1" applyFont="1" applyFill="1" applyBorder="1">
      <alignment vertical="center"/>
    </xf>
    <xf numFmtId="0" fontId="36" fillId="8" borderId="1" xfId="0" applyFont="1" applyFill="1" applyBorder="1" applyAlignment="1">
      <alignment horizontal="center" vertical="center"/>
    </xf>
    <xf numFmtId="0" fontId="35" fillId="8" borderId="12" xfId="0" applyFont="1" applyFill="1" applyBorder="1" applyAlignment="1">
      <alignment horizontal="left" vertical="center" indent="1"/>
    </xf>
    <xf numFmtId="179" fontId="35" fillId="8" borderId="1" xfId="0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35" fillId="0" borderId="12" xfId="0" applyFont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0" fontId="19" fillId="0" borderId="0" xfId="0" applyFont="1" applyFill="1" applyBorder="1" applyAlignment="1">
      <alignment horizontal="left" vertical="center"/>
    </xf>
    <xf numFmtId="0" fontId="35" fillId="0" borderId="12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35" fillId="0" borderId="13" xfId="0" applyFont="1" applyFill="1" applyBorder="1" applyAlignment="1">
      <alignment horizontal="center" vertical="center"/>
    </xf>
    <xf numFmtId="0" fontId="35" fillId="0" borderId="12" xfId="0" applyFont="1" applyFill="1" applyBorder="1" applyAlignment="1">
      <alignment horizontal="left" vertical="center" indent="1"/>
    </xf>
    <xf numFmtId="0" fontId="35" fillId="0" borderId="5" xfId="0" applyFont="1" applyFill="1" applyBorder="1" applyAlignment="1">
      <alignment horizontal="center" vertical="center"/>
    </xf>
    <xf numFmtId="42" fontId="35" fillId="0" borderId="148" xfId="1" applyNumberFormat="1" applyFont="1" applyFill="1" applyBorder="1">
      <alignment vertical="center"/>
    </xf>
    <xf numFmtId="9" fontId="35" fillId="0" borderId="63" xfId="1" applyNumberFormat="1" applyFont="1" applyFill="1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/>
    </xf>
    <xf numFmtId="0" fontId="35" fillId="0" borderId="114" xfId="0" applyFont="1" applyFill="1" applyBorder="1" applyAlignment="1">
      <alignment horizontal="left" vertical="center" indent="1"/>
    </xf>
    <xf numFmtId="0" fontId="35" fillId="0" borderId="110" xfId="0" applyFont="1" applyFill="1" applyBorder="1" applyAlignment="1">
      <alignment horizontal="center" vertical="center"/>
    </xf>
    <xf numFmtId="0" fontId="35" fillId="0" borderId="110" xfId="0" applyFont="1" applyBorder="1" applyAlignment="1">
      <alignment horizontal="center" vertical="center"/>
    </xf>
    <xf numFmtId="42" fontId="35" fillId="0" borderId="117" xfId="1" applyNumberFormat="1" applyFont="1" applyFill="1" applyBorder="1">
      <alignment vertical="center"/>
    </xf>
    <xf numFmtId="0" fontId="35" fillId="0" borderId="0" xfId="0" applyFont="1" applyBorder="1">
      <alignment vertical="center"/>
    </xf>
    <xf numFmtId="42" fontId="35" fillId="0" borderId="141" xfId="1" applyNumberFormat="1" applyFont="1" applyFill="1" applyBorder="1">
      <alignment vertical="center"/>
    </xf>
    <xf numFmtId="42" fontId="3" fillId="0" borderId="0" xfId="0" applyNumberFormat="1" applyFont="1">
      <alignment vertical="center"/>
    </xf>
    <xf numFmtId="0" fontId="21" fillId="0" borderId="9" xfId="0" applyFont="1" applyFill="1" applyBorder="1" applyAlignment="1">
      <alignment horizontal="center" vertical="center"/>
    </xf>
    <xf numFmtId="0" fontId="21" fillId="0" borderId="113" xfId="0" applyFont="1" applyFill="1" applyBorder="1" applyAlignment="1">
      <alignment horizontal="left" vertical="center" indent="1"/>
    </xf>
    <xf numFmtId="0" fontId="21" fillId="0" borderId="109" xfId="0" applyFont="1" applyFill="1" applyBorder="1" applyAlignment="1">
      <alignment horizontal="center" vertical="center"/>
    </xf>
    <xf numFmtId="0" fontId="21" fillId="0" borderId="109" xfId="0" applyFont="1" applyBorder="1" applyAlignment="1">
      <alignment horizontal="center" vertical="center"/>
    </xf>
    <xf numFmtId="42" fontId="21" fillId="0" borderId="116" xfId="1" applyNumberFormat="1" applyFont="1" applyFill="1" applyBorder="1">
      <alignment vertical="center"/>
    </xf>
    <xf numFmtId="42" fontId="35" fillId="0" borderId="1" xfId="1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1" fillId="0" borderId="1" xfId="0" applyFont="1" applyBorder="1" applyAlignment="1">
      <alignment horizontal="left" vertical="center" indent="1"/>
    </xf>
    <xf numFmtId="0" fontId="19" fillId="0" borderId="1" xfId="0" applyFont="1" applyBorder="1" applyAlignment="1">
      <alignment horizontal="left" vertical="center" indent="1"/>
    </xf>
    <xf numFmtId="0" fontId="35" fillId="0" borderId="1" xfId="0" applyFont="1" applyBorder="1" applyAlignment="1">
      <alignment horizontal="left" vertical="center" indent="1"/>
    </xf>
    <xf numFmtId="0" fontId="0" fillId="19" borderId="1" xfId="0" applyFill="1" applyBorder="1" applyAlignment="1">
      <alignment horizontal="center" vertical="center"/>
    </xf>
    <xf numFmtId="0" fontId="11" fillId="13" borderId="4" xfId="0" applyFont="1" applyFill="1" applyBorder="1" applyAlignment="1">
      <alignment horizontal="center" vertical="center"/>
    </xf>
    <xf numFmtId="177" fontId="19" fillId="0" borderId="4" xfId="0" applyNumberFormat="1" applyFont="1" applyBorder="1" applyAlignment="1">
      <alignment horizontal="center" vertical="center"/>
    </xf>
    <xf numFmtId="177" fontId="19" fillId="22" borderId="4" xfId="0" applyNumberFormat="1" applyFont="1" applyFill="1" applyBorder="1" applyAlignment="1">
      <alignment horizontal="center" vertical="center"/>
    </xf>
    <xf numFmtId="0" fontId="0" fillId="0" borderId="151" xfId="0" applyBorder="1">
      <alignment vertical="center"/>
    </xf>
    <xf numFmtId="0" fontId="19" fillId="23" borderId="151" xfId="0" applyFont="1" applyFill="1" applyBorder="1" applyAlignment="1">
      <alignment horizontal="center" vertical="center"/>
    </xf>
    <xf numFmtId="0" fontId="0" fillId="22" borderId="151" xfId="0" applyFill="1" applyBorder="1">
      <alignment vertical="center"/>
    </xf>
    <xf numFmtId="0" fontId="38" fillId="0" borderId="0" xfId="8">
      <alignment vertical="center"/>
    </xf>
    <xf numFmtId="41" fontId="0" fillId="0" borderId="0" xfId="1" applyFont="1" applyFill="1">
      <alignment vertical="center"/>
    </xf>
    <xf numFmtId="41" fontId="9" fillId="0" borderId="0" xfId="1" applyFont="1" applyFill="1" applyAlignment="1">
      <alignment horizontal="center" vertical="center"/>
    </xf>
    <xf numFmtId="41" fontId="19" fillId="0" borderId="0" xfId="1" applyFont="1" applyFill="1" applyBorder="1" applyAlignment="1">
      <alignment horizontal="right" vertical="center" indent="1"/>
    </xf>
    <xf numFmtId="41" fontId="23" fillId="0" borderId="0" xfId="1" applyFont="1" applyFill="1" applyBorder="1" applyAlignment="1">
      <alignment horizontal="center" vertical="center"/>
    </xf>
    <xf numFmtId="41" fontId="19" fillId="0" borderId="0" xfId="1" applyFont="1" applyFill="1" applyBorder="1" applyAlignment="1">
      <alignment horizontal="center" vertical="center"/>
    </xf>
    <xf numFmtId="41" fontId="21" fillId="0" borderId="0" xfId="1" applyFont="1" applyFill="1" applyBorder="1" applyAlignment="1">
      <alignment horizontal="center" vertical="center"/>
    </xf>
    <xf numFmtId="41" fontId="3" fillId="0" borderId="0" xfId="1" applyFont="1" applyFill="1" applyBorder="1" applyAlignment="1">
      <alignment horizontal="center" vertical="center"/>
    </xf>
    <xf numFmtId="41" fontId="19" fillId="0" borderId="0" xfId="1" applyFont="1" applyFill="1">
      <alignment vertical="center"/>
    </xf>
    <xf numFmtId="41" fontId="23" fillId="0" borderId="0" xfId="1" applyFont="1" applyAlignment="1">
      <alignment horizontal="center" vertical="center"/>
    </xf>
    <xf numFmtId="41" fontId="21" fillId="0" borderId="0" xfId="1" applyFont="1" applyFill="1" applyBorder="1">
      <alignment vertical="center"/>
    </xf>
    <xf numFmtId="41" fontId="21" fillId="0" borderId="0" xfId="1" applyFont="1">
      <alignment vertical="center"/>
    </xf>
    <xf numFmtId="41" fontId="21" fillId="0" borderId="0" xfId="1" quotePrefix="1" applyFont="1" applyFill="1" applyBorder="1">
      <alignment vertical="center"/>
    </xf>
    <xf numFmtId="41" fontId="21" fillId="0" borderId="0" xfId="1" applyFont="1" applyFill="1">
      <alignment vertical="center"/>
    </xf>
    <xf numFmtId="41" fontId="0" fillId="8" borderId="0" xfId="1" applyFont="1" applyFill="1">
      <alignment vertical="center"/>
    </xf>
    <xf numFmtId="41" fontId="4" fillId="0" borderId="0" xfId="1" applyFont="1" applyFill="1" applyBorder="1" applyAlignment="1">
      <alignment vertical="center"/>
    </xf>
    <xf numFmtId="41" fontId="0" fillId="0" borderId="0" xfId="1" applyFont="1" applyBorder="1" applyAlignment="1">
      <alignment vertical="center"/>
    </xf>
    <xf numFmtId="41" fontId="0" fillId="0" borderId="0" xfId="1" applyFont="1">
      <alignment vertical="center"/>
    </xf>
    <xf numFmtId="42" fontId="35" fillId="20" borderId="39" xfId="7" applyFont="1" applyFill="1" applyBorder="1" applyAlignment="1">
      <alignment horizontal="center" vertical="center"/>
    </xf>
    <xf numFmtId="42" fontId="35" fillId="20" borderId="62" xfId="7" applyFont="1" applyFill="1" applyBorder="1" applyAlignment="1">
      <alignment horizontal="center" vertical="center"/>
    </xf>
    <xf numFmtId="42" fontId="21" fillId="8" borderId="39" xfId="7" applyFont="1" applyFill="1" applyBorder="1" applyAlignment="1">
      <alignment horizontal="center" vertical="center"/>
    </xf>
    <xf numFmtId="42" fontId="21" fillId="8" borderId="62" xfId="7" applyFont="1" applyFill="1" applyBorder="1" applyAlignment="1">
      <alignment horizontal="center" vertical="center"/>
    </xf>
    <xf numFmtId="0" fontId="21" fillId="8" borderId="70" xfId="0" applyFont="1" applyFill="1" applyBorder="1" applyAlignment="1">
      <alignment horizontal="left" vertical="center" indent="1"/>
    </xf>
    <xf numFmtId="0" fontId="21" fillId="8" borderId="11" xfId="0" applyFont="1" applyFill="1" applyBorder="1" applyAlignment="1">
      <alignment horizontal="left" vertical="center" indent="1"/>
    </xf>
    <xf numFmtId="0" fontId="35" fillId="8" borderId="70" xfId="0" applyFont="1" applyFill="1" applyBorder="1" applyAlignment="1">
      <alignment horizontal="left" vertical="center" indent="1"/>
    </xf>
    <xf numFmtId="0" fontId="35" fillId="8" borderId="11" xfId="0" applyFont="1" applyFill="1" applyBorder="1" applyAlignment="1">
      <alignment horizontal="left" vertical="center" indent="1"/>
    </xf>
    <xf numFmtId="42" fontId="21" fillId="20" borderId="39" xfId="7" applyFont="1" applyFill="1" applyBorder="1" applyAlignment="1">
      <alignment horizontal="center" vertical="center"/>
    </xf>
    <xf numFmtId="42" fontId="21" fillId="20" borderId="62" xfId="7" applyFont="1" applyFill="1" applyBorder="1" applyAlignment="1">
      <alignment horizontal="center" vertical="center"/>
    </xf>
    <xf numFmtId="42" fontId="19" fillId="8" borderId="39" xfId="7" applyFont="1" applyFill="1" applyBorder="1" applyAlignment="1">
      <alignment horizontal="center" vertical="center"/>
    </xf>
    <xf numFmtId="42" fontId="19" fillId="8" borderId="62" xfId="7" applyFont="1" applyFill="1" applyBorder="1" applyAlignment="1">
      <alignment horizontal="center" vertical="center"/>
    </xf>
    <xf numFmtId="0" fontId="21" fillId="8" borderId="70" xfId="0" applyFont="1" applyFill="1" applyBorder="1" applyAlignment="1">
      <alignment horizontal="center" vertical="center"/>
    </xf>
    <xf numFmtId="0" fontId="21" fillId="8" borderId="11" xfId="0" applyFont="1" applyFill="1" applyBorder="1" applyAlignment="1">
      <alignment horizontal="center" vertical="center"/>
    </xf>
    <xf numFmtId="0" fontId="0" fillId="8" borderId="82" xfId="0" applyFill="1" applyBorder="1" applyAlignment="1">
      <alignment horizontal="left" vertical="center"/>
    </xf>
    <xf numFmtId="0" fontId="0" fillId="8" borderId="83" xfId="0" applyFill="1" applyBorder="1" applyAlignment="1">
      <alignment horizontal="left" vertical="center"/>
    </xf>
    <xf numFmtId="0" fontId="0" fillId="8" borderId="84" xfId="0" applyFill="1" applyBorder="1" applyAlignment="1">
      <alignment horizontal="left" vertical="center"/>
    </xf>
    <xf numFmtId="0" fontId="21" fillId="20" borderId="70" xfId="0" applyFont="1" applyFill="1" applyBorder="1" applyAlignment="1">
      <alignment horizontal="left" vertical="center" indent="1"/>
    </xf>
    <xf numFmtId="0" fontId="21" fillId="20" borderId="11" xfId="0" applyFont="1" applyFill="1" applyBorder="1" applyAlignment="1">
      <alignment horizontal="left" vertical="center" indent="1"/>
    </xf>
    <xf numFmtId="0" fontId="21" fillId="8" borderId="98" xfId="0" applyFont="1" applyFill="1" applyBorder="1" applyAlignment="1">
      <alignment horizontal="center" vertical="center"/>
    </xf>
    <xf numFmtId="0" fontId="21" fillId="8" borderId="74" xfId="0" applyFont="1" applyFill="1" applyBorder="1" applyAlignment="1">
      <alignment horizontal="center" vertical="center"/>
    </xf>
    <xf numFmtId="0" fontId="19" fillId="21" borderId="91" xfId="0" applyFont="1" applyFill="1" applyBorder="1" applyAlignment="1">
      <alignment horizontal="left" vertical="center" indent="1"/>
    </xf>
    <xf numFmtId="0" fontId="35" fillId="21" borderId="91" xfId="0" applyFont="1" applyFill="1" applyBorder="1" applyAlignment="1">
      <alignment horizontal="left" vertical="center" indent="1"/>
    </xf>
    <xf numFmtId="42" fontId="21" fillId="21" borderId="77" xfId="1" applyNumberFormat="1" applyFont="1" applyFill="1" applyBorder="1">
      <alignment vertical="center"/>
    </xf>
    <xf numFmtId="42" fontId="35" fillId="21" borderId="1" xfId="1" applyNumberFormat="1" applyFont="1" applyFill="1" applyBorder="1">
      <alignment vertical="center"/>
    </xf>
    <xf numFmtId="42" fontId="21" fillId="21" borderId="8" xfId="1" applyNumberFormat="1" applyFont="1" applyFill="1" applyBorder="1">
      <alignment vertical="center"/>
    </xf>
    <xf numFmtId="0" fontId="0" fillId="19" borderId="1" xfId="0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14" fontId="19" fillId="0" borderId="0" xfId="1" applyNumberFormat="1" applyFont="1" applyFill="1" applyBorder="1" applyAlignment="1">
      <alignment horizontal="left" vertical="center" indent="1"/>
    </xf>
    <xf numFmtId="0" fontId="23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42" fontId="21" fillId="0" borderId="0" xfId="1" applyNumberFormat="1" applyFont="1" applyFill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42" fontId="21" fillId="0" borderId="0" xfId="1" quotePrefix="1" applyNumberFormat="1" applyFont="1" applyFill="1" applyBorder="1" applyAlignment="1">
      <alignment horizontal="left" vertical="center"/>
    </xf>
    <xf numFmtId="0" fontId="21" fillId="0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2" fontId="19" fillId="8" borderId="39" xfId="7" applyFont="1" applyFill="1" applyBorder="1" applyAlignment="1">
      <alignment horizontal="center" vertical="center"/>
    </xf>
    <xf numFmtId="42" fontId="19" fillId="8" borderId="62" xfId="7" applyFont="1" applyFill="1" applyBorder="1" applyAlignment="1">
      <alignment horizontal="center" vertical="center"/>
    </xf>
    <xf numFmtId="0" fontId="21" fillId="8" borderId="70" xfId="0" applyFont="1" applyFill="1" applyBorder="1" applyAlignment="1">
      <alignment horizontal="left" vertical="center" indent="1"/>
    </xf>
    <xf numFmtId="0" fontId="21" fillId="8" borderId="11" xfId="0" applyFont="1" applyFill="1" applyBorder="1" applyAlignment="1">
      <alignment horizontal="left" vertical="center" indent="1"/>
    </xf>
    <xf numFmtId="42" fontId="21" fillId="0" borderId="39" xfId="7" applyFont="1" applyFill="1" applyBorder="1" applyAlignment="1">
      <alignment horizontal="center" vertical="center"/>
    </xf>
    <xf numFmtId="42" fontId="21" fillId="0" borderId="62" xfId="7" applyFont="1" applyFill="1" applyBorder="1" applyAlignment="1">
      <alignment horizontal="center" vertical="center"/>
    </xf>
    <xf numFmtId="0" fontId="21" fillId="0" borderId="70" xfId="0" applyFont="1" applyFill="1" applyBorder="1" applyAlignment="1">
      <alignment horizontal="left" vertical="center" indent="1"/>
    </xf>
    <xf numFmtId="0" fontId="21" fillId="0" borderId="11" xfId="0" applyFont="1" applyFill="1" applyBorder="1" applyAlignment="1">
      <alignment horizontal="left" vertical="center" indent="1"/>
    </xf>
    <xf numFmtId="0" fontId="0" fillId="2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19" borderId="1" xfId="0" applyFill="1" applyBorder="1">
      <alignment vertical="center"/>
    </xf>
    <xf numFmtId="0" fontId="0" fillId="24" borderId="1" xfId="0" applyFill="1" applyBorder="1" applyAlignment="1">
      <alignment horizontal="right" vertical="center"/>
    </xf>
    <xf numFmtId="0" fontId="0" fillId="18" borderId="1" xfId="0" applyFill="1" applyBorder="1" applyAlignment="1">
      <alignment horizontal="left" vertical="center"/>
    </xf>
    <xf numFmtId="0" fontId="0" fillId="18" borderId="1" xfId="0" applyFill="1" applyBorder="1">
      <alignment vertical="center"/>
    </xf>
    <xf numFmtId="0" fontId="21" fillId="25" borderId="1" xfId="0" applyFont="1" applyFill="1" applyBorder="1" applyAlignment="1">
      <alignment horizontal="center" vertical="center"/>
    </xf>
    <xf numFmtId="179" fontId="21" fillId="0" borderId="1" xfId="0" applyNumberFormat="1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18" borderId="13" xfId="0" applyFill="1" applyBorder="1">
      <alignment vertical="center"/>
    </xf>
    <xf numFmtId="0" fontId="0" fillId="24" borderId="13" xfId="0" applyFill="1" applyBorder="1" applyAlignment="1">
      <alignment horizontal="right" vertical="center"/>
    </xf>
    <xf numFmtId="0" fontId="0" fillId="0" borderId="15" xfId="0" applyBorder="1">
      <alignment vertical="center"/>
    </xf>
    <xf numFmtId="0" fontId="0" fillId="24" borderId="31" xfId="0" applyFill="1" applyBorder="1">
      <alignment vertical="center"/>
    </xf>
    <xf numFmtId="0" fontId="0" fillId="24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73" xfId="0" applyBorder="1">
      <alignment vertical="center"/>
    </xf>
    <xf numFmtId="0" fontId="0" fillId="19" borderId="28" xfId="0" applyFill="1" applyBorder="1" applyAlignment="1">
      <alignment horizontal="center" vertical="center"/>
    </xf>
    <xf numFmtId="0" fontId="39" fillId="19" borderId="8" xfId="0" applyFont="1" applyFill="1" applyBorder="1" applyAlignment="1">
      <alignment horizontal="center" vertical="center"/>
    </xf>
    <xf numFmtId="0" fontId="39" fillId="19" borderId="29" xfId="0" applyFont="1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0" fontId="39" fillId="19" borderId="40" xfId="0" applyFont="1" applyFill="1" applyBorder="1" applyAlignment="1">
      <alignment horizontal="center" vertical="center"/>
    </xf>
    <xf numFmtId="0" fontId="0" fillId="19" borderId="46" xfId="0" applyFill="1" applyBorder="1" applyAlignment="1">
      <alignment horizontal="center" vertical="center"/>
    </xf>
    <xf numFmtId="0" fontId="0" fillId="24" borderId="91" xfId="0" applyFill="1" applyBorder="1">
      <alignment vertical="center"/>
    </xf>
    <xf numFmtId="0" fontId="0" fillId="24" borderId="5" xfId="0" applyFill="1" applyBorder="1">
      <alignment vertical="center"/>
    </xf>
    <xf numFmtId="0" fontId="0" fillId="0" borderId="5" xfId="0" applyBorder="1">
      <alignment vertical="center"/>
    </xf>
    <xf numFmtId="0" fontId="0" fillId="18" borderId="5" xfId="0" applyFill="1" applyBorder="1">
      <alignment vertical="center"/>
    </xf>
    <xf numFmtId="0" fontId="0" fillId="0" borderId="46" xfId="0" applyBorder="1">
      <alignment vertical="center"/>
    </xf>
    <xf numFmtId="0" fontId="0" fillId="0" borderId="74" xfId="0" applyBorder="1">
      <alignment vertical="center"/>
    </xf>
    <xf numFmtId="0" fontId="0" fillId="0" borderId="36" xfId="0" applyBorder="1">
      <alignment vertical="center"/>
    </xf>
    <xf numFmtId="0" fontId="0" fillId="18" borderId="36" xfId="0" applyFill="1" applyBorder="1" applyAlignment="1">
      <alignment horizontal="left" vertical="center"/>
    </xf>
    <xf numFmtId="0" fontId="0" fillId="0" borderId="37" xfId="0" applyBorder="1">
      <alignment vertical="center"/>
    </xf>
    <xf numFmtId="0" fontId="0" fillId="19" borderId="12" xfId="0" applyFill="1" applyBorder="1" applyAlignment="1">
      <alignment horizontal="center" vertical="center"/>
    </xf>
    <xf numFmtId="0" fontId="30" fillId="0" borderId="0" xfId="0" applyFont="1" applyFill="1" applyAlignment="1">
      <alignment horizontal="left" vertical="center"/>
    </xf>
    <xf numFmtId="0" fontId="21" fillId="0" borderId="28" xfId="0" applyFont="1" applyFill="1" applyBorder="1" applyAlignment="1">
      <alignment horizontal="left" vertical="center" indent="1"/>
    </xf>
    <xf numFmtId="42" fontId="21" fillId="0" borderId="77" xfId="1" applyNumberFormat="1" applyFont="1" applyFill="1" applyBorder="1">
      <alignment vertical="center"/>
    </xf>
    <xf numFmtId="9" fontId="21" fillId="0" borderId="61" xfId="1" applyNumberFormat="1" applyFont="1" applyFill="1" applyBorder="1" applyAlignment="1">
      <alignment horizontal="center" vertical="center"/>
    </xf>
    <xf numFmtId="0" fontId="21" fillId="0" borderId="73" xfId="0" applyFont="1" applyFill="1" applyBorder="1" applyAlignment="1">
      <alignment horizontal="center" vertical="center"/>
    </xf>
    <xf numFmtId="0" fontId="21" fillId="0" borderId="91" xfId="0" applyFont="1" applyFill="1" applyBorder="1" applyAlignment="1">
      <alignment horizontal="left" vertical="center" indent="1"/>
    </xf>
    <xf numFmtId="0" fontId="21" fillId="0" borderId="1" xfId="0" applyFont="1" applyFill="1" applyBorder="1" applyAlignment="1">
      <alignment horizontal="left" vertical="center"/>
    </xf>
    <xf numFmtId="0" fontId="21" fillId="0" borderId="5" xfId="0" applyFont="1" applyFill="1" applyBorder="1" applyAlignment="1">
      <alignment horizontal="left" vertical="center" indent="1"/>
    </xf>
    <xf numFmtId="0" fontId="21" fillId="0" borderId="4" xfId="0" applyFont="1" applyFill="1" applyBorder="1" applyAlignment="1">
      <alignment horizontal="center" vertical="center"/>
    </xf>
    <xf numFmtId="0" fontId="21" fillId="0" borderId="114" xfId="0" applyFont="1" applyFill="1" applyBorder="1" applyAlignment="1">
      <alignment horizontal="left" vertical="center" indent="1"/>
    </xf>
    <xf numFmtId="0" fontId="21" fillId="0" borderId="110" xfId="0" applyFont="1" applyFill="1" applyBorder="1" applyAlignment="1">
      <alignment horizontal="center" vertical="center"/>
    </xf>
    <xf numFmtId="0" fontId="21" fillId="0" borderId="110" xfId="0" applyFont="1" applyBorder="1" applyAlignment="1">
      <alignment horizontal="center" vertical="center"/>
    </xf>
    <xf numFmtId="42" fontId="21" fillId="0" borderId="117" xfId="1" applyNumberFormat="1" applyFont="1" applyFill="1" applyBorder="1">
      <alignment vertical="center"/>
    </xf>
    <xf numFmtId="0" fontId="21" fillId="0" borderId="16" xfId="0" applyFont="1" applyFill="1" applyBorder="1" applyAlignment="1">
      <alignment horizontal="center" vertical="center"/>
    </xf>
    <xf numFmtId="0" fontId="21" fillId="0" borderId="115" xfId="0" applyFont="1" applyFill="1" applyBorder="1" applyAlignment="1">
      <alignment horizontal="left" vertical="center" indent="1"/>
    </xf>
    <xf numFmtId="0" fontId="21" fillId="0" borderId="111" xfId="0" applyFont="1" applyFill="1" applyBorder="1" applyAlignment="1">
      <alignment horizontal="center" vertical="center"/>
    </xf>
    <xf numFmtId="0" fontId="21" fillId="0" borderId="111" xfId="0" applyFont="1" applyBorder="1" applyAlignment="1">
      <alignment horizontal="center" vertical="center"/>
    </xf>
    <xf numFmtId="42" fontId="21" fillId="0" borderId="111" xfId="1" applyNumberFormat="1" applyFont="1" applyFill="1" applyBorder="1">
      <alignment vertical="center"/>
    </xf>
    <xf numFmtId="42" fontId="21" fillId="0" borderId="112" xfId="1" applyNumberFormat="1" applyFont="1" applyFill="1" applyBorder="1">
      <alignment vertical="center"/>
    </xf>
    <xf numFmtId="0" fontId="35" fillId="0" borderId="25" xfId="0" applyFont="1" applyFill="1" applyBorder="1" applyAlignment="1">
      <alignment horizontal="center" vertical="center"/>
    </xf>
    <xf numFmtId="0" fontId="35" fillId="0" borderId="152" xfId="0" applyFont="1" applyFill="1" applyBorder="1" applyAlignment="1">
      <alignment horizontal="center" vertical="center"/>
    </xf>
    <xf numFmtId="0" fontId="35" fillId="0" borderId="152" xfId="0" applyFont="1" applyBorder="1" applyAlignment="1">
      <alignment horizontal="center" vertical="center"/>
    </xf>
    <xf numFmtId="0" fontId="35" fillId="0" borderId="102" xfId="0" applyFont="1" applyBorder="1" applyAlignment="1">
      <alignment horizontal="center" vertical="center"/>
    </xf>
    <xf numFmtId="0" fontId="35" fillId="0" borderId="103" xfId="0" applyFont="1" applyBorder="1" applyAlignment="1">
      <alignment horizontal="center" vertical="center"/>
    </xf>
    <xf numFmtId="0" fontId="35" fillId="0" borderId="106" xfId="0" applyFont="1" applyFill="1" applyBorder="1" applyAlignment="1">
      <alignment horizontal="center" vertical="center"/>
    </xf>
    <xf numFmtId="42" fontId="21" fillId="0" borderId="141" xfId="1" applyNumberFormat="1" applyFont="1" applyFill="1" applyBorder="1">
      <alignment vertical="center"/>
    </xf>
    <xf numFmtId="0" fontId="21" fillId="0" borderId="39" xfId="0" applyFont="1" applyFill="1" applyBorder="1" applyAlignment="1">
      <alignment horizontal="left" vertical="center" indent="1"/>
    </xf>
    <xf numFmtId="0" fontId="21" fillId="8" borderId="39" xfId="0" applyFont="1" applyFill="1" applyBorder="1" applyAlignment="1">
      <alignment horizontal="left" vertical="center" indent="1"/>
    </xf>
    <xf numFmtId="0" fontId="21" fillId="0" borderId="8" xfId="0" applyFont="1" applyFill="1" applyBorder="1" applyAlignment="1">
      <alignment horizontal="left" vertical="center" indent="1"/>
    </xf>
    <xf numFmtId="0" fontId="21" fillId="0" borderId="1" xfId="0" applyFont="1" applyFill="1" applyBorder="1" applyAlignment="1">
      <alignment horizontal="left" vertical="center" indent="1"/>
    </xf>
    <xf numFmtId="0" fontId="21" fillId="8" borderId="15" xfId="0" applyFont="1" applyFill="1" applyBorder="1" applyAlignment="1">
      <alignment horizontal="center" vertical="center"/>
    </xf>
    <xf numFmtId="0" fontId="21" fillId="8" borderId="41" xfId="0" applyFont="1" applyFill="1" applyBorder="1" applyAlignment="1">
      <alignment horizontal="left" vertical="center" indent="1"/>
    </xf>
    <xf numFmtId="0" fontId="21" fillId="0" borderId="41" xfId="0" applyFont="1" applyFill="1" applyBorder="1" applyAlignment="1">
      <alignment horizontal="left" vertical="center" indent="1"/>
    </xf>
    <xf numFmtId="0" fontId="21" fillId="0" borderId="154" xfId="0" applyFont="1" applyFill="1" applyBorder="1" applyAlignment="1">
      <alignment horizontal="left" vertical="center" indent="1"/>
    </xf>
    <xf numFmtId="0" fontId="21" fillId="0" borderId="6" xfId="0" applyFont="1" applyFill="1" applyBorder="1" applyAlignment="1">
      <alignment horizontal="left" vertical="center" indent="1"/>
    </xf>
    <xf numFmtId="0" fontId="21" fillId="8" borderId="106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1" fillId="0" borderId="12" xfId="0" applyFont="1" applyBorder="1" applyAlignment="1">
      <alignment horizontal="left" vertical="center" wrapText="1" indent="1"/>
    </xf>
    <xf numFmtId="0" fontId="21" fillId="0" borderId="12" xfId="0" applyFont="1" applyFill="1" applyBorder="1" applyAlignment="1">
      <alignment horizontal="left" vertical="center" wrapText="1" indent="1"/>
    </xf>
    <xf numFmtId="0" fontId="21" fillId="0" borderId="126" xfId="0" applyFont="1" applyFill="1" applyBorder="1" applyAlignment="1">
      <alignment horizontal="left" vertical="center" indent="1"/>
    </xf>
    <xf numFmtId="42" fontId="21" fillId="0" borderId="15" xfId="1" applyNumberFormat="1" applyFont="1" applyFill="1" applyBorder="1">
      <alignment vertical="center"/>
    </xf>
    <xf numFmtId="0" fontId="9" fillId="0" borderId="0" xfId="0" applyFont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179" fontId="21" fillId="0" borderId="2" xfId="0" applyNumberFormat="1" applyFont="1" applyFill="1" applyBorder="1" applyAlignment="1">
      <alignment horizontal="center" vertical="center"/>
    </xf>
    <xf numFmtId="0" fontId="21" fillId="0" borderId="30" xfId="0" applyFont="1" applyFill="1" applyBorder="1" applyAlignment="1">
      <alignment horizontal="left" vertical="center" indent="1"/>
    </xf>
    <xf numFmtId="0" fontId="21" fillId="8" borderId="30" xfId="0" applyFont="1" applyFill="1" applyBorder="1" applyAlignment="1">
      <alignment horizontal="left" vertical="center" indent="1"/>
    </xf>
    <xf numFmtId="0" fontId="21" fillId="0" borderId="15" xfId="0" applyFont="1" applyBorder="1" applyAlignment="1">
      <alignment horizontal="center" vertical="center"/>
    </xf>
    <xf numFmtId="0" fontId="6" fillId="3" borderId="119" xfId="0" applyFont="1" applyFill="1" applyBorder="1" applyAlignment="1">
      <alignment horizontal="center" vertical="center"/>
    </xf>
    <xf numFmtId="0" fontId="6" fillId="3" borderId="120" xfId="0" applyFont="1" applyFill="1" applyBorder="1" applyAlignment="1">
      <alignment horizontal="center" vertical="center"/>
    </xf>
    <xf numFmtId="42" fontId="6" fillId="3" borderId="120" xfId="1" applyNumberFormat="1" applyFont="1" applyFill="1" applyBorder="1" applyAlignment="1">
      <alignment horizontal="center" vertical="center"/>
    </xf>
    <xf numFmtId="42" fontId="6" fillId="3" borderId="69" xfId="1" applyNumberFormat="1" applyFont="1" applyFill="1" applyBorder="1" applyAlignment="1">
      <alignment horizontal="center" vertical="center"/>
    </xf>
    <xf numFmtId="42" fontId="21" fillId="8" borderId="9" xfId="1" applyNumberFormat="1" applyFont="1" applyFill="1" applyBorder="1">
      <alignment vertical="center"/>
    </xf>
    <xf numFmtId="42" fontId="21" fillId="8" borderId="4" xfId="1" applyNumberFormat="1" applyFont="1" applyFill="1" applyBorder="1">
      <alignment vertical="center"/>
    </xf>
    <xf numFmtId="42" fontId="21" fillId="0" borderId="4" xfId="1" applyNumberFormat="1" applyFont="1" applyFill="1" applyBorder="1">
      <alignment vertical="center"/>
    </xf>
    <xf numFmtId="42" fontId="21" fillId="8" borderId="16" xfId="1" applyNumberFormat="1" applyFont="1" applyFill="1" applyBorder="1">
      <alignment vertical="center"/>
    </xf>
    <xf numFmtId="42" fontId="21" fillId="0" borderId="156" xfId="1" applyNumberFormat="1" applyFont="1" applyFill="1" applyBorder="1">
      <alignment vertical="center"/>
    </xf>
    <xf numFmtId="42" fontId="21" fillId="0" borderId="155" xfId="1" applyNumberFormat="1" applyFont="1" applyFill="1" applyBorder="1">
      <alignment vertical="center"/>
    </xf>
    <xf numFmtId="42" fontId="21" fillId="0" borderId="9" xfId="1" applyNumberFormat="1" applyFont="1" applyFill="1" applyBorder="1">
      <alignment vertical="center"/>
    </xf>
    <xf numFmtId="42" fontId="21" fillId="0" borderId="16" xfId="1" applyNumberFormat="1" applyFont="1" applyFill="1" applyBorder="1">
      <alignment vertical="center"/>
    </xf>
    <xf numFmtId="42" fontId="10" fillId="12" borderId="125" xfId="1" applyNumberFormat="1" applyFont="1" applyFill="1" applyBorder="1" applyAlignment="1">
      <alignment horizontal="center" vertical="center"/>
    </xf>
    <xf numFmtId="42" fontId="6" fillId="12" borderId="125" xfId="1" applyNumberFormat="1" applyFont="1" applyFill="1" applyBorder="1" applyAlignment="1">
      <alignment vertical="center"/>
    </xf>
    <xf numFmtId="9" fontId="21" fillId="8" borderId="38" xfId="1" applyNumberFormat="1" applyFont="1" applyFill="1" applyBorder="1" applyAlignment="1">
      <alignment horizontal="center" vertical="center"/>
    </xf>
    <xf numFmtId="9" fontId="21" fillId="8" borderId="36" xfId="1" applyNumberFormat="1" applyFont="1" applyFill="1" applyBorder="1" applyAlignment="1">
      <alignment horizontal="center" vertical="center"/>
    </xf>
    <xf numFmtId="9" fontId="21" fillId="0" borderId="74" xfId="1" applyNumberFormat="1" applyFont="1" applyFill="1" applyBorder="1" applyAlignment="1">
      <alignment horizontal="center" vertical="center"/>
    </xf>
    <xf numFmtId="9" fontId="21" fillId="0" borderId="36" xfId="1" applyNumberFormat="1" applyFont="1" applyFill="1" applyBorder="1" applyAlignment="1">
      <alignment horizontal="center" vertical="center"/>
    </xf>
    <xf numFmtId="9" fontId="21" fillId="8" borderId="37" xfId="1" applyNumberFormat="1" applyFont="1" applyFill="1" applyBorder="1" applyAlignment="1">
      <alignment horizontal="center" vertical="center"/>
    </xf>
    <xf numFmtId="9" fontId="21" fillId="0" borderId="106" xfId="1" applyNumberFormat="1" applyFont="1" applyFill="1" applyBorder="1" applyAlignment="1">
      <alignment horizontal="center" vertical="center"/>
    </xf>
    <xf numFmtId="9" fontId="21" fillId="0" borderId="38" xfId="1" applyNumberFormat="1" applyFont="1" applyFill="1" applyBorder="1" applyAlignment="1">
      <alignment horizontal="center" vertical="center"/>
    </xf>
    <xf numFmtId="9" fontId="21" fillId="0" borderId="37" xfId="1" applyNumberFormat="1" applyFont="1" applyFill="1" applyBorder="1" applyAlignment="1">
      <alignment horizontal="center" vertical="center"/>
    </xf>
    <xf numFmtId="0" fontId="6" fillId="3" borderId="44" xfId="0" applyFont="1" applyFill="1" applyBorder="1" applyAlignment="1">
      <alignment vertical="center"/>
    </xf>
    <xf numFmtId="0" fontId="21" fillId="0" borderId="105" xfId="0" applyFont="1" applyFill="1" applyBorder="1" applyAlignment="1">
      <alignment horizontal="center" vertical="center"/>
    </xf>
    <xf numFmtId="0" fontId="6" fillId="3" borderId="125" xfId="0" applyFont="1" applyFill="1" applyBorder="1" applyAlignment="1">
      <alignment vertical="center"/>
    </xf>
    <xf numFmtId="0" fontId="21" fillId="0" borderId="36" xfId="0" applyFont="1" applyFill="1" applyBorder="1" applyAlignment="1">
      <alignment horizontal="left" vertical="center" indent="1"/>
    </xf>
    <xf numFmtId="42" fontId="21" fillId="0" borderId="37" xfId="7" applyFont="1" applyFill="1" applyBorder="1" applyAlignment="1">
      <alignment vertical="center"/>
    </xf>
    <xf numFmtId="0" fontId="21" fillId="0" borderId="37" xfId="0" applyFont="1" applyFill="1" applyBorder="1" applyAlignment="1">
      <alignment vertical="center"/>
    </xf>
    <xf numFmtId="0" fontId="21" fillId="8" borderId="42" xfId="0" applyFont="1" applyFill="1" applyBorder="1" applyAlignment="1">
      <alignment vertical="center"/>
    </xf>
    <xf numFmtId="42" fontId="21" fillId="0" borderId="36" xfId="7" applyFont="1" applyFill="1" applyBorder="1" applyAlignment="1">
      <alignment vertical="center"/>
    </xf>
    <xf numFmtId="0" fontId="21" fillId="0" borderId="36" xfId="0" applyFont="1" applyFill="1" applyBorder="1" applyAlignment="1">
      <alignment vertical="center"/>
    </xf>
    <xf numFmtId="42" fontId="21" fillId="0" borderId="74" xfId="7" applyFont="1" applyFill="1" applyBorder="1" applyAlignment="1">
      <alignment vertical="center"/>
    </xf>
    <xf numFmtId="0" fontId="21" fillId="0" borderId="74" xfId="0" applyFont="1" applyFill="1" applyBorder="1" applyAlignment="1">
      <alignment vertical="center"/>
    </xf>
    <xf numFmtId="0" fontId="21" fillId="8" borderId="105" xfId="0" applyFont="1" applyFill="1" applyBorder="1" applyAlignment="1">
      <alignment vertical="center"/>
    </xf>
    <xf numFmtId="0" fontId="21" fillId="8" borderId="17" xfId="0" applyFont="1" applyFill="1" applyBorder="1" applyAlignment="1">
      <alignment vertical="center"/>
    </xf>
    <xf numFmtId="42" fontId="21" fillId="0" borderId="38" xfId="7" applyFont="1" applyFill="1" applyBorder="1" applyAlignment="1">
      <alignment vertical="center"/>
    </xf>
    <xf numFmtId="0" fontId="21" fillId="0" borderId="38" xfId="0" applyFont="1" applyFill="1" applyBorder="1" applyAlignment="1">
      <alignment vertical="center"/>
    </xf>
    <xf numFmtId="0" fontId="21" fillId="0" borderId="11" xfId="0" applyFont="1" applyFill="1" applyBorder="1" applyAlignment="1">
      <alignment vertical="center"/>
    </xf>
    <xf numFmtId="42" fontId="21" fillId="8" borderId="36" xfId="7" applyFont="1" applyFill="1" applyBorder="1" applyAlignment="1">
      <alignment vertical="center"/>
    </xf>
    <xf numFmtId="0" fontId="21" fillId="8" borderId="36" xfId="0" applyFont="1" applyFill="1" applyBorder="1" applyAlignment="1">
      <alignment vertical="center"/>
    </xf>
    <xf numFmtId="0" fontId="21" fillId="0" borderId="106" xfId="0" applyFont="1" applyFill="1" applyBorder="1" applyAlignment="1">
      <alignment vertical="center"/>
    </xf>
    <xf numFmtId="0" fontId="21" fillId="0" borderId="134" xfId="0" applyFont="1" applyFill="1" applyBorder="1" applyAlignment="1">
      <alignment vertical="center"/>
    </xf>
    <xf numFmtId="42" fontId="21" fillId="0" borderId="106" xfId="7" applyFont="1" applyFill="1" applyBorder="1" applyAlignment="1">
      <alignment vertical="center"/>
    </xf>
    <xf numFmtId="0" fontId="21" fillId="0" borderId="98" xfId="0" applyFont="1" applyFill="1" applyBorder="1" applyAlignment="1">
      <alignment vertical="center"/>
    </xf>
    <xf numFmtId="42" fontId="21" fillId="8" borderId="37" xfId="7" applyFont="1" applyFill="1" applyBorder="1" applyAlignment="1">
      <alignment vertical="center"/>
    </xf>
    <xf numFmtId="0" fontId="21" fillId="8" borderId="37" xfId="0" applyFont="1" applyFill="1" applyBorder="1" applyAlignment="1">
      <alignment vertical="center"/>
    </xf>
    <xf numFmtId="42" fontId="21" fillId="8" borderId="38" xfId="7" applyFont="1" applyFill="1" applyBorder="1" applyAlignment="1">
      <alignment vertical="center"/>
    </xf>
    <xf numFmtId="0" fontId="21" fillId="8" borderId="38" xfId="0" applyFont="1" applyFill="1" applyBorder="1" applyAlignment="1">
      <alignment vertical="center"/>
    </xf>
    <xf numFmtId="9" fontId="21" fillId="0" borderId="36" xfId="1" applyNumberFormat="1" applyFont="1" applyFill="1" applyBorder="1" applyAlignment="1">
      <alignment vertical="center"/>
    </xf>
    <xf numFmtId="42" fontId="21" fillId="0" borderId="3" xfId="1" applyNumberFormat="1" applyFont="1" applyFill="1" applyBorder="1" applyAlignment="1">
      <alignment vertical="center"/>
    </xf>
    <xf numFmtId="42" fontId="21" fillId="0" borderId="1" xfId="1" applyNumberFormat="1" applyFont="1" applyFill="1" applyBorder="1" applyAlignment="1">
      <alignment vertical="center"/>
    </xf>
    <xf numFmtId="42" fontId="21" fillId="8" borderId="1" xfId="1" applyNumberFormat="1" applyFont="1" applyFill="1" applyBorder="1" applyAlignment="1">
      <alignment vertical="center"/>
    </xf>
    <xf numFmtId="42" fontId="21" fillId="0" borderId="15" xfId="1" applyNumberFormat="1" applyFont="1" applyFill="1" applyBorder="1" applyAlignment="1">
      <alignment vertical="center"/>
    </xf>
    <xf numFmtId="0" fontId="21" fillId="8" borderId="1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8" borderId="105" xfId="0" applyFont="1" applyFill="1" applyBorder="1" applyAlignment="1">
      <alignment horizontal="center" vertical="center"/>
    </xf>
    <xf numFmtId="0" fontId="0" fillId="0" borderId="48" xfId="0" applyFill="1" applyBorder="1">
      <alignment vertical="center"/>
    </xf>
    <xf numFmtId="0" fontId="21" fillId="13" borderId="19" xfId="0" applyFont="1" applyFill="1" applyBorder="1" applyAlignment="1">
      <alignment horizontal="center" vertical="center"/>
    </xf>
    <xf numFmtId="0" fontId="21" fillId="0" borderId="70" xfId="0" applyFont="1" applyFill="1" applyBorder="1" applyAlignment="1">
      <alignment horizontal="left" vertical="center" indent="1"/>
    </xf>
    <xf numFmtId="0" fontId="21" fillId="0" borderId="11" xfId="0" applyFont="1" applyFill="1" applyBorder="1" applyAlignment="1">
      <alignment horizontal="left" vertical="center" indent="1"/>
    </xf>
    <xf numFmtId="0" fontId="0" fillId="8" borderId="83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9" fillId="13" borderId="19" xfId="0" applyFont="1" applyFill="1" applyBorder="1" applyAlignment="1">
      <alignment horizontal="center" vertical="center"/>
    </xf>
    <xf numFmtId="14" fontId="19" fillId="0" borderId="0" xfId="1" applyNumberFormat="1" applyFont="1" applyBorder="1" applyAlignment="1">
      <alignment vertical="center"/>
    </xf>
    <xf numFmtId="0" fontId="6" fillId="3" borderId="68" xfId="0" applyFont="1" applyFill="1" applyBorder="1" applyAlignment="1">
      <alignment horizontal="center" vertical="center"/>
    </xf>
    <xf numFmtId="0" fontId="21" fillId="0" borderId="154" xfId="0" applyFont="1" applyFill="1" applyBorder="1" applyAlignment="1">
      <alignment horizontal="center" vertical="center"/>
    </xf>
    <xf numFmtId="0" fontId="21" fillId="0" borderId="91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left" vertical="center"/>
    </xf>
    <xf numFmtId="0" fontId="21" fillId="8" borderId="6" xfId="0" applyFont="1" applyFill="1" applyBorder="1" applyAlignment="1">
      <alignment horizontal="left" vertical="center"/>
    </xf>
    <xf numFmtId="0" fontId="21" fillId="8" borderId="14" xfId="0" applyFont="1" applyFill="1" applyBorder="1" applyAlignment="1">
      <alignment horizontal="left" vertical="center"/>
    </xf>
    <xf numFmtId="0" fontId="21" fillId="0" borderId="154" xfId="0" applyFont="1" applyFill="1" applyBorder="1" applyAlignment="1">
      <alignment horizontal="left" vertical="center"/>
    </xf>
    <xf numFmtId="0" fontId="21" fillId="0" borderId="5" xfId="0" applyFont="1" applyBorder="1" applyAlignment="1">
      <alignment horizontal="left" vertical="center" wrapText="1"/>
    </xf>
    <xf numFmtId="0" fontId="21" fillId="0" borderId="91" xfId="0" applyFont="1" applyFill="1" applyBorder="1" applyAlignment="1">
      <alignment horizontal="left" vertical="center"/>
    </xf>
    <xf numFmtId="0" fontId="21" fillId="8" borderId="5" xfId="0" applyFont="1" applyFill="1" applyBorder="1" applyAlignment="1">
      <alignment horizontal="left" vertical="center"/>
    </xf>
    <xf numFmtId="0" fontId="21" fillId="0" borderId="5" xfId="0" applyFont="1" applyFill="1" applyBorder="1" applyAlignment="1">
      <alignment horizontal="left" vertical="center"/>
    </xf>
    <xf numFmtId="0" fontId="21" fillId="0" borderId="6" xfId="0" applyFont="1" applyBorder="1" applyAlignment="1">
      <alignment horizontal="left" vertical="center" wrapText="1"/>
    </xf>
    <xf numFmtId="0" fontId="21" fillId="0" borderId="153" xfId="0" applyFont="1" applyFill="1" applyBorder="1" applyAlignment="1">
      <alignment horizontal="left" vertical="center"/>
    </xf>
    <xf numFmtId="0" fontId="21" fillId="8" borderId="55" xfId="0" applyFont="1" applyFill="1" applyBorder="1" applyAlignment="1">
      <alignment horizontal="left" vertical="center"/>
    </xf>
    <xf numFmtId="0" fontId="21" fillId="0" borderId="157" xfId="0" applyFont="1" applyFill="1" applyBorder="1" applyAlignment="1">
      <alignment horizontal="left" vertical="center"/>
    </xf>
    <xf numFmtId="0" fontId="21" fillId="0" borderId="5" xfId="0" applyFont="1" applyFill="1" applyBorder="1" applyAlignment="1">
      <alignment horizontal="left" vertical="center" wrapText="1"/>
    </xf>
    <xf numFmtId="0" fontId="21" fillId="0" borderId="40" xfId="0" applyFont="1" applyFill="1" applyBorder="1" applyAlignment="1">
      <alignment horizontal="left" vertical="center"/>
    </xf>
    <xf numFmtId="0" fontId="21" fillId="0" borderId="46" xfId="0" applyFont="1" applyFill="1" applyBorder="1" applyAlignment="1">
      <alignment horizontal="left" vertical="center"/>
    </xf>
    <xf numFmtId="0" fontId="21" fillId="0" borderId="50" xfId="0" applyFont="1" applyFill="1" applyBorder="1" applyAlignment="1">
      <alignment horizontal="left" vertical="center"/>
    </xf>
    <xf numFmtId="0" fontId="21" fillId="0" borderId="0" xfId="0" applyNumberFormat="1" applyFont="1" applyFill="1" applyBorder="1">
      <alignment vertical="center"/>
    </xf>
    <xf numFmtId="0" fontId="40" fillId="0" borderId="0" xfId="8" applyFont="1" applyBorder="1">
      <alignment vertical="center"/>
    </xf>
    <xf numFmtId="0" fontId="40" fillId="0" borderId="0" xfId="8" applyNumberFormat="1" applyFont="1" applyFill="1" applyBorder="1">
      <alignment vertical="center"/>
    </xf>
    <xf numFmtId="9" fontId="21" fillId="0" borderId="7" xfId="1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13" borderId="40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29" xfId="0" applyFont="1" applyFill="1" applyBorder="1" applyAlignment="1">
      <alignment horizontal="center" vertical="center"/>
    </xf>
    <xf numFmtId="0" fontId="3" fillId="13" borderId="46" xfId="0" applyFont="1" applyFill="1" applyBorder="1" applyAlignment="1">
      <alignment horizontal="center" vertical="center"/>
    </xf>
    <xf numFmtId="0" fontId="3" fillId="13" borderId="15" xfId="0" applyFont="1" applyFill="1" applyBorder="1" applyAlignment="1">
      <alignment horizontal="center" vertical="center"/>
    </xf>
    <xf numFmtId="0" fontId="3" fillId="13" borderId="31" xfId="0" applyFont="1" applyFill="1" applyBorder="1" applyAlignment="1">
      <alignment horizontal="center" vertical="center"/>
    </xf>
    <xf numFmtId="0" fontId="26" fillId="0" borderId="3" xfId="0" applyFont="1" applyBorder="1">
      <alignment vertical="center"/>
    </xf>
    <xf numFmtId="0" fontId="26" fillId="0" borderId="1" xfId="0" applyFont="1" applyBorder="1">
      <alignment vertical="center"/>
    </xf>
    <xf numFmtId="0" fontId="21" fillId="28" borderId="24" xfId="0" applyFont="1" applyFill="1" applyBorder="1" applyAlignment="1">
      <alignment horizontal="center" vertical="center"/>
    </xf>
    <xf numFmtId="0" fontId="21" fillId="28" borderId="3" xfId="0" applyFont="1" applyFill="1" applyBorder="1" applyAlignment="1">
      <alignment horizontal="center" vertical="center"/>
    </xf>
    <xf numFmtId="0" fontId="21" fillId="28" borderId="73" xfId="0" applyFont="1" applyFill="1" applyBorder="1" applyAlignment="1">
      <alignment horizontal="center" vertical="center"/>
    </xf>
    <xf numFmtId="0" fontId="21" fillId="28" borderId="91" xfId="0" applyFont="1" applyFill="1" applyBorder="1" applyAlignment="1">
      <alignment horizontal="left" vertical="center" indent="1"/>
    </xf>
    <xf numFmtId="0" fontId="21" fillId="28" borderId="1" xfId="0" applyFont="1" applyFill="1" applyBorder="1" applyAlignment="1">
      <alignment horizontal="center" vertical="center"/>
    </xf>
    <xf numFmtId="42" fontId="21" fillId="28" borderId="1" xfId="1" applyNumberFormat="1" applyFont="1" applyFill="1" applyBorder="1">
      <alignment vertical="center"/>
    </xf>
    <xf numFmtId="42" fontId="21" fillId="28" borderId="78" xfId="1" applyNumberFormat="1" applyFont="1" applyFill="1" applyBorder="1">
      <alignment vertical="center"/>
    </xf>
    <xf numFmtId="9" fontId="21" fillId="28" borderId="63" xfId="1" applyNumberFormat="1" applyFont="1" applyFill="1" applyBorder="1" applyAlignment="1">
      <alignment horizontal="center" vertical="center"/>
    </xf>
    <xf numFmtId="0" fontId="21" fillId="28" borderId="70" xfId="0" applyFont="1" applyFill="1" applyBorder="1" applyAlignment="1">
      <alignment horizontal="left" vertical="center" indent="1"/>
    </xf>
    <xf numFmtId="0" fontId="21" fillId="28" borderId="11" xfId="0" applyFont="1" applyFill="1" applyBorder="1" applyAlignment="1">
      <alignment horizontal="left" vertical="center" indent="1"/>
    </xf>
    <xf numFmtId="0" fontId="21" fillId="28" borderId="36" xfId="0" applyFont="1" applyFill="1" applyBorder="1" applyAlignment="1">
      <alignment horizontal="center" vertical="center"/>
    </xf>
    <xf numFmtId="0" fontId="19" fillId="13" borderId="27" xfId="0" applyFont="1" applyFill="1" applyBorder="1" applyAlignment="1">
      <alignment horizontal="center" vertical="center"/>
    </xf>
    <xf numFmtId="0" fontId="0" fillId="8" borderId="83" xfId="0" applyFill="1" applyBorder="1" applyAlignment="1">
      <alignment horizontal="center" vertical="center"/>
    </xf>
    <xf numFmtId="0" fontId="6" fillId="3" borderId="21" xfId="0" applyFont="1" applyFill="1" applyBorder="1" applyAlignment="1">
      <alignment horizontal="left" vertical="center"/>
    </xf>
    <xf numFmtId="0" fontId="19" fillId="13" borderId="19" xfId="0" applyFont="1" applyFill="1" applyBorder="1" applyAlignment="1">
      <alignment horizontal="left" vertical="center"/>
    </xf>
    <xf numFmtId="0" fontId="21" fillId="0" borderId="8" xfId="0" applyFont="1" applyFill="1" applyBorder="1" applyAlignment="1">
      <alignment horizontal="left" vertical="center"/>
    </xf>
    <xf numFmtId="0" fontId="21" fillId="8" borderId="15" xfId="0" applyFont="1" applyFill="1" applyBorder="1" applyAlignment="1">
      <alignment horizontal="left" vertical="center"/>
    </xf>
    <xf numFmtId="0" fontId="21" fillId="13" borderId="19" xfId="0" applyFont="1" applyFill="1" applyBorder="1" applyAlignment="1">
      <alignment horizontal="left" vertical="center"/>
    </xf>
    <xf numFmtId="0" fontId="35" fillId="0" borderId="110" xfId="0" applyFont="1" applyFill="1" applyBorder="1" applyAlignment="1">
      <alignment horizontal="left" vertical="center"/>
    </xf>
    <xf numFmtId="0" fontId="21" fillId="0" borderId="109" xfId="0" applyFont="1" applyFill="1" applyBorder="1" applyAlignment="1">
      <alignment horizontal="left" vertical="center"/>
    </xf>
    <xf numFmtId="0" fontId="21" fillId="0" borderId="110" xfId="0" applyFont="1" applyFill="1" applyBorder="1" applyAlignment="1">
      <alignment horizontal="left" vertical="center"/>
    </xf>
    <xf numFmtId="0" fontId="21" fillId="0" borderId="111" xfId="0" applyFont="1" applyFill="1" applyBorder="1" applyAlignment="1">
      <alignment horizontal="left" vertical="center"/>
    </xf>
    <xf numFmtId="0" fontId="19" fillId="13" borderId="27" xfId="0" applyFont="1" applyFill="1" applyBorder="1" applyAlignment="1">
      <alignment horizontal="left" vertical="center"/>
    </xf>
    <xf numFmtId="0" fontId="21" fillId="0" borderId="15" xfId="0" applyFont="1" applyFill="1" applyBorder="1" applyAlignment="1">
      <alignment horizontal="left" vertical="center"/>
    </xf>
    <xf numFmtId="0" fontId="8" fillId="8" borderId="0" xfId="0" applyFont="1" applyFill="1" applyBorder="1" applyAlignment="1">
      <alignment horizontal="left" vertical="center"/>
    </xf>
    <xf numFmtId="0" fontId="21" fillId="8" borderId="5" xfId="0" applyFont="1" applyFill="1" applyBorder="1" applyAlignment="1">
      <alignment horizontal="center" vertical="center"/>
    </xf>
    <xf numFmtId="0" fontId="21" fillId="8" borderId="8" xfId="0" applyFont="1" applyFill="1" applyBorder="1" applyAlignment="1">
      <alignment horizontal="left" vertical="center" indent="1"/>
    </xf>
    <xf numFmtId="0" fontId="21" fillId="8" borderId="1" xfId="0" applyFont="1" applyFill="1" applyBorder="1" applyAlignment="1">
      <alignment horizontal="left" vertical="center" indent="1"/>
    </xf>
    <xf numFmtId="0" fontId="21" fillId="0" borderId="3" xfId="0" applyFont="1" applyFill="1" applyBorder="1" applyAlignment="1">
      <alignment horizontal="left" vertical="center" indent="1"/>
    </xf>
    <xf numFmtId="0" fontId="21" fillId="0" borderId="127" xfId="0" applyFont="1" applyFill="1" applyBorder="1" applyAlignment="1">
      <alignment horizontal="left" vertical="center" indent="1"/>
    </xf>
    <xf numFmtId="0" fontId="21" fillId="0" borderId="8" xfId="0" applyFont="1" applyBorder="1" applyAlignment="1">
      <alignment horizontal="left" vertical="center" wrapText="1" indent="1"/>
    </xf>
    <xf numFmtId="0" fontId="21" fillId="0" borderId="1" xfId="0" applyFont="1" applyBorder="1" applyAlignment="1">
      <alignment horizontal="left" vertical="center" wrapText="1" indent="1"/>
    </xf>
    <xf numFmtId="0" fontId="21" fillId="28" borderId="1" xfId="0" applyFont="1" applyFill="1" applyBorder="1" applyAlignment="1">
      <alignment horizontal="left" vertical="center" wrapText="1" indent="1"/>
    </xf>
    <xf numFmtId="0" fontId="21" fillId="28" borderId="154" xfId="0" applyFont="1" applyFill="1" applyBorder="1" applyAlignment="1">
      <alignment horizontal="left" vertical="center" indent="1"/>
    </xf>
    <xf numFmtId="0" fontId="21" fillId="28" borderId="3" xfId="0" applyFont="1" applyFill="1" applyBorder="1" applyAlignment="1">
      <alignment horizontal="left" vertical="center" indent="1"/>
    </xf>
    <xf numFmtId="0" fontId="21" fillId="28" borderId="1" xfId="0" applyFont="1" applyFill="1" applyBorder="1" applyAlignment="1">
      <alignment horizontal="left" vertical="center" indent="1"/>
    </xf>
    <xf numFmtId="0" fontId="0" fillId="0" borderId="28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29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NumberFormat="1" applyBorder="1">
      <alignment vertical="center"/>
    </xf>
    <xf numFmtId="0" fontId="0" fillId="0" borderId="30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31" xfId="0" applyNumberFormat="1" applyBorder="1">
      <alignment vertical="center"/>
    </xf>
    <xf numFmtId="0" fontId="0" fillId="0" borderId="132" xfId="0" applyBorder="1">
      <alignment vertical="center"/>
    </xf>
    <xf numFmtId="0" fontId="0" fillId="0" borderId="132" xfId="0" applyBorder="1" applyAlignment="1">
      <alignment horizontal="left" vertical="center"/>
    </xf>
    <xf numFmtId="0" fontId="0" fillId="0" borderId="33" xfId="0" applyBorder="1">
      <alignment vertical="center"/>
    </xf>
    <xf numFmtId="0" fontId="0" fillId="0" borderId="21" xfId="0" applyBorder="1">
      <alignment vertical="center"/>
    </xf>
    <xf numFmtId="0" fontId="0" fillId="0" borderId="21" xfId="0" applyBorder="1" applyAlignment="1">
      <alignment horizontal="left" vertical="center"/>
    </xf>
    <xf numFmtId="0" fontId="0" fillId="0" borderId="34" xfId="0" applyNumberFormat="1" applyBorder="1">
      <alignment vertical="center"/>
    </xf>
    <xf numFmtId="0" fontId="0" fillId="0" borderId="28" xfId="0" pivotButton="1" applyBorder="1">
      <alignment vertical="center"/>
    </xf>
    <xf numFmtId="0" fontId="0" fillId="0" borderId="29" xfId="0" applyBorder="1">
      <alignment vertical="center"/>
    </xf>
    <xf numFmtId="0" fontId="0" fillId="0" borderId="131" xfId="0" applyBorder="1">
      <alignment vertical="center"/>
    </xf>
    <xf numFmtId="0" fontId="0" fillId="0" borderId="133" xfId="0" applyNumberFormat="1" applyBorder="1">
      <alignment vertical="center"/>
    </xf>
    <xf numFmtId="0" fontId="0" fillId="0" borderId="30" xfId="0" pivotButton="1" applyBorder="1">
      <alignment vertical="center"/>
    </xf>
    <xf numFmtId="0" fontId="0" fillId="0" borderId="15" xfId="0" pivotButton="1" applyBorder="1">
      <alignment vertical="center"/>
    </xf>
    <xf numFmtId="0" fontId="0" fillId="0" borderId="15" xfId="0" pivotButton="1" applyBorder="1" applyAlignment="1">
      <alignment horizontal="left" vertical="center"/>
    </xf>
    <xf numFmtId="0" fontId="0" fillId="0" borderId="31" xfId="0" applyBorder="1">
      <alignment vertical="center"/>
    </xf>
    <xf numFmtId="0" fontId="0" fillId="0" borderId="126" xfId="0" applyBorder="1">
      <alignment vertical="center"/>
    </xf>
    <xf numFmtId="0" fontId="0" fillId="0" borderId="127" xfId="0" applyBorder="1">
      <alignment vertical="center"/>
    </xf>
    <xf numFmtId="0" fontId="0" fillId="0" borderId="127" xfId="0" applyBorder="1" applyAlignment="1">
      <alignment horizontal="left" vertical="center"/>
    </xf>
    <xf numFmtId="0" fontId="0" fillId="0" borderId="128" xfId="0" applyNumberFormat="1" applyBorder="1">
      <alignment vertical="center"/>
    </xf>
    <xf numFmtId="0" fontId="35" fillId="8" borderId="1" xfId="0" applyFont="1" applyFill="1" applyBorder="1" applyAlignment="1">
      <alignment horizontal="left" vertical="center" indent="1"/>
    </xf>
    <xf numFmtId="0" fontId="41" fillId="0" borderId="0" xfId="0" applyFont="1" applyBorder="1">
      <alignment vertical="center"/>
    </xf>
    <xf numFmtId="0" fontId="21" fillId="8" borderId="10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26" borderId="154" xfId="0" applyFont="1" applyFill="1" applyBorder="1">
      <alignment vertical="center"/>
    </xf>
    <xf numFmtId="0" fontId="26" fillId="26" borderId="55" xfId="0" applyFont="1" applyFill="1" applyBorder="1">
      <alignment vertical="center"/>
    </xf>
    <xf numFmtId="0" fontId="26" fillId="26" borderId="40" xfId="0" applyFont="1" applyFill="1" applyBorder="1" applyAlignment="1">
      <alignment horizontal="right" vertical="center"/>
    </xf>
    <xf numFmtId="0" fontId="26" fillId="0" borderId="73" xfId="0" applyFont="1" applyBorder="1">
      <alignment vertical="center"/>
    </xf>
    <xf numFmtId="0" fontId="26" fillId="26" borderId="6" xfId="0" applyFont="1" applyFill="1" applyBorder="1">
      <alignment vertical="center"/>
    </xf>
    <xf numFmtId="0" fontId="26" fillId="26" borderId="5" xfId="0" applyFont="1" applyFill="1" applyBorder="1" applyAlignment="1">
      <alignment horizontal="right" vertical="center"/>
    </xf>
    <xf numFmtId="0" fontId="26" fillId="0" borderId="13" xfId="0" applyFont="1" applyBorder="1">
      <alignment vertical="center"/>
    </xf>
    <xf numFmtId="0" fontId="21" fillId="0" borderId="36" xfId="0" applyFont="1" applyBorder="1">
      <alignment vertical="center"/>
    </xf>
    <xf numFmtId="0" fontId="42" fillId="26" borderId="39" xfId="0" applyFont="1" applyFill="1" applyBorder="1">
      <alignment vertical="center"/>
    </xf>
    <xf numFmtId="0" fontId="42" fillId="26" borderId="6" xfId="0" applyFont="1" applyFill="1" applyBorder="1">
      <alignment vertical="center"/>
    </xf>
    <xf numFmtId="0" fontId="42" fillId="26" borderId="6" xfId="0" applyFont="1" applyFill="1" applyBorder="1" applyAlignment="1">
      <alignment horizontal="right" vertical="center"/>
    </xf>
    <xf numFmtId="0" fontId="42" fillId="26" borderId="5" xfId="0" applyFont="1" applyFill="1" applyBorder="1" applyAlignment="1">
      <alignment horizontal="right" vertical="center"/>
    </xf>
    <xf numFmtId="0" fontId="42" fillId="0" borderId="1" xfId="0" applyFont="1" applyBorder="1">
      <alignment vertical="center"/>
    </xf>
    <xf numFmtId="0" fontId="42" fillId="0" borderId="13" xfId="0" applyFont="1" applyBorder="1">
      <alignment vertical="center"/>
    </xf>
    <xf numFmtId="0" fontId="31" fillId="0" borderId="0" xfId="0" applyFont="1">
      <alignment vertical="center"/>
    </xf>
    <xf numFmtId="0" fontId="21" fillId="0" borderId="74" xfId="0" applyFont="1" applyBorder="1">
      <alignment vertical="center"/>
    </xf>
    <xf numFmtId="0" fontId="42" fillId="27" borderId="39" xfId="0" applyFont="1" applyFill="1" applyBorder="1">
      <alignment vertical="center"/>
    </xf>
    <xf numFmtId="0" fontId="42" fillId="27" borderId="6" xfId="0" applyFont="1" applyFill="1" applyBorder="1">
      <alignment vertical="center"/>
    </xf>
    <xf numFmtId="0" fontId="42" fillId="27" borderId="6" xfId="0" applyFont="1" applyFill="1" applyBorder="1" applyAlignment="1">
      <alignment horizontal="right" vertical="center"/>
    </xf>
    <xf numFmtId="0" fontId="42" fillId="27" borderId="5" xfId="0" applyFont="1" applyFill="1" applyBorder="1" applyAlignment="1">
      <alignment horizontal="right" vertical="center"/>
    </xf>
    <xf numFmtId="0" fontId="42" fillId="0" borderId="3" xfId="0" applyFont="1" applyBorder="1">
      <alignment vertical="center"/>
    </xf>
    <xf numFmtId="0" fontId="42" fillId="0" borderId="73" xfId="0" applyFont="1" applyBorder="1">
      <alignment vertical="center"/>
    </xf>
    <xf numFmtId="0" fontId="42" fillId="27" borderId="4" xfId="0" applyFont="1" applyFill="1" applyBorder="1" applyAlignment="1">
      <alignment horizontal="right" vertical="center"/>
    </xf>
    <xf numFmtId="0" fontId="26" fillId="27" borderId="6" xfId="0" applyFont="1" applyFill="1" applyBorder="1">
      <alignment vertical="center"/>
    </xf>
    <xf numFmtId="0" fontId="42" fillId="27" borderId="91" xfId="0" applyFont="1" applyFill="1" applyBorder="1" applyAlignment="1">
      <alignment horizontal="right" vertical="center"/>
    </xf>
    <xf numFmtId="0" fontId="26" fillId="27" borderId="4" xfId="0" applyFont="1" applyFill="1" applyBorder="1">
      <alignment vertical="center"/>
    </xf>
    <xf numFmtId="0" fontId="26" fillId="29" borderId="160" xfId="0" applyFont="1" applyFill="1" applyBorder="1">
      <alignment vertical="center"/>
    </xf>
    <xf numFmtId="0" fontId="26" fillId="29" borderId="161" xfId="0" applyFont="1" applyFill="1" applyBorder="1">
      <alignment vertical="center"/>
    </xf>
    <xf numFmtId="0" fontId="26" fillId="29" borderId="162" xfId="0" applyFont="1" applyFill="1" applyBorder="1" applyAlignment="1">
      <alignment horizontal="right" vertical="center"/>
    </xf>
    <xf numFmtId="0" fontId="26" fillId="0" borderId="163" xfId="0" applyFont="1" applyBorder="1">
      <alignment vertical="center"/>
    </xf>
    <xf numFmtId="0" fontId="26" fillId="0" borderId="164" xfId="0" applyFont="1" applyBorder="1">
      <alignment vertical="center"/>
    </xf>
    <xf numFmtId="0" fontId="26" fillId="29" borderId="165" xfId="0" applyFont="1" applyFill="1" applyBorder="1">
      <alignment vertical="center"/>
    </xf>
    <xf numFmtId="0" fontId="26" fillId="29" borderId="83" xfId="0" applyFont="1" applyFill="1" applyBorder="1">
      <alignment vertical="center"/>
    </xf>
    <xf numFmtId="0" fontId="26" fillId="29" borderId="166" xfId="0" applyFont="1" applyFill="1" applyBorder="1" applyAlignment="1">
      <alignment horizontal="right" vertical="center"/>
    </xf>
    <xf numFmtId="0" fontId="26" fillId="0" borderId="167" xfId="0" applyFont="1" applyBorder="1">
      <alignment vertical="center"/>
    </xf>
    <xf numFmtId="0" fontId="26" fillId="0" borderId="168" xfId="0" applyFont="1" applyBorder="1">
      <alignment vertical="center"/>
    </xf>
    <xf numFmtId="0" fontId="26" fillId="0" borderId="169" xfId="0" applyFont="1" applyBorder="1">
      <alignment vertical="center"/>
    </xf>
    <xf numFmtId="0" fontId="26" fillId="0" borderId="170" xfId="0" applyFont="1" applyBorder="1">
      <alignment vertical="center"/>
    </xf>
    <xf numFmtId="0" fontId="26" fillId="29" borderId="171" xfId="0" applyFont="1" applyFill="1" applyBorder="1">
      <alignment vertical="center"/>
    </xf>
    <xf numFmtId="0" fontId="26" fillId="29" borderId="172" xfId="0" applyFont="1" applyFill="1" applyBorder="1">
      <alignment vertical="center"/>
    </xf>
    <xf numFmtId="0" fontId="26" fillId="29" borderId="173" xfId="0" applyFont="1" applyFill="1" applyBorder="1" applyAlignment="1">
      <alignment horizontal="right" vertical="center"/>
    </xf>
    <xf numFmtId="0" fontId="26" fillId="0" borderId="174" xfId="0" applyFont="1" applyBorder="1">
      <alignment vertical="center"/>
    </xf>
    <xf numFmtId="0" fontId="26" fillId="0" borderId="175" xfId="0" applyFont="1" applyBorder="1">
      <alignment vertical="center"/>
    </xf>
    <xf numFmtId="0" fontId="26" fillId="29" borderId="176" xfId="0" applyFont="1" applyFill="1" applyBorder="1">
      <alignment vertical="center"/>
    </xf>
    <xf numFmtId="0" fontId="26" fillId="0" borderId="161" xfId="0" applyFont="1" applyBorder="1">
      <alignment vertical="center"/>
    </xf>
    <xf numFmtId="0" fontId="26" fillId="29" borderId="84" xfId="0" applyFont="1" applyFill="1" applyBorder="1" applyAlignment="1">
      <alignment horizontal="right" vertical="center"/>
    </xf>
    <xf numFmtId="0" fontId="26" fillId="29" borderId="177" xfId="0" applyFont="1" applyFill="1" applyBorder="1" applyAlignment="1">
      <alignment horizontal="right" vertical="center"/>
    </xf>
    <xf numFmtId="0" fontId="26" fillId="0" borderId="5" xfId="0" applyFont="1" applyBorder="1">
      <alignment vertical="center"/>
    </xf>
    <xf numFmtId="0" fontId="26" fillId="25" borderId="4" xfId="0" applyFont="1" applyFill="1" applyBorder="1">
      <alignment vertical="center"/>
    </xf>
    <xf numFmtId="0" fontId="26" fillId="25" borderId="5" xfId="0" applyFont="1" applyFill="1" applyBorder="1">
      <alignment vertical="center"/>
    </xf>
    <xf numFmtId="0" fontId="26" fillId="25" borderId="4" xfId="0" applyFont="1" applyFill="1" applyBorder="1" applyAlignment="1">
      <alignment horizontal="right" vertical="center"/>
    </xf>
    <xf numFmtId="0" fontId="26" fillId="25" borderId="11" xfId="0" applyFont="1" applyFill="1" applyBorder="1" applyAlignment="1">
      <alignment horizontal="right" vertical="center"/>
    </xf>
    <xf numFmtId="0" fontId="26" fillId="0" borderId="46" xfId="0" applyFont="1" applyBorder="1">
      <alignment vertical="center"/>
    </xf>
    <xf numFmtId="0" fontId="26" fillId="0" borderId="15" xfId="0" applyFont="1" applyBorder="1">
      <alignment vertical="center"/>
    </xf>
    <xf numFmtId="0" fontId="26" fillId="25" borderId="16" xfId="0" applyFont="1" applyFill="1" applyBorder="1" applyAlignment="1">
      <alignment horizontal="right" vertical="center"/>
    </xf>
    <xf numFmtId="0" fontId="26" fillId="25" borderId="17" xfId="0" applyFont="1" applyFill="1" applyBorder="1" applyAlignment="1">
      <alignment horizontal="right" vertical="center"/>
    </xf>
    <xf numFmtId="41" fontId="0" fillId="0" borderId="1" xfId="1" applyFont="1" applyBorder="1">
      <alignment vertical="center"/>
    </xf>
    <xf numFmtId="181" fontId="0" fillId="0" borderId="1" xfId="1" applyNumberFormat="1" applyFont="1" applyBorder="1">
      <alignment vertical="center"/>
    </xf>
    <xf numFmtId="0" fontId="30" fillId="0" borderId="1" xfId="0" applyFont="1" applyBorder="1">
      <alignment vertical="center"/>
    </xf>
    <xf numFmtId="41" fontId="0" fillId="0" borderId="1" xfId="1" applyNumberFormat="1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3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>
      <alignment vertical="center"/>
    </xf>
    <xf numFmtId="41" fontId="0" fillId="0" borderId="8" xfId="1" applyNumberFormat="1" applyFont="1" applyBorder="1">
      <alignment vertical="center"/>
    </xf>
    <xf numFmtId="0" fontId="0" fillId="0" borderId="122" xfId="0" applyBorder="1">
      <alignment vertical="center"/>
    </xf>
    <xf numFmtId="41" fontId="0" fillId="0" borderId="15" xfId="1" applyNumberFormat="1" applyFont="1" applyBorder="1">
      <alignment vertical="center"/>
    </xf>
    <xf numFmtId="0" fontId="0" fillId="0" borderId="127" xfId="0" applyBorder="1" applyAlignment="1">
      <alignment vertical="center"/>
    </xf>
    <xf numFmtId="0" fontId="0" fillId="0" borderId="27" xfId="0" applyBorder="1">
      <alignment vertical="center"/>
    </xf>
    <xf numFmtId="0" fontId="0" fillId="0" borderId="31" xfId="0" applyBorder="1" applyAlignment="1">
      <alignment horizontal="left" vertical="center" wrapText="1"/>
    </xf>
    <xf numFmtId="0" fontId="0" fillId="0" borderId="8" xfId="0" applyFill="1" applyBorder="1">
      <alignment vertical="center"/>
    </xf>
    <xf numFmtId="181" fontId="0" fillId="0" borderId="8" xfId="1" applyNumberFormat="1" applyFont="1" applyBorder="1">
      <alignment vertical="center"/>
    </xf>
    <xf numFmtId="0" fontId="30" fillId="0" borderId="8" xfId="0" applyFont="1" applyBorder="1" applyAlignment="1">
      <alignment vertical="center"/>
    </xf>
    <xf numFmtId="0" fontId="0" fillId="0" borderId="29" xfId="0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34" xfId="0" applyFill="1" applyBorder="1" applyAlignment="1">
      <alignment horizontal="center" vertical="center"/>
    </xf>
    <xf numFmtId="41" fontId="0" fillId="0" borderId="8" xfId="1" applyFont="1" applyBorder="1">
      <alignment vertical="center"/>
    </xf>
    <xf numFmtId="0" fontId="0" fillId="0" borderId="13" xfId="0" applyBorder="1" applyAlignment="1">
      <alignment horizontal="left" vertical="center"/>
    </xf>
    <xf numFmtId="0" fontId="30" fillId="0" borderId="3" xfId="0" applyFont="1" applyBorder="1" applyAlignment="1">
      <alignment horizontal="left" vertical="center"/>
    </xf>
    <xf numFmtId="182" fontId="0" fillId="0" borderId="1" xfId="1" applyNumberFormat="1" applyFont="1" applyBorder="1">
      <alignment vertical="center"/>
    </xf>
    <xf numFmtId="0" fontId="21" fillId="0" borderId="1" xfId="0" applyFont="1" applyBorder="1" applyAlignment="1">
      <alignment vertical="center" wrapText="1"/>
    </xf>
    <xf numFmtId="0" fontId="0" fillId="8" borderId="82" xfId="0" applyFill="1" applyBorder="1" applyAlignment="1">
      <alignment horizontal="left" vertical="center"/>
    </xf>
    <xf numFmtId="0" fontId="0" fillId="8" borderId="83" xfId="0" applyFill="1" applyBorder="1" applyAlignment="1">
      <alignment horizontal="left" vertical="center"/>
    </xf>
    <xf numFmtId="0" fontId="0" fillId="8" borderId="8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1" fillId="0" borderId="132" xfId="0" applyFont="1" applyFill="1" applyBorder="1" applyAlignment="1">
      <alignment horizontal="left" vertical="center" indent="1"/>
    </xf>
    <xf numFmtId="0" fontId="21" fillId="8" borderId="1" xfId="0" applyFont="1" applyFill="1" applyBorder="1" applyAlignment="1">
      <alignment horizontal="left" vertical="center" wrapText="1" indent="1"/>
    </xf>
    <xf numFmtId="0" fontId="35" fillId="8" borderId="39" xfId="0" applyFont="1" applyFill="1" applyBorder="1" applyAlignment="1">
      <alignment horizontal="left" vertical="center" indent="1"/>
    </xf>
    <xf numFmtId="0" fontId="35" fillId="8" borderId="36" xfId="0" applyFont="1" applyFill="1" applyBorder="1" applyAlignment="1">
      <alignment horizontal="center" vertical="center"/>
    </xf>
    <xf numFmtId="42" fontId="35" fillId="0" borderId="0" xfId="1" applyNumberFormat="1" applyFont="1" applyFill="1" applyBorder="1">
      <alignment vertical="center"/>
    </xf>
    <xf numFmtId="0" fontId="35" fillId="0" borderId="12" xfId="0" quotePrefix="1" applyFont="1" applyFill="1" applyBorder="1" applyAlignment="1">
      <alignment horizontal="left" vertical="center" indent="1"/>
    </xf>
    <xf numFmtId="0" fontId="35" fillId="0" borderId="1" xfId="0" applyFont="1" applyFill="1" applyBorder="1" applyAlignment="1">
      <alignment horizontal="left" vertical="center"/>
    </xf>
    <xf numFmtId="42" fontId="35" fillId="0" borderId="4" xfId="1" applyNumberFormat="1" applyFont="1" applyFill="1" applyBorder="1" applyAlignment="1">
      <alignment vertical="center"/>
    </xf>
    <xf numFmtId="42" fontId="35" fillId="8" borderId="63" xfId="1" applyNumberFormat="1" applyFont="1" applyFill="1" applyBorder="1" applyAlignment="1">
      <alignment vertical="center"/>
    </xf>
    <xf numFmtId="0" fontId="35" fillId="0" borderId="36" xfId="0" applyFont="1" applyFill="1" applyBorder="1" applyAlignment="1">
      <alignment horizontal="center" vertical="center"/>
    </xf>
    <xf numFmtId="0" fontId="35" fillId="8" borderId="70" xfId="0" applyFont="1" applyFill="1" applyBorder="1" applyAlignment="1">
      <alignment horizontal="left" vertical="center" indent="1"/>
    </xf>
    <xf numFmtId="0" fontId="35" fillId="8" borderId="11" xfId="0" applyFont="1" applyFill="1" applyBorder="1" applyAlignment="1">
      <alignment horizontal="left" vertical="center" indent="1"/>
    </xf>
    <xf numFmtId="0" fontId="21" fillId="13" borderId="19" xfId="0" applyFont="1" applyFill="1" applyBorder="1" applyAlignment="1">
      <alignment horizontal="center" vertical="center"/>
    </xf>
    <xf numFmtId="42" fontId="21" fillId="8" borderId="39" xfId="7" applyFont="1" applyFill="1" applyBorder="1" applyAlignment="1">
      <alignment horizontal="center" vertical="center"/>
    </xf>
    <xf numFmtId="42" fontId="21" fillId="8" borderId="62" xfId="7" applyFont="1" applyFill="1" applyBorder="1" applyAlignment="1">
      <alignment horizontal="center" vertical="center"/>
    </xf>
    <xf numFmtId="0" fontId="21" fillId="8" borderId="70" xfId="0" applyFont="1" applyFill="1" applyBorder="1" applyAlignment="1">
      <alignment horizontal="left" vertical="center" indent="1"/>
    </xf>
    <xf numFmtId="0" fontId="21" fillId="8" borderId="11" xfId="0" applyFont="1" applyFill="1" applyBorder="1" applyAlignment="1">
      <alignment horizontal="left" vertical="center" indent="1"/>
    </xf>
    <xf numFmtId="0" fontId="21" fillId="21" borderId="3" xfId="0" applyFont="1" applyFill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70" xfId="0" applyFont="1" applyBorder="1">
      <alignment vertical="center"/>
    </xf>
    <xf numFmtId="0" fontId="21" fillId="0" borderId="11" xfId="0" applyFont="1" applyBorder="1">
      <alignment vertical="center"/>
    </xf>
    <xf numFmtId="0" fontId="32" fillId="13" borderId="19" xfId="0" applyFont="1" applyFill="1" applyBorder="1" applyAlignment="1">
      <alignment horizontal="left" vertical="center"/>
    </xf>
    <xf numFmtId="0" fontId="21" fillId="8" borderId="70" xfId="0" applyFont="1" applyFill="1" applyBorder="1">
      <alignment vertical="center"/>
    </xf>
    <xf numFmtId="0" fontId="21" fillId="8" borderId="11" xfId="0" applyFont="1" applyFill="1" applyBorder="1">
      <alignment vertical="center"/>
    </xf>
    <xf numFmtId="0" fontId="35" fillId="8" borderId="70" xfId="0" applyFont="1" applyFill="1" applyBorder="1">
      <alignment vertical="center"/>
    </xf>
    <xf numFmtId="0" fontId="35" fillId="8" borderId="11" xfId="0" applyFont="1" applyFill="1" applyBorder="1">
      <alignment vertical="center"/>
    </xf>
    <xf numFmtId="0" fontId="21" fillId="21" borderId="24" xfId="0" applyFont="1" applyFill="1" applyBorder="1" applyAlignment="1">
      <alignment horizontal="center" vertical="center"/>
    </xf>
    <xf numFmtId="0" fontId="21" fillId="21" borderId="73" xfId="0" applyFont="1" applyFill="1" applyBorder="1" applyAlignment="1">
      <alignment horizontal="center" vertical="center"/>
    </xf>
    <xf numFmtId="0" fontId="21" fillId="21" borderId="6" xfId="0" applyFont="1" applyFill="1" applyBorder="1" applyAlignment="1">
      <alignment horizontal="left" vertical="center" indent="1"/>
    </xf>
    <xf numFmtId="0" fontId="21" fillId="21" borderId="1" xfId="0" applyFont="1" applyFill="1" applyBorder="1" applyAlignment="1">
      <alignment horizontal="left" vertical="center" wrapText="1" indent="1"/>
    </xf>
    <xf numFmtId="42" fontId="21" fillId="21" borderId="78" xfId="1" applyNumberFormat="1" applyFont="1" applyFill="1" applyBorder="1">
      <alignment vertical="center"/>
    </xf>
    <xf numFmtId="0" fontId="21" fillId="21" borderId="70" xfId="0" applyFont="1" applyFill="1" applyBorder="1">
      <alignment vertical="center"/>
    </xf>
    <xf numFmtId="0" fontId="21" fillId="21" borderId="11" xfId="0" applyFont="1" applyFill="1" applyBorder="1">
      <alignment vertical="center"/>
    </xf>
    <xf numFmtId="0" fontId="21" fillId="21" borderId="0" xfId="0" applyFont="1" applyFill="1">
      <alignment vertical="center"/>
    </xf>
    <xf numFmtId="41" fontId="21" fillId="21" borderId="0" xfId="1" applyFont="1" applyFill="1">
      <alignment vertical="center"/>
    </xf>
    <xf numFmtId="0" fontId="21" fillId="21" borderId="154" xfId="0" applyFont="1" applyFill="1" applyBorder="1" applyAlignment="1">
      <alignment horizontal="left" vertical="center" indent="1"/>
    </xf>
    <xf numFmtId="0" fontId="21" fillId="21" borderId="127" xfId="0" applyFont="1" applyFill="1" applyBorder="1" applyAlignment="1">
      <alignment horizontal="left" vertical="center" indent="1"/>
    </xf>
    <xf numFmtId="0" fontId="21" fillId="0" borderId="127" xfId="0" applyFont="1" applyBorder="1" applyAlignment="1">
      <alignment horizontal="left" vertical="center" indent="1"/>
    </xf>
    <xf numFmtId="0" fontId="21" fillId="21" borderId="5" xfId="0" applyFont="1" applyFill="1" applyBorder="1" applyAlignment="1">
      <alignment horizontal="left" vertical="center" indent="1"/>
    </xf>
    <xf numFmtId="0" fontId="21" fillId="21" borderId="91" xfId="0" applyFont="1" applyFill="1" applyBorder="1" applyAlignment="1">
      <alignment horizontal="left" vertical="center" indent="1"/>
    </xf>
    <xf numFmtId="0" fontId="21" fillId="21" borderId="1" xfId="0" applyFont="1" applyFill="1" applyBorder="1" applyAlignment="1">
      <alignment horizontal="left" vertical="center" indent="1"/>
    </xf>
    <xf numFmtId="0" fontId="0" fillId="19" borderId="1" xfId="0" applyFill="1" applyBorder="1" applyAlignment="1">
      <alignment horizontal="center" vertical="center"/>
    </xf>
    <xf numFmtId="0" fontId="21" fillId="19" borderId="28" xfId="0" applyFont="1" applyFill="1" applyBorder="1" applyAlignment="1">
      <alignment horizontal="left" vertical="center" wrapText="1" indent="1"/>
    </xf>
    <xf numFmtId="0" fontId="21" fillId="19" borderId="40" xfId="0" applyFont="1" applyFill="1" applyBorder="1" applyAlignment="1">
      <alignment horizontal="left" vertical="center" wrapText="1"/>
    </xf>
    <xf numFmtId="0" fontId="21" fillId="19" borderId="8" xfId="0" applyFont="1" applyFill="1" applyBorder="1" applyAlignment="1">
      <alignment horizontal="center" vertical="center"/>
    </xf>
    <xf numFmtId="0" fontId="21" fillId="19" borderId="40" xfId="0" applyFont="1" applyFill="1" applyBorder="1" applyAlignment="1">
      <alignment horizontal="center" vertical="center"/>
    </xf>
    <xf numFmtId="42" fontId="21" fillId="19" borderId="8" xfId="1" applyNumberFormat="1" applyFont="1" applyFill="1" applyBorder="1">
      <alignment vertical="center"/>
    </xf>
    <xf numFmtId="42" fontId="21" fillId="19" borderId="9" xfId="1" applyNumberFormat="1" applyFont="1" applyFill="1" applyBorder="1">
      <alignment vertical="center"/>
    </xf>
    <xf numFmtId="9" fontId="21" fillId="19" borderId="38" xfId="1" applyNumberFormat="1" applyFont="1" applyFill="1" applyBorder="1" applyAlignment="1">
      <alignment horizontal="center" vertical="center"/>
    </xf>
    <xf numFmtId="42" fontId="21" fillId="19" borderId="38" xfId="7" applyFont="1" applyFill="1" applyBorder="1" applyAlignment="1">
      <alignment vertical="center"/>
    </xf>
    <xf numFmtId="0" fontId="21" fillId="19" borderId="38" xfId="0" applyFont="1" applyFill="1" applyBorder="1" applyAlignment="1">
      <alignment vertical="center"/>
    </xf>
    <xf numFmtId="0" fontId="21" fillId="19" borderId="10" xfId="0" applyFont="1" applyFill="1" applyBorder="1" applyAlignment="1">
      <alignment vertical="center"/>
    </xf>
    <xf numFmtId="0" fontId="21" fillId="19" borderId="5" xfId="0" applyFont="1" applyFill="1" applyBorder="1" applyAlignment="1">
      <alignment horizontal="left" vertical="center" wrapText="1"/>
    </xf>
    <xf numFmtId="0" fontId="21" fillId="19" borderId="1" xfId="0" applyFont="1" applyFill="1" applyBorder="1" applyAlignment="1">
      <alignment horizontal="center" vertical="center"/>
    </xf>
    <xf numFmtId="0" fontId="21" fillId="19" borderId="5" xfId="0" applyFont="1" applyFill="1" applyBorder="1" applyAlignment="1">
      <alignment horizontal="center" vertical="center"/>
    </xf>
    <xf numFmtId="42" fontId="21" fillId="19" borderId="1" xfId="1" applyNumberFormat="1" applyFont="1" applyFill="1" applyBorder="1">
      <alignment vertical="center"/>
    </xf>
    <xf numFmtId="42" fontId="21" fillId="19" borderId="4" xfId="1" applyNumberFormat="1" applyFont="1" applyFill="1" applyBorder="1">
      <alignment vertical="center"/>
    </xf>
    <xf numFmtId="9" fontId="21" fillId="19" borderId="36" xfId="1" applyNumberFormat="1" applyFont="1" applyFill="1" applyBorder="1" applyAlignment="1">
      <alignment horizontal="center" vertical="center"/>
    </xf>
    <xf numFmtId="42" fontId="21" fillId="19" borderId="36" xfId="7" applyFont="1" applyFill="1" applyBorder="1" applyAlignment="1">
      <alignment vertical="center"/>
    </xf>
    <xf numFmtId="0" fontId="21" fillId="19" borderId="36" xfId="0" applyFont="1" applyFill="1" applyBorder="1" applyAlignment="1">
      <alignment vertical="center"/>
    </xf>
    <xf numFmtId="0" fontId="21" fillId="19" borderId="105" xfId="0" applyFont="1" applyFill="1" applyBorder="1" applyAlignment="1">
      <alignment vertical="center"/>
    </xf>
    <xf numFmtId="0" fontId="21" fillId="19" borderId="24" xfId="0" applyFont="1" applyFill="1" applyBorder="1" applyAlignment="1">
      <alignment horizontal="left" vertical="center" indent="1"/>
    </xf>
    <xf numFmtId="0" fontId="21" fillId="19" borderId="91" xfId="0" applyFont="1" applyFill="1" applyBorder="1" applyAlignment="1">
      <alignment horizontal="left" vertical="center"/>
    </xf>
    <xf numFmtId="9" fontId="21" fillId="19" borderId="74" xfId="1" applyNumberFormat="1" applyFont="1" applyFill="1" applyBorder="1" applyAlignment="1">
      <alignment horizontal="center" vertical="center"/>
    </xf>
    <xf numFmtId="0" fontId="21" fillId="19" borderId="98" xfId="0" applyFont="1" applyFill="1" applyBorder="1" applyAlignment="1">
      <alignment vertical="center"/>
    </xf>
    <xf numFmtId="0" fontId="35" fillId="19" borderId="36" xfId="0" applyFont="1" applyFill="1" applyBorder="1" applyAlignment="1">
      <alignment vertical="center"/>
    </xf>
    <xf numFmtId="0" fontId="21" fillId="19" borderId="12" xfId="0" applyFont="1" applyFill="1" applyBorder="1" applyAlignment="1">
      <alignment horizontal="left" vertical="center" indent="1"/>
    </xf>
    <xf numFmtId="0" fontId="21" fillId="19" borderId="5" xfId="0" applyFont="1" applyFill="1" applyBorder="1" applyAlignment="1">
      <alignment horizontal="left" vertical="center"/>
    </xf>
    <xf numFmtId="179" fontId="21" fillId="19" borderId="1" xfId="0" applyNumberFormat="1" applyFont="1" applyFill="1" applyBorder="1" applyAlignment="1">
      <alignment horizontal="center" vertical="center"/>
    </xf>
    <xf numFmtId="0" fontId="21" fillId="19" borderId="11" xfId="0" applyFont="1" applyFill="1" applyBorder="1" applyAlignment="1">
      <alignment horizontal="center" vertical="center"/>
    </xf>
    <xf numFmtId="0" fontId="21" fillId="19" borderId="106" xfId="0" applyFont="1" applyFill="1" applyBorder="1" applyAlignment="1">
      <alignment vertical="center"/>
    </xf>
    <xf numFmtId="0" fontId="21" fillId="19" borderId="74" xfId="0" applyFont="1" applyFill="1" applyBorder="1" applyAlignment="1">
      <alignment vertical="center"/>
    </xf>
    <xf numFmtId="0" fontId="21" fillId="19" borderId="30" xfId="0" applyFont="1" applyFill="1" applyBorder="1" applyAlignment="1">
      <alignment horizontal="left" vertical="center" indent="1"/>
    </xf>
    <xf numFmtId="0" fontId="21" fillId="19" borderId="46" xfId="0" applyFont="1" applyFill="1" applyBorder="1" applyAlignment="1">
      <alignment horizontal="left" vertical="center"/>
    </xf>
    <xf numFmtId="0" fontId="21" fillId="19" borderId="15" xfId="0" applyFont="1" applyFill="1" applyBorder="1" applyAlignment="1">
      <alignment horizontal="center" vertical="center"/>
    </xf>
    <xf numFmtId="42" fontId="21" fillId="19" borderId="127" xfId="1" applyNumberFormat="1" applyFont="1" applyFill="1" applyBorder="1">
      <alignment vertical="center"/>
    </xf>
    <xf numFmtId="42" fontId="21" fillId="19" borderId="15" xfId="1" applyNumberFormat="1" applyFont="1" applyFill="1" applyBorder="1">
      <alignment vertical="center"/>
    </xf>
    <xf numFmtId="42" fontId="21" fillId="19" borderId="16" xfId="1" applyNumberFormat="1" applyFont="1" applyFill="1" applyBorder="1">
      <alignment vertical="center"/>
    </xf>
    <xf numFmtId="9" fontId="21" fillId="19" borderId="37" xfId="1" applyNumberFormat="1" applyFont="1" applyFill="1" applyBorder="1" applyAlignment="1">
      <alignment horizontal="center" vertical="center"/>
    </xf>
    <xf numFmtId="42" fontId="21" fillId="19" borderId="37" xfId="7" applyFont="1" applyFill="1" applyBorder="1" applyAlignment="1">
      <alignment vertical="center"/>
    </xf>
    <xf numFmtId="0" fontId="21" fillId="19" borderId="37" xfId="0" applyFont="1" applyFill="1" applyBorder="1" applyAlignment="1">
      <alignment vertical="center"/>
    </xf>
    <xf numFmtId="0" fontId="21" fillId="19" borderId="17" xfId="0" applyFont="1" applyFill="1" applyBorder="1" applyAlignment="1">
      <alignment vertical="center"/>
    </xf>
    <xf numFmtId="42" fontId="21" fillId="19" borderId="155" xfId="1" applyNumberFormat="1" applyFont="1" applyFill="1" applyBorder="1">
      <alignment vertical="center"/>
    </xf>
    <xf numFmtId="42" fontId="21" fillId="19" borderId="74" xfId="7" applyFont="1" applyFill="1" applyBorder="1" applyAlignment="1">
      <alignment vertical="center"/>
    </xf>
    <xf numFmtId="0" fontId="21" fillId="19" borderId="11" xfId="0" applyFont="1" applyFill="1" applyBorder="1" applyAlignment="1">
      <alignment vertical="center"/>
    </xf>
    <xf numFmtId="0" fontId="21" fillId="19" borderId="105" xfId="0" applyFont="1" applyFill="1" applyBorder="1" applyAlignment="1">
      <alignment horizontal="center" vertical="center"/>
    </xf>
    <xf numFmtId="0" fontId="21" fillId="19" borderId="154" xfId="0" applyFont="1" applyFill="1" applyBorder="1" applyAlignment="1">
      <alignment horizontal="left" vertical="center"/>
    </xf>
    <xf numFmtId="0" fontId="21" fillId="19" borderId="154" xfId="0" applyFont="1" applyFill="1" applyBorder="1" applyAlignment="1">
      <alignment horizontal="center" vertical="center"/>
    </xf>
    <xf numFmtId="42" fontId="21" fillId="19" borderId="78" xfId="1" applyNumberFormat="1" applyFont="1" applyFill="1" applyBorder="1">
      <alignment vertical="center"/>
    </xf>
    <xf numFmtId="0" fontId="21" fillId="19" borderId="91" xfId="0" applyFont="1" applyFill="1" applyBorder="1" applyAlignment="1">
      <alignment horizontal="left" vertical="center" indent="1"/>
    </xf>
    <xf numFmtId="9" fontId="21" fillId="19" borderId="36" xfId="1" applyNumberFormat="1" applyFont="1" applyFill="1" applyBorder="1" applyAlignment="1">
      <alignment vertical="center"/>
    </xf>
    <xf numFmtId="42" fontId="21" fillId="19" borderId="1" xfId="1" applyNumberFormat="1" applyFont="1" applyFill="1" applyBorder="1" applyAlignment="1">
      <alignment horizontal="center" vertical="center"/>
    </xf>
    <xf numFmtId="0" fontId="21" fillId="19" borderId="25" xfId="0" applyFont="1" applyFill="1" applyBorder="1" applyAlignment="1">
      <alignment horizontal="left" vertical="center" indent="1"/>
    </xf>
    <xf numFmtId="0" fontId="21" fillId="19" borderId="157" xfId="0" applyFont="1" applyFill="1" applyBorder="1" applyAlignment="1">
      <alignment horizontal="left" vertical="center"/>
    </xf>
    <xf numFmtId="179" fontId="21" fillId="19" borderId="2" xfId="0" applyNumberFormat="1" applyFont="1" applyFill="1" applyBorder="1" applyAlignment="1">
      <alignment horizontal="center" vertical="center"/>
    </xf>
    <xf numFmtId="0" fontId="21" fillId="19" borderId="2" xfId="0" applyFont="1" applyFill="1" applyBorder="1" applyAlignment="1">
      <alignment horizontal="center" vertical="center"/>
    </xf>
    <xf numFmtId="42" fontId="21" fillId="19" borderId="2" xfId="1" applyNumberFormat="1" applyFont="1" applyFill="1" applyBorder="1">
      <alignment vertical="center"/>
    </xf>
    <xf numFmtId="42" fontId="21" fillId="19" borderId="156" xfId="1" applyNumberFormat="1" applyFont="1" applyFill="1" applyBorder="1">
      <alignment vertical="center"/>
    </xf>
    <xf numFmtId="9" fontId="21" fillId="19" borderId="106" xfId="1" applyNumberFormat="1" applyFont="1" applyFill="1" applyBorder="1" applyAlignment="1">
      <alignment horizontal="center" vertical="center"/>
    </xf>
    <xf numFmtId="42" fontId="21" fillId="19" borderId="106" xfId="7" applyFont="1" applyFill="1" applyBorder="1" applyAlignment="1">
      <alignment vertical="center"/>
    </xf>
    <xf numFmtId="0" fontId="21" fillId="19" borderId="134" xfId="0" applyFont="1" applyFill="1" applyBorder="1" applyAlignment="1">
      <alignment vertical="center"/>
    </xf>
    <xf numFmtId="0" fontId="21" fillId="19" borderId="28" xfId="0" applyFont="1" applyFill="1" applyBorder="1" applyAlignment="1">
      <alignment horizontal="left" vertical="center" indent="1"/>
    </xf>
    <xf numFmtId="0" fontId="21" fillId="19" borderId="40" xfId="0" applyFont="1" applyFill="1" applyBorder="1" applyAlignment="1">
      <alignment horizontal="left" vertical="center"/>
    </xf>
    <xf numFmtId="0" fontId="21" fillId="19" borderId="105" xfId="0" applyFont="1" applyFill="1" applyBorder="1" applyAlignment="1">
      <alignment horizontal="left" vertical="center"/>
    </xf>
    <xf numFmtId="0" fontId="21" fillId="19" borderId="3" xfId="0" applyFont="1" applyFill="1" applyBorder="1" applyAlignment="1">
      <alignment horizontal="left" vertical="center" indent="1"/>
    </xf>
    <xf numFmtId="0" fontId="0" fillId="0" borderId="1" xfId="0" applyFont="1" applyFill="1" applyBorder="1" applyAlignment="1">
      <alignment horizontal="center" vertical="center"/>
    </xf>
    <xf numFmtId="0" fontId="0" fillId="22" borderId="178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183" fontId="0" fillId="0" borderId="178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9" fillId="0" borderId="0" xfId="1" applyNumberFormat="1" applyFont="1" applyBorder="1" applyAlignment="1">
      <alignment horizontal="right" vertical="center"/>
    </xf>
    <xf numFmtId="0" fontId="21" fillId="8" borderId="106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9" fillId="0" borderId="0" xfId="1" applyNumberFormat="1" applyFont="1" applyBorder="1" applyAlignment="1">
      <alignment horizontal="right" vertical="center"/>
    </xf>
    <xf numFmtId="0" fontId="21" fillId="8" borderId="106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19" fillId="13" borderId="18" xfId="0" applyFont="1" applyFill="1" applyBorder="1" applyAlignment="1">
      <alignment horizontal="center" vertical="center"/>
    </xf>
    <xf numFmtId="0" fontId="21" fillId="8" borderId="144" xfId="0" applyFont="1" applyFill="1" applyBorder="1" applyAlignment="1">
      <alignment horizontal="left" vertical="center"/>
    </xf>
    <xf numFmtId="0" fontId="24" fillId="14" borderId="18" xfId="0" applyFont="1" applyFill="1" applyBorder="1" applyAlignment="1">
      <alignment horizontal="center" vertical="center"/>
    </xf>
    <xf numFmtId="0" fontId="21" fillId="0" borderId="41" xfId="0" applyFont="1" applyFill="1" applyBorder="1" applyAlignment="1">
      <alignment horizontal="center" vertical="center"/>
    </xf>
    <xf numFmtId="0" fontId="21" fillId="0" borderId="39" xfId="0" applyFont="1" applyFill="1" applyBorder="1" applyAlignment="1">
      <alignment horizontal="center" vertical="center"/>
    </xf>
    <xf numFmtId="0" fontId="21" fillId="0" borderId="149" xfId="0" applyFont="1" applyFill="1" applyBorder="1" applyAlignment="1">
      <alignment horizontal="center" vertical="center"/>
    </xf>
    <xf numFmtId="0" fontId="19" fillId="0" borderId="41" xfId="0" applyFont="1" applyFill="1" applyBorder="1" applyAlignment="1">
      <alignment horizontal="center" vertical="center"/>
    </xf>
    <xf numFmtId="0" fontId="19" fillId="0" borderId="39" xfId="0" applyFont="1" applyFill="1" applyBorder="1" applyAlignment="1">
      <alignment horizontal="center" vertical="center"/>
    </xf>
    <xf numFmtId="0" fontId="19" fillId="0" borderId="149" xfId="0" applyFont="1" applyFill="1" applyBorder="1" applyAlignment="1">
      <alignment horizontal="center" vertical="center"/>
    </xf>
    <xf numFmtId="0" fontId="7" fillId="14" borderId="134" xfId="0" applyFont="1" applyFill="1" applyBorder="1" applyAlignment="1">
      <alignment horizontal="center" vertical="center"/>
    </xf>
    <xf numFmtId="42" fontId="27" fillId="11" borderId="134" xfId="1" applyNumberFormat="1" applyFont="1" applyFill="1" applyBorder="1" applyAlignment="1">
      <alignment horizontal="center" vertical="center"/>
    </xf>
    <xf numFmtId="0" fontId="6" fillId="11" borderId="134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23" fillId="8" borderId="106" xfId="0" applyFont="1" applyFill="1" applyBorder="1" applyAlignment="1">
      <alignment horizontal="center" vertical="center"/>
    </xf>
    <xf numFmtId="0" fontId="21" fillId="8" borderId="106" xfId="0" applyFont="1" applyFill="1" applyBorder="1" applyAlignment="1">
      <alignment horizontal="center" vertical="center"/>
    </xf>
    <xf numFmtId="0" fontId="7" fillId="14" borderId="0" xfId="0" applyFont="1" applyFill="1" applyBorder="1" applyAlignment="1">
      <alignment horizontal="center" vertical="center"/>
    </xf>
    <xf numFmtId="42" fontId="27" fillId="11" borderId="0" xfId="1" applyNumberFormat="1" applyFont="1" applyFill="1" applyBorder="1" applyAlignment="1">
      <alignment horizontal="center" vertical="center"/>
    </xf>
    <xf numFmtId="0" fontId="6" fillId="11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8" borderId="0" xfId="0" applyFont="1" applyFill="1">
      <alignment vertical="center"/>
    </xf>
    <xf numFmtId="0" fontId="0" fillId="8" borderId="0" xfId="0" applyFill="1" applyAlignment="1">
      <alignment horizontal="right" vertical="center"/>
    </xf>
    <xf numFmtId="0" fontId="45" fillId="26" borderId="5" xfId="0" applyFont="1" applyFill="1" applyBorder="1" applyAlignment="1">
      <alignment horizontal="right" vertical="center"/>
    </xf>
    <xf numFmtId="0" fontId="42" fillId="0" borderId="5" xfId="0" applyFont="1" applyBorder="1" applyAlignment="1">
      <alignment horizontal="right" vertical="center"/>
    </xf>
    <xf numFmtId="0" fontId="42" fillId="27" borderId="39" xfId="0" applyFont="1" applyFill="1" applyBorder="1" applyAlignment="1">
      <alignment horizontal="right" vertical="center"/>
    </xf>
    <xf numFmtId="0" fontId="26" fillId="25" borderId="5" xfId="0" applyFont="1" applyFill="1" applyBorder="1" applyAlignment="1">
      <alignment horizontal="right" vertical="center"/>
    </xf>
    <xf numFmtId="0" fontId="26" fillId="29" borderId="161" xfId="0" applyFont="1" applyFill="1" applyBorder="1" applyAlignment="1">
      <alignment horizontal="left" vertical="center"/>
    </xf>
    <xf numFmtId="0" fontId="42" fillId="26" borderId="1" xfId="0" applyFont="1" applyFill="1" applyBorder="1">
      <alignment vertical="center"/>
    </xf>
    <xf numFmtId="0" fontId="31" fillId="8" borderId="0" xfId="0" applyFont="1" applyFill="1">
      <alignment vertical="center"/>
    </xf>
    <xf numFmtId="0" fontId="21" fillId="8" borderId="0" xfId="0" applyFont="1" applyFill="1">
      <alignment vertical="center"/>
    </xf>
    <xf numFmtId="0" fontId="0" fillId="8" borderId="82" xfId="0" applyFill="1" applyBorder="1" applyAlignment="1">
      <alignment horizontal="left" vertical="center"/>
    </xf>
    <xf numFmtId="0" fontId="0" fillId="8" borderId="83" xfId="0" applyFill="1" applyBorder="1" applyAlignment="1">
      <alignment horizontal="left" vertical="center"/>
    </xf>
    <xf numFmtId="0" fontId="0" fillId="8" borderId="84" xfId="0" applyFill="1" applyBorder="1" applyAlignment="1">
      <alignment horizontal="left" vertical="center"/>
    </xf>
    <xf numFmtId="0" fontId="31" fillId="8" borderId="82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2" fontId="0" fillId="8" borderId="0" xfId="1" applyNumberFormat="1" applyFont="1" applyFill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19" fillId="8" borderId="0" xfId="0" applyFont="1" applyFill="1">
      <alignment vertical="center"/>
    </xf>
    <xf numFmtId="0" fontId="34" fillId="20" borderId="39" xfId="0" applyFont="1" applyFill="1" applyBorder="1" applyAlignment="1">
      <alignment horizontal="left" vertical="center" indent="1"/>
    </xf>
    <xf numFmtId="0" fontId="34" fillId="20" borderId="1" xfId="0" applyFont="1" applyFill="1" applyBorder="1" applyAlignment="1">
      <alignment horizontal="left" vertical="center" indent="1"/>
    </xf>
    <xf numFmtId="0" fontId="34" fillId="20" borderId="1" xfId="0" applyFont="1" applyFill="1" applyBorder="1" applyAlignment="1">
      <alignment horizontal="center" vertical="center"/>
    </xf>
    <xf numFmtId="42" fontId="34" fillId="20" borderId="1" xfId="1" applyNumberFormat="1" applyFont="1" applyFill="1" applyBorder="1">
      <alignment vertical="center"/>
    </xf>
    <xf numFmtId="42" fontId="34" fillId="20" borderId="78" xfId="1" applyNumberFormat="1" applyFont="1" applyFill="1" applyBorder="1">
      <alignment vertical="center"/>
    </xf>
    <xf numFmtId="9" fontId="34" fillId="20" borderId="63" xfId="1" applyNumberFormat="1" applyFont="1" applyFill="1" applyBorder="1" applyAlignment="1">
      <alignment horizontal="center" vertical="center"/>
    </xf>
    <xf numFmtId="0" fontId="21" fillId="13" borderId="7" xfId="0" applyFont="1" applyFill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1" fillId="0" borderId="28" xfId="0" quotePrefix="1" applyFont="1" applyBorder="1" applyAlignment="1">
      <alignment horizontal="left" vertical="center" indent="1"/>
    </xf>
    <xf numFmtId="0" fontId="21" fillId="0" borderId="8" xfId="0" applyFont="1" applyBorder="1" applyAlignment="1">
      <alignment horizontal="left" vertical="center"/>
    </xf>
    <xf numFmtId="0" fontId="21" fillId="0" borderId="38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1" fillId="0" borderId="12" xfId="0" quotePrefix="1" applyFont="1" applyBorder="1" applyAlignment="1">
      <alignment horizontal="left" vertical="center" indent="1"/>
    </xf>
    <xf numFmtId="0" fontId="21" fillId="0" borderId="1" xfId="0" applyFont="1" applyBorder="1" applyAlignment="1">
      <alignment horizontal="left" vertical="center"/>
    </xf>
    <xf numFmtId="0" fontId="21" fillId="0" borderId="36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1" fillId="0" borderId="35" xfId="0" applyFont="1" applyBorder="1" applyAlignment="1">
      <alignment horizontal="center" vertical="center"/>
    </xf>
    <xf numFmtId="0" fontId="21" fillId="0" borderId="25" xfId="0" quotePrefix="1" applyFont="1" applyBorder="1" applyAlignment="1">
      <alignment horizontal="left" vertical="center" indent="1"/>
    </xf>
    <xf numFmtId="0" fontId="19" fillId="0" borderId="36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30" xfId="0" quotePrefix="1" applyFont="1" applyBorder="1" applyAlignment="1">
      <alignment horizontal="left" vertical="center" indent="1"/>
    </xf>
    <xf numFmtId="0" fontId="21" fillId="0" borderId="15" xfId="0" applyFont="1" applyBorder="1" applyAlignment="1">
      <alignment horizontal="left" vertical="center"/>
    </xf>
    <xf numFmtId="0" fontId="19" fillId="0" borderId="37" xfId="0" applyFont="1" applyBorder="1" applyAlignment="1">
      <alignment horizontal="center" vertical="center"/>
    </xf>
    <xf numFmtId="42" fontId="4" fillId="14" borderId="18" xfId="0" applyNumberFormat="1" applyFont="1" applyFill="1" applyBorder="1">
      <alignment vertical="center"/>
    </xf>
    <xf numFmtId="0" fontId="4" fillId="14" borderId="65" xfId="0" applyFont="1" applyFill="1" applyBorder="1">
      <alignment vertical="center"/>
    </xf>
    <xf numFmtId="0" fontId="28" fillId="11" borderId="19" xfId="0" applyFont="1" applyFill="1" applyBorder="1">
      <alignment vertical="center"/>
    </xf>
    <xf numFmtId="0" fontId="28" fillId="11" borderId="14" xfId="0" applyFont="1" applyFill="1" applyBorder="1">
      <alignment vertical="center"/>
    </xf>
    <xf numFmtId="0" fontId="8" fillId="2" borderId="19" xfId="0" applyFont="1" applyFill="1" applyBorder="1">
      <alignment vertical="center"/>
    </xf>
    <xf numFmtId="0" fontId="8" fillId="8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left" vertical="center"/>
    </xf>
    <xf numFmtId="0" fontId="8" fillId="8" borderId="0" xfId="0" applyFont="1" applyFill="1">
      <alignment vertical="center"/>
    </xf>
    <xf numFmtId="0" fontId="3" fillId="8" borderId="0" xfId="0" applyFont="1" applyFill="1" applyAlignment="1">
      <alignment horizontal="center" vertical="center"/>
    </xf>
    <xf numFmtId="0" fontId="31" fillId="8" borderId="83" xfId="0" applyFont="1" applyFill="1" applyBorder="1" applyAlignment="1">
      <alignment horizontal="left" vertical="center"/>
    </xf>
    <xf numFmtId="0" fontId="31" fillId="8" borderId="84" xfId="0" applyFont="1" applyFill="1" applyBorder="1" applyAlignment="1">
      <alignment horizontal="left" vertical="center"/>
    </xf>
    <xf numFmtId="0" fontId="21" fillId="22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19" fillId="8" borderId="1" xfId="0" applyFont="1" applyFill="1" applyBorder="1">
      <alignment vertical="center"/>
    </xf>
    <xf numFmtId="0" fontId="21" fillId="8" borderId="0" xfId="0" applyFont="1" applyFill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0" fontId="45" fillId="27" borderId="5" xfId="0" applyFont="1" applyFill="1" applyBorder="1" applyAlignment="1">
      <alignment horizontal="right" vertical="center"/>
    </xf>
    <xf numFmtId="0" fontId="21" fillId="30" borderId="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14" fontId="19" fillId="8" borderId="0" xfId="1" applyNumberFormat="1" applyFont="1" applyFill="1" applyBorder="1" applyAlignment="1">
      <alignment horizontal="right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42" fontId="6" fillId="12" borderId="57" xfId="1" applyNumberFormat="1" applyFont="1" applyFill="1" applyBorder="1" applyAlignment="1">
      <alignment horizontal="center" vertical="center"/>
    </xf>
    <xf numFmtId="42" fontId="6" fillId="12" borderId="58" xfId="1" applyNumberFormat="1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42" fontId="21" fillId="13" borderId="18" xfId="1" applyNumberFormat="1" applyFont="1" applyFill="1" applyBorder="1" applyAlignment="1">
      <alignment horizontal="center" vertical="center"/>
    </xf>
    <xf numFmtId="42" fontId="21" fillId="13" borderId="60" xfId="1" applyNumberFormat="1" applyFont="1" applyFill="1" applyBorder="1" applyAlignment="1">
      <alignment horizontal="center" vertical="center"/>
    </xf>
    <xf numFmtId="0" fontId="21" fillId="13" borderId="19" xfId="0" applyFont="1" applyFill="1" applyBorder="1" applyAlignment="1">
      <alignment horizontal="center" vertical="center"/>
    </xf>
    <xf numFmtId="0" fontId="21" fillId="13" borderId="23" xfId="0" applyFont="1" applyFill="1" applyBorder="1" applyAlignment="1">
      <alignment horizontal="center" vertical="center"/>
    </xf>
    <xf numFmtId="42" fontId="21" fillId="8" borderId="39" xfId="7" applyFont="1" applyFill="1" applyBorder="1" applyAlignment="1">
      <alignment horizontal="center" vertical="center"/>
    </xf>
    <xf numFmtId="42" fontId="21" fillId="8" borderId="62" xfId="7" applyFont="1" applyFill="1" applyBorder="1" applyAlignment="1">
      <alignment horizontal="center" vertical="center"/>
    </xf>
    <xf numFmtId="0" fontId="21" fillId="8" borderId="70" xfId="0" applyFont="1" applyFill="1" applyBorder="1" applyAlignment="1">
      <alignment horizontal="left" vertical="center" indent="1"/>
    </xf>
    <xf numFmtId="0" fontId="21" fillId="8" borderId="11" xfId="0" applyFont="1" applyFill="1" applyBorder="1" applyAlignment="1">
      <alignment horizontal="left" vertical="center" indent="1"/>
    </xf>
    <xf numFmtId="42" fontId="34" fillId="20" borderId="39" xfId="7" applyFont="1" applyFill="1" applyBorder="1" applyAlignment="1">
      <alignment horizontal="center" vertical="center"/>
    </xf>
    <xf numFmtId="42" fontId="34" fillId="20" borderId="62" xfId="7" applyFont="1" applyFill="1" applyBorder="1" applyAlignment="1">
      <alignment horizontal="center" vertical="center"/>
    </xf>
    <xf numFmtId="49" fontId="34" fillId="20" borderId="70" xfId="0" applyNumberFormat="1" applyFont="1" applyFill="1" applyBorder="1" applyAlignment="1">
      <alignment horizontal="left" vertical="center" indent="1"/>
    </xf>
    <xf numFmtId="49" fontId="34" fillId="20" borderId="11" xfId="0" applyNumberFormat="1" applyFont="1" applyFill="1" applyBorder="1" applyAlignment="1">
      <alignment horizontal="left" vertical="center" indent="1"/>
    </xf>
    <xf numFmtId="0" fontId="21" fillId="13" borderId="19" xfId="0" applyFont="1" applyFill="1" applyBorder="1" applyAlignment="1">
      <alignment horizontal="left" vertical="center" indent="1"/>
    </xf>
    <xf numFmtId="0" fontId="21" fillId="13" borderId="23" xfId="0" applyFont="1" applyFill="1" applyBorder="1" applyAlignment="1">
      <alignment horizontal="left" vertical="center" indent="1"/>
    </xf>
    <xf numFmtId="0" fontId="12" fillId="14" borderId="18" xfId="0" applyFont="1" applyFill="1" applyBorder="1" applyAlignment="1">
      <alignment horizontal="center" vertical="center"/>
    </xf>
    <xf numFmtId="0" fontId="12" fillId="14" borderId="19" xfId="0" applyFont="1" applyFill="1" applyBorder="1" applyAlignment="1">
      <alignment horizontal="center" vertical="center"/>
    </xf>
    <xf numFmtId="0" fontId="12" fillId="14" borderId="20" xfId="0" applyFont="1" applyFill="1" applyBorder="1" applyAlignment="1">
      <alignment horizontal="center" vertical="center"/>
    </xf>
    <xf numFmtId="42" fontId="12" fillId="14" borderId="18" xfId="1" applyNumberFormat="1" applyFont="1" applyFill="1" applyBorder="1" applyAlignment="1">
      <alignment horizontal="center" vertical="center"/>
    </xf>
    <xf numFmtId="42" fontId="12" fillId="14" borderId="60" xfId="1" applyNumberFormat="1" applyFont="1" applyFill="1" applyBorder="1" applyAlignment="1">
      <alignment horizontal="center" vertical="center"/>
    </xf>
    <xf numFmtId="0" fontId="24" fillId="14" borderId="19" xfId="0" applyFont="1" applyFill="1" applyBorder="1" applyAlignment="1">
      <alignment horizontal="center" vertical="center"/>
    </xf>
    <xf numFmtId="0" fontId="24" fillId="14" borderId="23" xfId="0" applyFont="1" applyFill="1" applyBorder="1" applyAlignment="1">
      <alignment horizontal="center" vertical="center"/>
    </xf>
    <xf numFmtId="0" fontId="4" fillId="14" borderId="18" xfId="0" applyFont="1" applyFill="1" applyBorder="1" applyAlignment="1">
      <alignment horizontal="center" vertical="center"/>
    </xf>
    <xf numFmtId="0" fontId="4" fillId="14" borderId="19" xfId="0" applyFont="1" applyFill="1" applyBorder="1" applyAlignment="1">
      <alignment horizontal="center" vertical="center"/>
    </xf>
    <xf numFmtId="0" fontId="4" fillId="14" borderId="23" xfId="0" applyFont="1" applyFill="1" applyBorder="1" applyAlignment="1">
      <alignment horizontal="center" vertical="center"/>
    </xf>
    <xf numFmtId="42" fontId="4" fillId="14" borderId="66" xfId="1" applyNumberFormat="1" applyFont="1" applyFill="1" applyBorder="1" applyAlignment="1">
      <alignment horizontal="center" vertical="center"/>
    </xf>
    <xf numFmtId="42" fontId="4" fillId="14" borderId="67" xfId="1" applyNumberFormat="1" applyFont="1" applyFill="1" applyBorder="1" applyAlignment="1">
      <alignment horizontal="center" vertical="center"/>
    </xf>
    <xf numFmtId="0" fontId="7" fillId="14" borderId="19" xfId="0" applyFont="1" applyFill="1" applyBorder="1" applyAlignment="1">
      <alignment horizontal="center" vertical="center"/>
    </xf>
    <xf numFmtId="0" fontId="7" fillId="14" borderId="23" xfId="0" applyFont="1" applyFill="1" applyBorder="1" applyAlignment="1">
      <alignment horizontal="center" vertical="center"/>
    </xf>
    <xf numFmtId="0" fontId="28" fillId="11" borderId="18" xfId="0" applyFont="1" applyFill="1" applyBorder="1" applyAlignment="1">
      <alignment horizontal="center" vertical="center"/>
    </xf>
    <xf numFmtId="0" fontId="28" fillId="11" borderId="19" xfId="0" applyFont="1" applyFill="1" applyBorder="1" applyAlignment="1">
      <alignment horizontal="center" vertical="center"/>
    </xf>
    <xf numFmtId="42" fontId="28" fillId="11" borderId="26" xfId="1" applyNumberFormat="1" applyFont="1" applyFill="1" applyBorder="1" applyAlignment="1">
      <alignment horizontal="center" vertical="center"/>
    </xf>
    <xf numFmtId="42" fontId="28" fillId="11" borderId="42" xfId="1" applyNumberFormat="1" applyFont="1" applyFill="1" applyBorder="1" applyAlignment="1">
      <alignment horizontal="center" vertical="center"/>
    </xf>
    <xf numFmtId="42" fontId="27" fillId="11" borderId="26" xfId="1" applyNumberFormat="1" applyFont="1" applyFill="1" applyBorder="1" applyAlignment="1">
      <alignment horizontal="center" vertical="center"/>
    </xf>
    <xf numFmtId="42" fontId="27" fillId="11" borderId="27" xfId="1" applyNumberFormat="1" applyFont="1" applyFill="1" applyBorder="1" applyAlignment="1">
      <alignment horizontal="center" vertical="center"/>
    </xf>
    <xf numFmtId="42" fontId="27" fillId="11" borderId="42" xfId="1" applyNumberFormat="1" applyFont="1" applyFill="1" applyBorder="1" applyAlignment="1">
      <alignment horizontal="center" vertical="center"/>
    </xf>
    <xf numFmtId="0" fontId="19" fillId="0" borderId="88" xfId="0" applyFont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/>
    </xf>
    <xf numFmtId="0" fontId="19" fillId="0" borderId="89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90" xfId="0" applyFont="1" applyBorder="1" applyAlignment="1">
      <alignment horizontal="center" vertical="center"/>
    </xf>
    <xf numFmtId="0" fontId="19" fillId="0" borderId="42" xfId="0" applyFont="1" applyBorder="1" applyAlignment="1">
      <alignment horizontal="center" vertical="center"/>
    </xf>
    <xf numFmtId="42" fontId="19" fillId="8" borderId="39" xfId="7" applyFont="1" applyFill="1" applyBorder="1" applyAlignment="1">
      <alignment horizontal="center" vertical="center"/>
    </xf>
    <xf numFmtId="42" fontId="19" fillId="8" borderId="62" xfId="7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42" fontId="8" fillId="2" borderId="18" xfId="1" applyNumberFormat="1" applyFont="1" applyFill="1" applyBorder="1" applyAlignment="1">
      <alignment horizontal="center" vertical="center"/>
    </xf>
    <xf numFmtId="42" fontId="8" fillId="2" borderId="23" xfId="1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6" fillId="11" borderId="18" xfId="0" applyFont="1" applyFill="1" applyBorder="1" applyAlignment="1">
      <alignment horizontal="center" vertical="center"/>
    </xf>
    <xf numFmtId="0" fontId="6" fillId="11" borderId="19" xfId="0" applyFont="1" applyFill="1" applyBorder="1" applyAlignment="1">
      <alignment horizontal="center" vertical="center"/>
    </xf>
    <xf numFmtId="0" fontId="6" fillId="11" borderId="23" xfId="0" applyFont="1" applyFill="1" applyBorder="1" applyAlignment="1">
      <alignment horizontal="center" vertical="center"/>
    </xf>
    <xf numFmtId="42" fontId="11" fillId="0" borderId="22" xfId="1" applyNumberFormat="1" applyFont="1" applyBorder="1" applyAlignment="1">
      <alignment horizontal="center" vertical="center"/>
    </xf>
    <xf numFmtId="42" fontId="11" fillId="0" borderId="20" xfId="1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42" fontId="28" fillId="11" borderId="18" xfId="1" applyNumberFormat="1" applyFont="1" applyFill="1" applyBorder="1" applyAlignment="1">
      <alignment horizontal="center" vertical="center"/>
    </xf>
    <xf numFmtId="42" fontId="28" fillId="11" borderId="23" xfId="1" applyNumberFormat="1" applyFont="1" applyFill="1" applyBorder="1" applyAlignment="1">
      <alignment horizontal="center" vertical="center"/>
    </xf>
    <xf numFmtId="0" fontId="6" fillId="11" borderId="26" xfId="0" applyFont="1" applyFill="1" applyBorder="1" applyAlignment="1">
      <alignment horizontal="center" vertical="center"/>
    </xf>
    <xf numFmtId="0" fontId="6" fillId="11" borderId="27" xfId="0" applyFont="1" applyFill="1" applyBorder="1" applyAlignment="1">
      <alignment horizontal="center" vertical="center"/>
    </xf>
    <xf numFmtId="0" fontId="6" fillId="11" borderId="42" xfId="0" applyFont="1" applyFill="1" applyBorder="1" applyAlignment="1">
      <alignment horizontal="center" vertical="center"/>
    </xf>
    <xf numFmtId="0" fontId="31" fillId="8" borderId="82" xfId="0" applyFont="1" applyFill="1" applyBorder="1" applyAlignment="1">
      <alignment horizontal="left" vertical="center" wrapText="1"/>
    </xf>
    <xf numFmtId="0" fontId="31" fillId="8" borderId="83" xfId="0" applyFont="1" applyFill="1" applyBorder="1" applyAlignment="1">
      <alignment horizontal="left" vertical="center"/>
    </xf>
    <xf numFmtId="0" fontId="31" fillId="8" borderId="84" xfId="0" applyFont="1" applyFill="1" applyBorder="1" applyAlignment="1">
      <alignment horizontal="left" vertical="center"/>
    </xf>
    <xf numFmtId="42" fontId="0" fillId="0" borderId="4" xfId="1" applyNumberFormat="1" applyFont="1" applyBorder="1" applyAlignment="1">
      <alignment horizontal="center" vertical="center"/>
    </xf>
    <xf numFmtId="42" fontId="0" fillId="0" borderId="5" xfId="1" applyNumberFormat="1" applyFont="1" applyBorder="1" applyAlignment="1">
      <alignment horizontal="center" vertical="center"/>
    </xf>
    <xf numFmtId="42" fontId="0" fillId="0" borderId="4" xfId="0" applyNumberFormat="1" applyBorder="1" applyAlignment="1">
      <alignment horizontal="center" vertical="center"/>
    </xf>
    <xf numFmtId="42" fontId="0" fillId="0" borderId="5" xfId="0" applyNumberFormat="1" applyBorder="1" applyAlignment="1">
      <alignment horizontal="center" vertical="center"/>
    </xf>
    <xf numFmtId="0" fontId="0" fillId="8" borderId="82" xfId="0" applyFill="1" applyBorder="1" applyAlignment="1">
      <alignment horizontal="left" vertical="center"/>
    </xf>
    <xf numFmtId="0" fontId="0" fillId="8" borderId="83" xfId="0" applyFill="1" applyBorder="1" applyAlignment="1">
      <alignment horizontal="left" vertical="center"/>
    </xf>
    <xf numFmtId="0" fontId="0" fillId="8" borderId="84" xfId="0" applyFill="1" applyBorder="1" applyAlignment="1">
      <alignment horizontal="left" vertical="center"/>
    </xf>
    <xf numFmtId="42" fontId="0" fillId="0" borderId="16" xfId="1" applyNumberFormat="1" applyFont="1" applyBorder="1" applyAlignment="1">
      <alignment horizontal="center" vertical="center"/>
    </xf>
    <xf numFmtId="42" fontId="0" fillId="0" borderId="46" xfId="1" applyNumberFormat="1" applyFont="1" applyBorder="1" applyAlignment="1">
      <alignment horizontal="center" vertical="center"/>
    </xf>
    <xf numFmtId="42" fontId="0" fillId="0" borderId="16" xfId="0" applyNumberFormat="1" applyBorder="1" applyAlignment="1">
      <alignment horizontal="center" vertical="center"/>
    </xf>
    <xf numFmtId="42" fontId="0" fillId="0" borderId="46" xfId="0" applyNumberFormat="1" applyBorder="1" applyAlignment="1">
      <alignment horizontal="center" vertical="center"/>
    </xf>
    <xf numFmtId="0" fontId="30" fillId="8" borderId="85" xfId="0" applyFont="1" applyFill="1" applyBorder="1" applyAlignment="1">
      <alignment horizontal="left" vertical="center"/>
    </xf>
    <xf numFmtId="0" fontId="30" fillId="8" borderId="86" xfId="0" applyFont="1" applyFill="1" applyBorder="1" applyAlignment="1">
      <alignment horizontal="left" vertical="center"/>
    </xf>
    <xf numFmtId="0" fontId="30" fillId="8" borderId="87" xfId="0" applyFont="1" applyFill="1" applyBorder="1" applyAlignment="1">
      <alignment horizontal="left" vertical="center"/>
    </xf>
    <xf numFmtId="42" fontId="0" fillId="0" borderId="9" xfId="1" applyNumberFormat="1" applyFont="1" applyBorder="1" applyAlignment="1">
      <alignment horizontal="center" vertical="center"/>
    </xf>
    <xf numFmtId="42" fontId="0" fillId="0" borderId="40" xfId="1" applyNumberFormat="1" applyFont="1" applyBorder="1" applyAlignment="1">
      <alignment horizontal="center" vertical="center"/>
    </xf>
    <xf numFmtId="42" fontId="0" fillId="0" borderId="9" xfId="0" applyNumberFormat="1" applyBorder="1" applyAlignment="1">
      <alignment horizontal="center" vertical="center"/>
    </xf>
    <xf numFmtId="42" fontId="0" fillId="0" borderId="40" xfId="0" applyNumberFormat="1" applyBorder="1" applyAlignment="1">
      <alignment horizontal="center" vertical="center"/>
    </xf>
    <xf numFmtId="0" fontId="0" fillId="8" borderId="79" xfId="0" applyFill="1" applyBorder="1" applyAlignment="1">
      <alignment horizontal="left" vertical="center" indent="1"/>
    </xf>
    <xf numFmtId="0" fontId="0" fillId="8" borderId="80" xfId="0" applyFill="1" applyBorder="1" applyAlignment="1">
      <alignment horizontal="left" vertical="center" indent="1"/>
    </xf>
    <xf numFmtId="0" fontId="0" fillId="8" borderId="81" xfId="0" applyFill="1" applyBorder="1" applyAlignment="1">
      <alignment horizontal="left" vertical="center" indent="1"/>
    </xf>
    <xf numFmtId="42" fontId="4" fillId="10" borderId="41" xfId="1" applyNumberFormat="1" applyFont="1" applyFill="1" applyBorder="1" applyAlignment="1">
      <alignment horizontal="center" vertical="center" wrapText="1"/>
    </xf>
    <xf numFmtId="42" fontId="4" fillId="10" borderId="40" xfId="1" applyNumberFormat="1" applyFont="1" applyFill="1" applyBorder="1" applyAlignment="1">
      <alignment horizontal="center" vertical="center" wrapText="1"/>
    </xf>
    <xf numFmtId="42" fontId="4" fillId="10" borderId="9" xfId="1" applyNumberFormat="1" applyFont="1" applyFill="1" applyBorder="1" applyAlignment="1">
      <alignment horizontal="center" vertical="center"/>
    </xf>
    <xf numFmtId="42" fontId="4" fillId="10" borderId="40" xfId="1" applyNumberFormat="1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42" fontId="4" fillId="8" borderId="43" xfId="1" applyNumberFormat="1" applyFont="1" applyFill="1" applyBorder="1" applyAlignment="1">
      <alignment horizontal="center" vertical="center" wrapText="1"/>
    </xf>
    <xf numFmtId="42" fontId="4" fillId="8" borderId="68" xfId="1" applyNumberFormat="1" applyFont="1" applyFill="1" applyBorder="1" applyAlignment="1">
      <alignment horizontal="center" vertical="center" wrapText="1"/>
    </xf>
    <xf numFmtId="42" fontId="4" fillId="8" borderId="45" xfId="1" applyNumberFormat="1" applyFont="1" applyFill="1" applyBorder="1" applyAlignment="1">
      <alignment horizontal="center" vertical="center" wrapText="1"/>
    </xf>
    <xf numFmtId="42" fontId="4" fillId="8" borderId="48" xfId="1" applyNumberFormat="1" applyFont="1" applyFill="1" applyBorder="1" applyAlignment="1">
      <alignment horizontal="center" vertical="center" wrapText="1"/>
    </xf>
    <xf numFmtId="42" fontId="4" fillId="8" borderId="26" xfId="1" applyNumberFormat="1" applyFont="1" applyFill="1" applyBorder="1" applyAlignment="1">
      <alignment horizontal="center" vertical="center" wrapText="1"/>
    </xf>
    <xf numFmtId="42" fontId="4" fillId="8" borderId="50" xfId="1" applyNumberFormat="1" applyFont="1" applyFill="1" applyBorder="1" applyAlignment="1">
      <alignment horizontal="center" vertical="center" wrapText="1"/>
    </xf>
    <xf numFmtId="42" fontId="4" fillId="8" borderId="69" xfId="1" applyNumberFormat="1" applyFont="1" applyFill="1" applyBorder="1" applyAlignment="1">
      <alignment horizontal="center" vertical="center"/>
    </xf>
    <xf numFmtId="42" fontId="4" fillId="8" borderId="68" xfId="1" applyNumberFormat="1" applyFont="1" applyFill="1" applyBorder="1" applyAlignment="1">
      <alignment horizontal="center" vertical="center"/>
    </xf>
    <xf numFmtId="42" fontId="4" fillId="8" borderId="47" xfId="1" applyNumberFormat="1" applyFont="1" applyFill="1" applyBorder="1" applyAlignment="1">
      <alignment horizontal="center" vertical="center"/>
    </xf>
    <xf numFmtId="42" fontId="4" fillId="8" borderId="48" xfId="1" applyNumberFormat="1" applyFont="1" applyFill="1" applyBorder="1" applyAlignment="1">
      <alignment horizontal="center" vertical="center"/>
    </xf>
    <xf numFmtId="42" fontId="4" fillId="8" borderId="49" xfId="1" applyNumberFormat="1" applyFont="1" applyFill="1" applyBorder="1" applyAlignment="1">
      <alignment horizontal="center" vertical="center"/>
    </xf>
    <xf numFmtId="42" fontId="4" fillId="8" borderId="50" xfId="1" applyNumberFormat="1" applyFont="1" applyFill="1" applyBorder="1" applyAlignment="1">
      <alignment horizontal="center" vertical="center"/>
    </xf>
    <xf numFmtId="0" fontId="4" fillId="8" borderId="69" xfId="0" applyFont="1" applyFill="1" applyBorder="1" applyAlignment="1">
      <alignment horizontal="center" vertical="center"/>
    </xf>
    <xf numFmtId="0" fontId="4" fillId="8" borderId="44" xfId="0" applyFont="1" applyFill="1" applyBorder="1" applyAlignment="1">
      <alignment horizontal="center" vertical="center"/>
    </xf>
    <xf numFmtId="0" fontId="4" fillId="8" borderId="47" xfId="0" applyFont="1" applyFill="1" applyBorder="1" applyAlignment="1">
      <alignment horizontal="center" vertical="center"/>
    </xf>
    <xf numFmtId="0" fontId="4" fillId="8" borderId="32" xfId="0" applyFont="1" applyFill="1" applyBorder="1" applyAlignment="1">
      <alignment horizontal="center" vertical="center"/>
    </xf>
    <xf numFmtId="0" fontId="4" fillId="8" borderId="49" xfId="0" applyFont="1" applyFill="1" applyBorder="1" applyAlignment="1">
      <alignment horizontal="center" vertical="center"/>
    </xf>
    <xf numFmtId="0" fontId="4" fillId="8" borderId="42" xfId="0" applyFont="1" applyFill="1" applyBorder="1" applyAlignment="1">
      <alignment horizontal="center" vertical="center"/>
    </xf>
    <xf numFmtId="0" fontId="0" fillId="8" borderId="82" xfId="0" applyFill="1" applyBorder="1" applyAlignment="1">
      <alignment horizontal="left" vertical="center" indent="1"/>
    </xf>
    <xf numFmtId="0" fontId="0" fillId="8" borderId="83" xfId="0" applyFill="1" applyBorder="1" applyAlignment="1">
      <alignment horizontal="left" vertical="center" indent="1"/>
    </xf>
    <xf numFmtId="0" fontId="0" fillId="8" borderId="84" xfId="0" applyFill="1" applyBorder="1" applyAlignment="1">
      <alignment horizontal="left" vertical="center" indent="1"/>
    </xf>
    <xf numFmtId="0" fontId="0" fillId="19" borderId="1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22" borderId="2" xfId="0" applyFill="1" applyBorder="1" applyAlignment="1">
      <alignment horizontal="center" vertical="center"/>
    </xf>
    <xf numFmtId="0" fontId="0" fillId="22" borderId="3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42" fontId="21" fillId="28" borderId="39" xfId="7" applyFont="1" applyFill="1" applyBorder="1" applyAlignment="1">
      <alignment horizontal="center" vertical="center"/>
    </xf>
    <xf numFmtId="42" fontId="21" fillId="28" borderId="62" xfId="7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9" fillId="0" borderId="0" xfId="1" applyNumberFormat="1" applyFont="1" applyBorder="1" applyAlignment="1">
      <alignment horizontal="right" vertical="center"/>
    </xf>
    <xf numFmtId="42" fontId="19" fillId="13" borderId="18" xfId="1" applyNumberFormat="1" applyFont="1" applyFill="1" applyBorder="1" applyAlignment="1">
      <alignment horizontal="center" vertical="center"/>
    </xf>
    <xf numFmtId="42" fontId="19" fillId="13" borderId="60" xfId="1" applyNumberFormat="1" applyFont="1" applyFill="1" applyBorder="1" applyAlignment="1">
      <alignment horizontal="center" vertical="center"/>
    </xf>
    <xf numFmtId="42" fontId="35" fillId="8" borderId="39" xfId="7" applyFont="1" applyFill="1" applyBorder="1" applyAlignment="1">
      <alignment horizontal="center" vertical="center"/>
    </xf>
    <xf numFmtId="42" fontId="35" fillId="8" borderId="62" xfId="7" applyFont="1" applyFill="1" applyBorder="1" applyAlignment="1">
      <alignment horizontal="center" vertical="center"/>
    </xf>
    <xf numFmtId="0" fontId="35" fillId="8" borderId="70" xfId="0" applyFont="1" applyFill="1" applyBorder="1" applyAlignment="1">
      <alignment horizontal="left" vertical="center" indent="1"/>
    </xf>
    <xf numFmtId="0" fontId="35" fillId="8" borderId="11" xfId="0" applyFont="1" applyFill="1" applyBorder="1" applyAlignment="1">
      <alignment horizontal="left" vertical="center" indent="1"/>
    </xf>
    <xf numFmtId="0" fontId="21" fillId="0" borderId="94" xfId="0" applyFont="1" applyBorder="1" applyAlignment="1">
      <alignment horizontal="center" vertical="center"/>
    </xf>
    <xf numFmtId="0" fontId="21" fillId="0" borderId="95" xfId="0" applyFont="1" applyBorder="1" applyAlignment="1">
      <alignment horizontal="center" vertical="center"/>
    </xf>
    <xf numFmtId="0" fontId="30" fillId="8" borderId="82" xfId="0" applyFont="1" applyFill="1" applyBorder="1" applyAlignment="1">
      <alignment horizontal="left" vertical="center"/>
    </xf>
    <xf numFmtId="0" fontId="30" fillId="8" borderId="83" xfId="0" applyFont="1" applyFill="1" applyBorder="1" applyAlignment="1">
      <alignment horizontal="left" vertical="center"/>
    </xf>
    <xf numFmtId="0" fontId="30" fillId="8" borderId="84" xfId="0" applyFont="1" applyFill="1" applyBorder="1" applyAlignment="1">
      <alignment horizontal="left" vertical="center"/>
    </xf>
    <xf numFmtId="0" fontId="31" fillId="8" borderId="82" xfId="0" applyFont="1" applyFill="1" applyBorder="1" applyAlignment="1">
      <alignment horizontal="left" vertical="center"/>
    </xf>
    <xf numFmtId="0" fontId="0" fillId="25" borderId="125" xfId="0" applyFill="1" applyBorder="1" applyAlignment="1">
      <alignment horizontal="center" vertical="center"/>
    </xf>
    <xf numFmtId="0" fontId="0" fillId="25" borderId="51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3" fillId="13" borderId="158" xfId="0" applyFont="1" applyFill="1" applyBorder="1" applyAlignment="1">
      <alignment horizontal="center" vertical="center"/>
    </xf>
    <xf numFmtId="0" fontId="3" fillId="13" borderId="159" xfId="0" applyFont="1" applyFill="1" applyBorder="1" applyAlignment="1">
      <alignment horizontal="center" vertical="center"/>
    </xf>
    <xf numFmtId="0" fontId="0" fillId="0" borderId="106" xfId="0" applyBorder="1" applyAlignment="1">
      <alignment horizontal="left" vertical="center"/>
    </xf>
    <xf numFmtId="0" fontId="0" fillId="0" borderId="134" xfId="0" applyBorder="1" applyAlignment="1">
      <alignment horizontal="left" vertical="center"/>
    </xf>
    <xf numFmtId="0" fontId="0" fillId="0" borderId="74" xfId="0" applyBorder="1" applyAlignment="1">
      <alignment horizontal="left" vertical="center"/>
    </xf>
    <xf numFmtId="0" fontId="21" fillId="8" borderId="106" xfId="0" applyFont="1" applyFill="1" applyBorder="1" applyAlignment="1">
      <alignment horizontal="center" vertical="center"/>
    </xf>
    <xf numFmtId="0" fontId="21" fillId="8" borderId="134" xfId="0" applyFont="1" applyFill="1" applyBorder="1" applyAlignment="1">
      <alignment horizontal="center" vertical="center"/>
    </xf>
    <xf numFmtId="0" fontId="21" fillId="8" borderId="74" xfId="0" applyFont="1" applyFill="1" applyBorder="1" applyAlignment="1">
      <alignment horizontal="center" vertical="center"/>
    </xf>
    <xf numFmtId="42" fontId="21" fillId="0" borderId="39" xfId="7" applyFont="1" applyFill="1" applyBorder="1" applyAlignment="1">
      <alignment horizontal="center" vertical="center"/>
    </xf>
    <xf numFmtId="42" fontId="21" fillId="0" borderId="62" xfId="7" applyFont="1" applyFill="1" applyBorder="1" applyAlignment="1">
      <alignment horizontal="center" vertical="center"/>
    </xf>
    <xf numFmtId="0" fontId="21" fillId="0" borderId="70" xfId="0" applyFont="1" applyFill="1" applyBorder="1" applyAlignment="1">
      <alignment horizontal="left" vertical="center" indent="1"/>
    </xf>
    <xf numFmtId="0" fontId="21" fillId="0" borderId="11" xfId="0" applyFont="1" applyFill="1" applyBorder="1" applyAlignment="1">
      <alignment horizontal="left" vertical="center" indent="1"/>
    </xf>
    <xf numFmtId="42" fontId="23" fillId="8" borderId="149" xfId="7" applyFont="1" applyFill="1" applyBorder="1" applyAlignment="1">
      <alignment horizontal="center" vertical="center"/>
    </xf>
    <xf numFmtId="42" fontId="23" fillId="8" borderId="150" xfId="7" applyFont="1" applyFill="1" applyBorder="1" applyAlignment="1">
      <alignment horizontal="center" vertical="center"/>
    </xf>
    <xf numFmtId="0" fontId="23" fillId="8" borderId="147" xfId="0" applyFont="1" applyFill="1" applyBorder="1" applyAlignment="1">
      <alignment horizontal="center" vertical="center"/>
    </xf>
    <xf numFmtId="0" fontId="23" fillId="8" borderId="17" xfId="0" applyFont="1" applyFill="1" applyBorder="1" applyAlignment="1">
      <alignment horizontal="center" vertical="center"/>
    </xf>
    <xf numFmtId="42" fontId="21" fillId="8" borderId="41" xfId="7" applyFont="1" applyFill="1" applyBorder="1" applyAlignment="1">
      <alignment horizontal="center" vertical="center"/>
    </xf>
    <xf numFmtId="42" fontId="21" fillId="8" borderId="146" xfId="7" applyFont="1" applyFill="1" applyBorder="1" applyAlignment="1">
      <alignment horizontal="center" vertical="center"/>
    </xf>
    <xf numFmtId="0" fontId="21" fillId="8" borderId="55" xfId="0" applyFont="1" applyFill="1" applyBorder="1" applyAlignment="1">
      <alignment horizontal="left" vertical="center" indent="1"/>
    </xf>
    <xf numFmtId="0" fontId="21" fillId="8" borderId="10" xfId="0" applyFont="1" applyFill="1" applyBorder="1" applyAlignment="1">
      <alignment horizontal="left" vertical="center" indent="1"/>
    </xf>
    <xf numFmtId="0" fontId="21" fillId="0" borderId="104" xfId="0" applyFont="1" applyFill="1" applyBorder="1" applyAlignment="1">
      <alignment horizontal="left" vertical="center" indent="1"/>
    </xf>
    <xf numFmtId="0" fontId="21" fillId="0" borderId="105" xfId="0" applyFont="1" applyFill="1" applyBorder="1" applyAlignment="1">
      <alignment horizontal="left" vertical="center" indent="1"/>
    </xf>
    <xf numFmtId="0" fontId="21" fillId="0" borderId="107" xfId="0" applyFont="1" applyFill="1" applyBorder="1" applyAlignment="1">
      <alignment horizontal="left" vertical="center" indent="1"/>
    </xf>
    <xf numFmtId="0" fontId="21" fillId="0" borderId="98" xfId="0" applyFont="1" applyFill="1" applyBorder="1" applyAlignment="1">
      <alignment horizontal="left" vertical="center" indent="1"/>
    </xf>
    <xf numFmtId="0" fontId="21" fillId="8" borderId="70" xfId="0" applyFont="1" applyFill="1" applyBorder="1" applyAlignment="1">
      <alignment horizontal="center" vertical="center"/>
    </xf>
    <xf numFmtId="0" fontId="21" fillId="8" borderId="11" xfId="0" applyFont="1" applyFill="1" applyBorder="1" applyAlignment="1">
      <alignment horizontal="center" vertical="center"/>
    </xf>
    <xf numFmtId="0" fontId="21" fillId="0" borderId="70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21" fillId="0" borderId="71" xfId="0" applyFont="1" applyBorder="1" applyAlignment="1">
      <alignment horizontal="center" vertical="center"/>
    </xf>
    <xf numFmtId="0" fontId="21" fillId="0" borderId="72" xfId="0" applyFont="1" applyBorder="1" applyAlignment="1">
      <alignment horizontal="center" vertical="center"/>
    </xf>
    <xf numFmtId="0" fontId="21" fillId="0" borderId="92" xfId="0" applyFont="1" applyBorder="1" applyAlignment="1">
      <alignment horizontal="center" vertical="center"/>
    </xf>
    <xf numFmtId="0" fontId="21" fillId="0" borderId="93" xfId="0" applyFont="1" applyBorder="1" applyAlignment="1">
      <alignment horizontal="center" vertical="center"/>
    </xf>
    <xf numFmtId="0" fontId="21" fillId="8" borderId="147" xfId="0" applyFont="1" applyFill="1" applyBorder="1" applyAlignment="1">
      <alignment horizontal="center" vertical="center"/>
    </xf>
    <xf numFmtId="0" fontId="21" fillId="8" borderId="17" xfId="0" applyFont="1" applyFill="1" applyBorder="1" applyAlignment="1">
      <alignment horizontal="center" vertical="center"/>
    </xf>
    <xf numFmtId="42" fontId="21" fillId="8" borderId="149" xfId="7" applyFont="1" applyFill="1" applyBorder="1" applyAlignment="1">
      <alignment horizontal="center" vertical="center"/>
    </xf>
    <xf numFmtId="42" fontId="21" fillId="8" borderId="150" xfId="7" applyFont="1" applyFill="1" applyBorder="1" applyAlignment="1">
      <alignment horizontal="center" vertical="center"/>
    </xf>
    <xf numFmtId="42" fontId="21" fillId="0" borderId="41" xfId="7" applyFont="1" applyFill="1" applyBorder="1" applyAlignment="1">
      <alignment horizontal="center" vertical="center"/>
    </xf>
    <xf numFmtId="42" fontId="21" fillId="0" borderId="146" xfId="7" applyFont="1" applyFill="1" applyBorder="1" applyAlignment="1">
      <alignment horizontal="center" vertical="center"/>
    </xf>
    <xf numFmtId="0" fontId="21" fillId="0" borderId="55" xfId="0" applyFont="1" applyFill="1" applyBorder="1" applyAlignment="1">
      <alignment horizontal="left" vertical="center" indent="1"/>
    </xf>
    <xf numFmtId="0" fontId="21" fillId="0" borderId="10" xfId="0" applyFont="1" applyFill="1" applyBorder="1" applyAlignment="1">
      <alignment horizontal="left" vertical="center" indent="1"/>
    </xf>
    <xf numFmtId="0" fontId="21" fillId="28" borderId="70" xfId="0" applyFont="1" applyFill="1" applyBorder="1" applyAlignment="1">
      <alignment horizontal="center" vertical="center"/>
    </xf>
    <xf numFmtId="0" fontId="21" fillId="28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21" borderId="2" xfId="0" applyFont="1" applyFill="1" applyBorder="1" applyAlignment="1">
      <alignment horizontal="center" vertical="center" wrapText="1"/>
    </xf>
    <xf numFmtId="0" fontId="21" fillId="21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30" fillId="0" borderId="2" xfId="0" applyFont="1" applyBorder="1" applyAlignment="1">
      <alignment vertical="center"/>
    </xf>
    <xf numFmtId="0" fontId="30" fillId="0" borderId="3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13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20" xfId="0" applyBorder="1" applyAlignment="1">
      <alignment vertical="center"/>
    </xf>
    <xf numFmtId="0" fontId="0" fillId="0" borderId="120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30" fillId="0" borderId="120" xfId="0" applyFont="1" applyBorder="1" applyAlignment="1">
      <alignment vertical="center"/>
    </xf>
    <xf numFmtId="0" fontId="30" fillId="0" borderId="2" xfId="0" applyFont="1" applyBorder="1" applyAlignment="1">
      <alignment horizontal="left" vertical="center"/>
    </xf>
    <xf numFmtId="0" fontId="30" fillId="0" borderId="132" xfId="0" applyFont="1" applyBorder="1" applyAlignment="1">
      <alignment horizontal="left" vertical="center"/>
    </xf>
    <xf numFmtId="0" fontId="30" fillId="0" borderId="3" xfId="0" applyFont="1" applyBorder="1" applyAlignment="1">
      <alignment horizontal="left" vertical="center"/>
    </xf>
    <xf numFmtId="0" fontId="0" fillId="0" borderId="119" xfId="0" applyBorder="1" applyAlignment="1">
      <alignment horizontal="center" vertical="center"/>
    </xf>
    <xf numFmtId="0" fontId="0" fillId="0" borderId="131" xfId="0" applyBorder="1" applyAlignment="1">
      <alignment horizontal="center" vertical="center"/>
    </xf>
    <xf numFmtId="0" fontId="0" fillId="0" borderId="1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120" xfId="0" applyBorder="1" applyAlignment="1">
      <alignment horizontal="left" vertical="center"/>
    </xf>
    <xf numFmtId="0" fontId="21" fillId="21" borderId="106" xfId="0" applyFont="1" applyFill="1" applyBorder="1" applyAlignment="1">
      <alignment horizontal="center" vertical="center"/>
    </xf>
    <xf numFmtId="0" fontId="21" fillId="21" borderId="134" xfId="0" applyFont="1" applyFill="1" applyBorder="1" applyAlignment="1">
      <alignment horizontal="center" vertical="center"/>
    </xf>
    <xf numFmtId="0" fontId="21" fillId="21" borderId="74" xfId="0" applyFont="1" applyFill="1" applyBorder="1" applyAlignment="1">
      <alignment horizontal="center" vertical="center"/>
    </xf>
    <xf numFmtId="42" fontId="21" fillId="20" borderId="39" xfId="7" applyFont="1" applyFill="1" applyBorder="1" applyAlignment="1">
      <alignment horizontal="center" vertical="center"/>
    </xf>
    <xf numFmtId="42" fontId="21" fillId="20" borderId="62" xfId="7" applyFont="1" applyFill="1" applyBorder="1" applyAlignment="1">
      <alignment horizontal="center" vertical="center"/>
    </xf>
    <xf numFmtId="0" fontId="21" fillId="20" borderId="104" xfId="0" applyFont="1" applyFill="1" applyBorder="1" applyAlignment="1">
      <alignment horizontal="left" vertical="center" indent="1"/>
    </xf>
    <xf numFmtId="0" fontId="21" fillId="20" borderId="105" xfId="0" applyFont="1" applyFill="1" applyBorder="1" applyAlignment="1">
      <alignment horizontal="left" vertical="center" indent="1"/>
    </xf>
    <xf numFmtId="0" fontId="21" fillId="20" borderId="107" xfId="0" applyFont="1" applyFill="1" applyBorder="1" applyAlignment="1">
      <alignment horizontal="left" vertical="center" indent="1"/>
    </xf>
    <xf numFmtId="0" fontId="21" fillId="20" borderId="98" xfId="0" applyFont="1" applyFill="1" applyBorder="1" applyAlignment="1">
      <alignment horizontal="left" vertical="center" indent="1"/>
    </xf>
    <xf numFmtId="42" fontId="35" fillId="20" borderId="39" xfId="7" applyFont="1" applyFill="1" applyBorder="1" applyAlignment="1">
      <alignment horizontal="center" vertical="center"/>
    </xf>
    <xf numFmtId="42" fontId="35" fillId="20" borderId="62" xfId="7" applyFont="1" applyFill="1" applyBorder="1" applyAlignment="1">
      <alignment horizontal="center" vertical="center"/>
    </xf>
    <xf numFmtId="0" fontId="35" fillId="20" borderId="70" xfId="0" applyFont="1" applyFill="1" applyBorder="1" applyAlignment="1">
      <alignment horizontal="left" vertical="center" indent="1"/>
    </xf>
    <xf numFmtId="0" fontId="35" fillId="20" borderId="11" xfId="0" applyFont="1" applyFill="1" applyBorder="1" applyAlignment="1">
      <alignment horizontal="left" vertical="center" indent="1"/>
    </xf>
    <xf numFmtId="42" fontId="19" fillId="8" borderId="149" xfId="7" applyFont="1" applyFill="1" applyBorder="1" applyAlignment="1">
      <alignment horizontal="center" vertical="center"/>
    </xf>
    <xf numFmtId="42" fontId="19" fillId="8" borderId="150" xfId="7" applyFont="1" applyFill="1" applyBorder="1" applyAlignment="1">
      <alignment horizontal="center" vertical="center"/>
    </xf>
    <xf numFmtId="0" fontId="37" fillId="20" borderId="70" xfId="0" applyFont="1" applyFill="1" applyBorder="1" applyAlignment="1">
      <alignment horizontal="left" vertical="center" indent="1"/>
    </xf>
    <xf numFmtId="0" fontId="37" fillId="20" borderId="11" xfId="0" applyFont="1" applyFill="1" applyBorder="1" applyAlignment="1">
      <alignment horizontal="left" vertical="center" indent="1"/>
    </xf>
    <xf numFmtId="42" fontId="35" fillId="0" borderId="39" xfId="7" applyFont="1" applyFill="1" applyBorder="1" applyAlignment="1">
      <alignment horizontal="center" vertical="center"/>
    </xf>
    <xf numFmtId="42" fontId="35" fillId="0" borderId="62" xfId="7" applyFont="1" applyFill="1" applyBorder="1" applyAlignment="1">
      <alignment horizontal="center" vertical="center"/>
    </xf>
    <xf numFmtId="0" fontId="35" fillId="0" borderId="70" xfId="0" applyFont="1" applyFill="1" applyBorder="1" applyAlignment="1">
      <alignment horizontal="left" vertical="center" indent="1"/>
    </xf>
    <xf numFmtId="0" fontId="35" fillId="0" borderId="11" xfId="0" applyFont="1" applyFill="1" applyBorder="1" applyAlignment="1">
      <alignment horizontal="left" vertical="center" indent="1"/>
    </xf>
    <xf numFmtId="0" fontId="21" fillId="20" borderId="70" xfId="0" applyFont="1" applyFill="1" applyBorder="1" applyAlignment="1">
      <alignment horizontal="left" vertical="center" indent="1"/>
    </xf>
    <xf numFmtId="0" fontId="21" fillId="20" borderId="11" xfId="0" applyFont="1" applyFill="1" applyBorder="1" applyAlignment="1">
      <alignment horizontal="left" vertical="center" indent="1"/>
    </xf>
    <xf numFmtId="42" fontId="30" fillId="8" borderId="39" xfId="7" applyFont="1" applyFill="1" applyBorder="1" applyAlignment="1">
      <alignment horizontal="center" vertical="center"/>
    </xf>
    <xf numFmtId="42" fontId="30" fillId="8" borderId="62" xfId="7" applyFont="1" applyFill="1" applyBorder="1" applyAlignment="1">
      <alignment horizontal="center" vertical="center"/>
    </xf>
    <xf numFmtId="0" fontId="30" fillId="8" borderId="70" xfId="0" applyFont="1" applyFill="1" applyBorder="1" applyAlignment="1">
      <alignment horizontal="left" vertical="center" indent="1"/>
    </xf>
    <xf numFmtId="0" fontId="30" fillId="8" borderId="11" xfId="0" applyFont="1" applyFill="1" applyBorder="1" applyAlignment="1">
      <alignment horizontal="left" vertical="center" indent="1"/>
    </xf>
    <xf numFmtId="0" fontId="30" fillId="8" borderId="70" xfId="0" applyFont="1" applyFill="1" applyBorder="1" applyAlignment="1">
      <alignment horizontal="center" vertical="center"/>
    </xf>
    <xf numFmtId="0" fontId="30" fillId="8" borderId="11" xfId="0" applyFont="1" applyFill="1" applyBorder="1" applyAlignment="1">
      <alignment horizontal="center" vertical="center"/>
    </xf>
    <xf numFmtId="0" fontId="19" fillId="13" borderId="19" xfId="0" applyFont="1" applyFill="1" applyBorder="1" applyAlignment="1">
      <alignment horizontal="left" vertical="center" indent="1"/>
    </xf>
    <xf numFmtId="0" fontId="19" fillId="13" borderId="23" xfId="0" applyFont="1" applyFill="1" applyBorder="1" applyAlignment="1">
      <alignment horizontal="left" vertical="center" indent="1"/>
    </xf>
    <xf numFmtId="42" fontId="19" fillId="8" borderId="41" xfId="7" applyFont="1" applyFill="1" applyBorder="1" applyAlignment="1">
      <alignment horizontal="center" vertical="center"/>
    </xf>
    <xf numFmtId="42" fontId="19" fillId="8" borderId="146" xfId="7" applyFont="1" applyFill="1" applyBorder="1" applyAlignment="1">
      <alignment horizontal="center" vertical="center"/>
    </xf>
    <xf numFmtId="42" fontId="19" fillId="20" borderId="39" xfId="7" applyFont="1" applyFill="1" applyBorder="1" applyAlignment="1">
      <alignment horizontal="center" vertical="center"/>
    </xf>
    <xf numFmtId="42" fontId="19" fillId="20" borderId="62" xfId="7" applyFont="1" applyFill="1" applyBorder="1" applyAlignment="1">
      <alignment horizontal="center" vertical="center"/>
    </xf>
    <xf numFmtId="42" fontId="19" fillId="0" borderId="39" xfId="7" applyFont="1" applyFill="1" applyBorder="1" applyAlignment="1">
      <alignment horizontal="center" vertical="center"/>
    </xf>
    <xf numFmtId="42" fontId="19" fillId="0" borderId="62" xfId="7" applyFont="1" applyFill="1" applyBorder="1" applyAlignment="1">
      <alignment horizontal="center" vertical="center"/>
    </xf>
    <xf numFmtId="0" fontId="21" fillId="15" borderId="104" xfId="0" applyFont="1" applyFill="1" applyBorder="1" applyAlignment="1">
      <alignment horizontal="left" vertical="center" indent="1"/>
    </xf>
    <xf numFmtId="0" fontId="21" fillId="15" borderId="105" xfId="0" applyFont="1" applyFill="1" applyBorder="1" applyAlignment="1">
      <alignment horizontal="left" vertical="center" indent="1"/>
    </xf>
    <xf numFmtId="0" fontId="21" fillId="15" borderId="107" xfId="0" applyFont="1" applyFill="1" applyBorder="1" applyAlignment="1">
      <alignment horizontal="left" vertical="center" indent="1"/>
    </xf>
    <xf numFmtId="0" fontId="21" fillId="15" borderId="98" xfId="0" applyFont="1" applyFill="1" applyBorder="1" applyAlignment="1">
      <alignment horizontal="left" vertical="center" indent="1"/>
    </xf>
    <xf numFmtId="42" fontId="19" fillId="15" borderId="39" xfId="7" applyFont="1" applyFill="1" applyBorder="1" applyAlignment="1">
      <alignment horizontal="center" vertical="center"/>
    </xf>
    <xf numFmtId="42" fontId="19" fillId="15" borderId="62" xfId="7" applyFont="1" applyFill="1" applyBorder="1" applyAlignment="1">
      <alignment horizontal="center" vertical="center"/>
    </xf>
    <xf numFmtId="0" fontId="19" fillId="13" borderId="19" xfId="0" applyFont="1" applyFill="1" applyBorder="1" applyAlignment="1">
      <alignment horizontal="center" vertical="center"/>
    </xf>
    <xf numFmtId="0" fontId="19" fillId="13" borderId="23" xfId="0" applyFont="1" applyFill="1" applyBorder="1" applyAlignment="1">
      <alignment horizontal="center" vertical="center"/>
    </xf>
    <xf numFmtId="42" fontId="3" fillId="8" borderId="149" xfId="7" applyFont="1" applyFill="1" applyBorder="1" applyAlignment="1">
      <alignment horizontal="center" vertical="center"/>
    </xf>
    <xf numFmtId="42" fontId="3" fillId="8" borderId="150" xfId="7" applyFont="1" applyFill="1" applyBorder="1" applyAlignment="1">
      <alignment horizontal="center" vertical="center"/>
    </xf>
    <xf numFmtId="42" fontId="19" fillId="8" borderId="144" xfId="7" applyFont="1" applyFill="1" applyBorder="1" applyAlignment="1">
      <alignment horizontal="center" vertical="center"/>
    </xf>
    <xf numFmtId="42" fontId="19" fillId="8" borderId="145" xfId="7" applyFont="1" applyFill="1" applyBorder="1" applyAlignment="1">
      <alignment horizontal="center" vertical="center"/>
    </xf>
    <xf numFmtId="0" fontId="21" fillId="8" borderId="104" xfId="0" applyFont="1" applyFill="1" applyBorder="1" applyAlignment="1">
      <alignment horizontal="center" vertical="center"/>
    </xf>
    <xf numFmtId="0" fontId="21" fillId="8" borderId="105" xfId="0" applyFont="1" applyFill="1" applyBorder="1" applyAlignment="1">
      <alignment horizontal="center" vertical="center"/>
    </xf>
    <xf numFmtId="42" fontId="19" fillId="8" borderId="26" xfId="7" applyFont="1" applyFill="1" applyBorder="1" applyAlignment="1">
      <alignment horizontal="center" vertical="center"/>
    </xf>
    <xf numFmtId="42" fontId="19" fillId="8" borderId="130" xfId="7" applyFont="1" applyFill="1" applyBorder="1" applyAlignment="1">
      <alignment horizontal="center" vertical="center"/>
    </xf>
    <xf numFmtId="0" fontId="21" fillId="8" borderId="90" xfId="0" applyFont="1" applyFill="1" applyBorder="1" applyAlignment="1">
      <alignment horizontal="center" vertical="center"/>
    </xf>
    <xf numFmtId="0" fontId="21" fillId="8" borderId="42" xfId="0" applyFont="1" applyFill="1" applyBorder="1" applyAlignment="1">
      <alignment horizontal="center" vertical="center"/>
    </xf>
    <xf numFmtId="0" fontId="21" fillId="8" borderId="107" xfId="0" applyFont="1" applyFill="1" applyBorder="1" applyAlignment="1">
      <alignment horizontal="center" vertical="center"/>
    </xf>
    <xf numFmtId="0" fontId="21" fillId="8" borderId="98" xfId="0" applyFont="1" applyFill="1" applyBorder="1" applyAlignment="1">
      <alignment horizontal="center" vertical="center"/>
    </xf>
    <xf numFmtId="0" fontId="21" fillId="8" borderId="125" xfId="0" applyFont="1" applyFill="1" applyBorder="1" applyAlignment="1">
      <alignment horizontal="center" vertical="center"/>
    </xf>
    <xf numFmtId="0" fontId="21" fillId="8" borderId="92" xfId="0" applyFont="1" applyFill="1" applyBorder="1" applyAlignment="1">
      <alignment horizontal="center" vertical="center"/>
    </xf>
    <xf numFmtId="0" fontId="21" fillId="8" borderId="93" xfId="0" applyFont="1" applyFill="1" applyBorder="1" applyAlignment="1">
      <alignment horizontal="center" vertical="center"/>
    </xf>
    <xf numFmtId="42" fontId="19" fillId="13" borderId="26" xfId="1" applyNumberFormat="1" applyFont="1" applyFill="1" applyBorder="1" applyAlignment="1">
      <alignment horizontal="center" vertical="center"/>
    </xf>
    <xf numFmtId="42" fontId="19" fillId="13" borderId="130" xfId="1" applyNumberFormat="1" applyFont="1" applyFill="1" applyBorder="1" applyAlignment="1">
      <alignment horizontal="center" vertical="center"/>
    </xf>
    <xf numFmtId="0" fontId="21" fillId="13" borderId="27" xfId="0" applyFont="1" applyFill="1" applyBorder="1" applyAlignment="1">
      <alignment horizontal="center" vertical="center"/>
    </xf>
    <xf numFmtId="0" fontId="21" fillId="13" borderId="42" xfId="0" applyFont="1" applyFill="1" applyBorder="1" applyAlignment="1">
      <alignment horizontal="center" vertical="center"/>
    </xf>
    <xf numFmtId="0" fontId="21" fillId="8" borderId="76" xfId="0" applyFont="1" applyFill="1" applyBorder="1" applyAlignment="1">
      <alignment horizontal="center" vertical="center"/>
    </xf>
    <xf numFmtId="0" fontId="21" fillId="8" borderId="10" xfId="0" applyFont="1" applyFill="1" applyBorder="1" applyAlignment="1">
      <alignment horizontal="center" vertical="center"/>
    </xf>
    <xf numFmtId="42" fontId="19" fillId="17" borderId="39" xfId="7" applyFont="1" applyFill="1" applyBorder="1" applyAlignment="1">
      <alignment horizontal="center" vertical="center"/>
    </xf>
    <xf numFmtId="42" fontId="19" fillId="17" borderId="62" xfId="7" applyFont="1" applyFill="1" applyBorder="1" applyAlignment="1">
      <alignment horizontal="center" vertical="center"/>
    </xf>
    <xf numFmtId="0" fontId="21" fillId="8" borderId="89" xfId="0" applyFont="1" applyFill="1" applyBorder="1" applyAlignment="1">
      <alignment horizontal="center" vertical="center"/>
    </xf>
    <xf numFmtId="0" fontId="21" fillId="8" borderId="32" xfId="0" applyFont="1" applyFill="1" applyBorder="1" applyAlignment="1">
      <alignment horizontal="center" vertical="center"/>
    </xf>
    <xf numFmtId="0" fontId="21" fillId="8" borderId="71" xfId="0" applyFont="1" applyFill="1" applyBorder="1" applyAlignment="1">
      <alignment horizontal="center" vertical="center" wrapText="1"/>
    </xf>
    <xf numFmtId="0" fontId="21" fillId="8" borderId="72" xfId="0" applyFont="1" applyFill="1" applyBorder="1" applyAlignment="1">
      <alignment horizontal="center" vertical="center" wrapText="1"/>
    </xf>
    <xf numFmtId="42" fontId="19" fillId="16" borderId="39" xfId="7" applyFont="1" applyFill="1" applyBorder="1" applyAlignment="1">
      <alignment horizontal="center" vertical="center"/>
    </xf>
    <xf numFmtId="42" fontId="19" fillId="16" borderId="62" xfId="7" applyFont="1" applyFill="1" applyBorder="1" applyAlignment="1">
      <alignment horizontal="center" vertical="center"/>
    </xf>
    <xf numFmtId="42" fontId="19" fillId="18" borderId="39" xfId="7" applyFont="1" applyFill="1" applyBorder="1" applyAlignment="1">
      <alignment horizontal="center" vertical="center"/>
    </xf>
    <xf numFmtId="42" fontId="19" fillId="18" borderId="62" xfId="7" applyFont="1" applyFill="1" applyBorder="1" applyAlignment="1">
      <alignment horizontal="center" vertical="center"/>
    </xf>
    <xf numFmtId="42" fontId="19" fillId="13" borderId="43" xfId="1" applyNumberFormat="1" applyFont="1" applyFill="1" applyBorder="1" applyAlignment="1">
      <alignment horizontal="center" vertical="center"/>
    </xf>
    <xf numFmtId="42" fontId="19" fillId="13" borderId="124" xfId="1" applyNumberFormat="1" applyFont="1" applyFill="1" applyBorder="1" applyAlignment="1">
      <alignment horizontal="center" vertical="center"/>
    </xf>
    <xf numFmtId="0" fontId="21" fillId="13" borderId="122" xfId="0" applyFont="1" applyFill="1" applyBorder="1" applyAlignment="1">
      <alignment horizontal="center" vertical="center"/>
    </xf>
    <xf numFmtId="0" fontId="21" fillId="13" borderId="44" xfId="0" applyFont="1" applyFill="1" applyBorder="1" applyAlignment="1">
      <alignment horizontal="center" vertical="center"/>
    </xf>
    <xf numFmtId="42" fontId="19" fillId="15" borderId="41" xfId="7" applyFont="1" applyFill="1" applyBorder="1" applyAlignment="1">
      <alignment horizontal="center" vertical="center"/>
    </xf>
    <xf numFmtId="42" fontId="19" fillId="15" borderId="146" xfId="7" applyFont="1" applyFill="1" applyBorder="1" applyAlignment="1">
      <alignment horizontal="center" vertical="center"/>
    </xf>
    <xf numFmtId="0" fontId="21" fillId="8" borderId="88" xfId="0" applyFont="1" applyFill="1" applyBorder="1" applyAlignment="1">
      <alignment horizontal="center" vertical="center"/>
    </xf>
    <xf numFmtId="0" fontId="21" fillId="8" borderId="44" xfId="0" applyFont="1" applyFill="1" applyBorder="1" applyAlignment="1">
      <alignment horizontal="center" vertical="center"/>
    </xf>
    <xf numFmtId="42" fontId="19" fillId="19" borderId="39" xfId="7" applyFont="1" applyFill="1" applyBorder="1" applyAlignment="1">
      <alignment horizontal="center" vertical="center"/>
    </xf>
    <xf numFmtId="42" fontId="19" fillId="19" borderId="62" xfId="7" applyFont="1" applyFill="1" applyBorder="1" applyAlignment="1">
      <alignment horizontal="center" vertical="center"/>
    </xf>
    <xf numFmtId="0" fontId="21" fillId="8" borderId="139" xfId="0" applyFont="1" applyFill="1" applyBorder="1" applyAlignment="1">
      <alignment horizontal="center" vertical="center"/>
    </xf>
    <xf numFmtId="0" fontId="21" fillId="8" borderId="140" xfId="0" applyFont="1" applyFill="1" applyBorder="1" applyAlignment="1">
      <alignment horizontal="center" vertical="center"/>
    </xf>
    <xf numFmtId="42" fontId="21" fillId="19" borderId="4" xfId="1" applyNumberFormat="1" applyFont="1" applyFill="1" applyBorder="1" applyAlignment="1">
      <alignment horizontal="center" vertical="center"/>
    </xf>
    <xf numFmtId="42" fontId="21" fillId="19" borderId="6" xfId="1" applyNumberFormat="1" applyFont="1" applyFill="1" applyBorder="1" applyAlignment="1">
      <alignment horizontal="center" vertical="center"/>
    </xf>
    <xf numFmtId="42" fontId="21" fillId="19" borderId="62" xfId="1" applyNumberFormat="1" applyFont="1" applyFill="1" applyBorder="1" applyAlignment="1">
      <alignment horizontal="center" vertical="center"/>
    </xf>
    <xf numFmtId="0" fontId="21" fillId="8" borderId="102" xfId="0" applyFont="1" applyFill="1" applyBorder="1" applyAlignment="1">
      <alignment horizontal="center" vertical="center"/>
    </xf>
    <xf numFmtId="0" fontId="21" fillId="8" borderId="103" xfId="0" applyFont="1" applyFill="1" applyBorder="1" applyAlignment="1">
      <alignment horizontal="center" vertical="center"/>
    </xf>
    <xf numFmtId="0" fontId="21" fillId="8" borderId="137" xfId="0" applyFont="1" applyFill="1" applyBorder="1" applyAlignment="1">
      <alignment horizontal="center" vertical="center"/>
    </xf>
    <xf numFmtId="0" fontId="21" fillId="8" borderId="138" xfId="0" applyFont="1" applyFill="1" applyBorder="1" applyAlignment="1">
      <alignment horizontal="center" vertical="center"/>
    </xf>
    <xf numFmtId="42" fontId="19" fillId="19" borderId="41" xfId="7" applyFont="1" applyFill="1" applyBorder="1" applyAlignment="1">
      <alignment horizontal="center" vertical="center"/>
    </xf>
    <xf numFmtId="42" fontId="19" fillId="19" borderId="146" xfId="7" applyFont="1" applyFill="1" applyBorder="1" applyAlignment="1">
      <alignment horizontal="center" vertical="center"/>
    </xf>
    <xf numFmtId="42" fontId="19" fillId="21" borderId="39" xfId="7" applyFont="1" applyFill="1" applyBorder="1" applyAlignment="1">
      <alignment horizontal="center" vertical="center"/>
    </xf>
    <xf numFmtId="42" fontId="19" fillId="21" borderId="62" xfId="7" applyFont="1" applyFill="1" applyBorder="1" applyAlignment="1">
      <alignment horizontal="center" vertical="center"/>
    </xf>
    <xf numFmtId="0" fontId="21" fillId="21" borderId="70" xfId="0" applyFont="1" applyFill="1" applyBorder="1" applyAlignment="1">
      <alignment horizontal="center" vertical="center"/>
    </xf>
    <xf numFmtId="0" fontId="21" fillId="21" borderId="11" xfId="0" applyFont="1" applyFill="1" applyBorder="1" applyAlignment="1">
      <alignment horizontal="center" vertical="center"/>
    </xf>
    <xf numFmtId="0" fontId="21" fillId="20" borderId="70" xfId="0" applyFont="1" applyFill="1" applyBorder="1" applyAlignment="1">
      <alignment horizontal="center" vertical="center"/>
    </xf>
    <xf numFmtId="0" fontId="21" fillId="20" borderId="11" xfId="0" applyFont="1" applyFill="1" applyBorder="1" applyAlignment="1">
      <alignment horizontal="center" vertical="center"/>
    </xf>
    <xf numFmtId="0" fontId="21" fillId="8" borderId="55" xfId="0" applyFont="1" applyFill="1" applyBorder="1" applyAlignment="1">
      <alignment horizontal="center" vertical="center"/>
    </xf>
    <xf numFmtId="0" fontId="21" fillId="15" borderId="70" xfId="0" applyFont="1" applyFill="1" applyBorder="1" applyAlignment="1">
      <alignment horizontal="left" vertical="center" indent="1"/>
    </xf>
    <xf numFmtId="0" fontId="21" fillId="15" borderId="11" xfId="0" applyFont="1" applyFill="1" applyBorder="1" applyAlignment="1">
      <alignment horizontal="left" vertical="center" indent="1"/>
    </xf>
    <xf numFmtId="0" fontId="21" fillId="8" borderId="147" xfId="0" applyFont="1" applyFill="1" applyBorder="1" applyAlignment="1">
      <alignment horizontal="left" vertical="center" indent="1"/>
    </xf>
    <xf numFmtId="0" fontId="21" fillId="8" borderId="17" xfId="0" applyFont="1" applyFill="1" applyBorder="1" applyAlignment="1">
      <alignment horizontal="left" vertical="center" indent="1"/>
    </xf>
    <xf numFmtId="0" fontId="21" fillId="15" borderId="89" xfId="0" applyFont="1" applyFill="1" applyBorder="1" applyAlignment="1">
      <alignment horizontal="left" vertical="center" indent="1"/>
    </xf>
    <xf numFmtId="0" fontId="21" fillId="15" borderId="32" xfId="0" applyFont="1" applyFill="1" applyBorder="1" applyAlignment="1">
      <alignment horizontal="left" vertical="center" indent="1"/>
    </xf>
    <xf numFmtId="42" fontId="21" fillId="15" borderId="39" xfId="7" applyFont="1" applyFill="1" applyBorder="1" applyAlignment="1">
      <alignment horizontal="center" vertical="center"/>
    </xf>
    <xf numFmtId="42" fontId="21" fillId="15" borderId="62" xfId="7" applyFont="1" applyFill="1" applyBorder="1" applyAlignment="1">
      <alignment horizontal="center" vertical="center"/>
    </xf>
    <xf numFmtId="0" fontId="14" fillId="0" borderId="4" xfId="2" applyFont="1" applyBorder="1" applyAlignment="1">
      <alignment horizontal="center" vertical="center"/>
    </xf>
    <xf numFmtId="0" fontId="14" fillId="0" borderId="6" xfId="2" applyFont="1" applyBorder="1" applyAlignment="1">
      <alignment horizontal="center" vertical="center"/>
    </xf>
    <xf numFmtId="0" fontId="14" fillId="0" borderId="5" xfId="2" applyFont="1" applyBorder="1" applyAlignment="1">
      <alignment horizontal="center" vertical="center"/>
    </xf>
    <xf numFmtId="0" fontId="14" fillId="4" borderId="28" xfId="3" applyFont="1" applyFill="1" applyBorder="1" applyAlignment="1">
      <alignment horizontal="center" vertical="center"/>
    </xf>
    <xf numFmtId="0" fontId="15" fillId="4" borderId="8" xfId="3" applyFont="1" applyFill="1" applyBorder="1" applyAlignment="1">
      <alignment vertical="center"/>
    </xf>
    <xf numFmtId="0" fontId="14" fillId="4" borderId="8" xfId="2" applyFont="1" applyFill="1" applyBorder="1" applyAlignment="1">
      <alignment horizontal="center" vertical="center"/>
    </xf>
    <xf numFmtId="0" fontId="14" fillId="4" borderId="29" xfId="2" applyFont="1" applyFill="1" applyBorder="1" applyAlignment="1">
      <alignment horizontal="center" vertical="center"/>
    </xf>
    <xf numFmtId="0" fontId="4" fillId="8" borderId="122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 vertical="center"/>
    </xf>
    <xf numFmtId="0" fontId="4" fillId="10" borderId="55" xfId="0" applyFont="1" applyFill="1" applyBorder="1" applyAlignment="1">
      <alignment horizontal="center" vertical="center"/>
    </xf>
    <xf numFmtId="0" fontId="45" fillId="26" borderId="4" xfId="0" applyFont="1" applyFill="1" applyBorder="1" applyAlignment="1">
      <alignment horizontal="right" vertical="center"/>
    </xf>
    <xf numFmtId="0" fontId="42" fillId="26" borderId="4" xfId="0" applyFont="1" applyFill="1" applyBorder="1">
      <alignment vertical="center"/>
    </xf>
  </cellXfs>
  <cellStyles count="9">
    <cellStyle name="백분율 2" xfId="6" xr:uid="{00000000-0005-0000-0000-000000000000}"/>
    <cellStyle name="쉼표 [0]" xfId="1" builtinId="6"/>
    <cellStyle name="쉼표 [0] 4" xfId="5" xr:uid="{00000000-0005-0000-0000-000002000000}"/>
    <cellStyle name="통화 [0]" xfId="7" builtinId="7"/>
    <cellStyle name="표준" xfId="0" builtinId="0"/>
    <cellStyle name="표준 4" xfId="3" xr:uid="{00000000-0005-0000-0000-000005000000}"/>
    <cellStyle name="표준_2009년소프트웨어노임단가_이노디스_최종" xfId="4" xr:uid="{00000000-0005-0000-0000-000006000000}"/>
    <cellStyle name="표준_상상마당견적서_20050106(1)" xfId="2" xr:uid="{00000000-0005-0000-0000-000007000000}"/>
    <cellStyle name="하이퍼링크" xfId="8" builtinId="8"/>
  </cellStyles>
  <dxfs count="18"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FF9900"/>
      <color rgb="FF0066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pivotCacheDefinition" Target="pivotCache/pivotCacheDefinition1.xml"/><Relationship Id="rId47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pivotCacheDefinition" Target="pivotCache/pivotCacheDefinition2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649941</xdr:colOff>
      <xdr:row>9</xdr:row>
      <xdr:rowOff>21981</xdr:rowOff>
    </xdr:from>
    <xdr:to>
      <xdr:col>25</xdr:col>
      <xdr:colOff>145677</xdr:colOff>
      <xdr:row>9</xdr:row>
      <xdr:rowOff>190500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D5991396-DBA2-4777-887D-412E35945593}"/>
            </a:ext>
          </a:extLst>
        </xdr:cNvPr>
        <xdr:cNvSpPr/>
      </xdr:nvSpPr>
      <xdr:spPr>
        <a:xfrm>
          <a:off x="26660518" y="2014904"/>
          <a:ext cx="184467" cy="168519"/>
        </a:xfrm>
        <a:prstGeom prst="downArrow">
          <a:avLst/>
        </a:prstGeom>
        <a:solidFill>
          <a:schemeClr val="accent2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392207</xdr:colOff>
      <xdr:row>25</xdr:row>
      <xdr:rowOff>0</xdr:rowOff>
    </xdr:from>
    <xdr:to>
      <xdr:col>27</xdr:col>
      <xdr:colOff>434807</xdr:colOff>
      <xdr:row>37</xdr:row>
      <xdr:rowOff>83852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6A0939D-9CE6-4737-AA57-5B0D79F84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95157" y="5305425"/>
          <a:ext cx="4157400" cy="25984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352425</xdr:colOff>
      <xdr:row>2</xdr:row>
      <xdr:rowOff>4647</xdr:rowOff>
    </xdr:from>
    <xdr:to>
      <xdr:col>15</xdr:col>
      <xdr:colOff>352425</xdr:colOff>
      <xdr:row>37</xdr:row>
      <xdr:rowOff>213732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AA22CC93-2BF4-4096-A13E-45CCD483EF06}"/>
            </a:ext>
          </a:extLst>
        </xdr:cNvPr>
        <xdr:cNvCxnSpPr/>
      </xdr:nvCxnSpPr>
      <xdr:spPr>
        <a:xfrm>
          <a:off x="12858750" y="509472"/>
          <a:ext cx="0" cy="7552860"/>
        </a:xfrm>
        <a:prstGeom prst="line">
          <a:avLst/>
        </a:prstGeom>
        <a:ln w="28575"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275139</xdr:colOff>
      <xdr:row>1</xdr:row>
      <xdr:rowOff>117999</xdr:rowOff>
    </xdr:from>
    <xdr:to>
      <xdr:col>15</xdr:col>
      <xdr:colOff>434219</xdr:colOff>
      <xdr:row>1</xdr:row>
      <xdr:rowOff>252811</xdr:rowOff>
    </xdr:to>
    <xdr:sp macro="" textlink="">
      <xdr:nvSpPr>
        <xdr:cNvPr id="3" name="이등변 삼각형 2">
          <a:extLst>
            <a:ext uri="{FF2B5EF4-FFF2-40B4-BE49-F238E27FC236}">
              <a16:creationId xmlns:a16="http://schemas.microsoft.com/office/drawing/2014/main" id="{ECD26A35-5A96-421E-91FF-82B4E286F787}"/>
            </a:ext>
          </a:extLst>
        </xdr:cNvPr>
        <xdr:cNvSpPr/>
      </xdr:nvSpPr>
      <xdr:spPr>
        <a:xfrm rot="10800000">
          <a:off x="12781464" y="327549"/>
          <a:ext cx="159080" cy="134812"/>
        </a:xfrm>
        <a:prstGeom prst="triangle">
          <a:avLst/>
        </a:prstGeom>
        <a:solidFill>
          <a:schemeClr val="accent2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14</xdr:col>
      <xdr:colOff>670930</xdr:colOff>
      <xdr:row>0</xdr:row>
      <xdr:rowOff>115032</xdr:rowOff>
    </xdr:from>
    <xdr:ext cx="689035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60AC5EA-9496-4859-828A-23D2EA8E7173}"/>
            </a:ext>
          </a:extLst>
        </xdr:cNvPr>
        <xdr:cNvSpPr txBox="1"/>
      </xdr:nvSpPr>
      <xdr:spPr>
        <a:xfrm>
          <a:off x="12448312" y="115032"/>
          <a:ext cx="6890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24.09.24</a:t>
          </a:r>
          <a:endParaRPr lang="ko-KR" altLang="en-US" sz="1100" b="1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358588</xdr:colOff>
      <xdr:row>2</xdr:row>
      <xdr:rowOff>4647</xdr:rowOff>
    </xdr:from>
    <xdr:to>
      <xdr:col>10</xdr:col>
      <xdr:colOff>358588</xdr:colOff>
      <xdr:row>37</xdr:row>
      <xdr:rowOff>213732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5B89E797-95B3-4F40-9B25-8C19C9B243B1}"/>
            </a:ext>
          </a:extLst>
        </xdr:cNvPr>
        <xdr:cNvCxnSpPr/>
      </xdr:nvCxnSpPr>
      <xdr:spPr>
        <a:xfrm>
          <a:off x="9446559" y="508912"/>
          <a:ext cx="0" cy="7672202"/>
        </a:xfrm>
        <a:prstGeom prst="line">
          <a:avLst/>
        </a:prstGeom>
        <a:ln w="28575"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285224</xdr:colOff>
      <xdr:row>1</xdr:row>
      <xdr:rowOff>117999</xdr:rowOff>
    </xdr:from>
    <xdr:to>
      <xdr:col>10</xdr:col>
      <xdr:colOff>440382</xdr:colOff>
      <xdr:row>1</xdr:row>
      <xdr:rowOff>252811</xdr:rowOff>
    </xdr:to>
    <xdr:sp macro="" textlink="">
      <xdr:nvSpPr>
        <xdr:cNvPr id="3" name="이등변 삼각형 2">
          <a:extLst>
            <a:ext uri="{FF2B5EF4-FFF2-40B4-BE49-F238E27FC236}">
              <a16:creationId xmlns:a16="http://schemas.microsoft.com/office/drawing/2014/main" id="{C88BD831-10AB-4074-9771-57FA8C500F23}"/>
            </a:ext>
          </a:extLst>
        </xdr:cNvPr>
        <xdr:cNvSpPr/>
      </xdr:nvSpPr>
      <xdr:spPr>
        <a:xfrm rot="10800000">
          <a:off x="9373195" y="330911"/>
          <a:ext cx="155158" cy="134812"/>
        </a:xfrm>
        <a:prstGeom prst="triangle">
          <a:avLst/>
        </a:prstGeom>
        <a:solidFill>
          <a:schemeClr val="accent2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10</xdr:col>
      <xdr:colOff>15946</xdr:colOff>
      <xdr:row>0</xdr:row>
      <xdr:rowOff>115032</xdr:rowOff>
    </xdr:from>
    <xdr:ext cx="689035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5EFBEE1-F94B-4140-B02A-3751811091DC}"/>
            </a:ext>
          </a:extLst>
        </xdr:cNvPr>
        <xdr:cNvSpPr txBox="1"/>
      </xdr:nvSpPr>
      <xdr:spPr>
        <a:xfrm>
          <a:off x="9103917" y="115032"/>
          <a:ext cx="6890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24.08.21</a:t>
          </a:r>
          <a:endParaRPr lang="ko-KR" altLang="en-US" sz="1100" b="1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22412</xdr:colOff>
      <xdr:row>2</xdr:row>
      <xdr:rowOff>4647</xdr:rowOff>
    </xdr:from>
    <xdr:to>
      <xdr:col>9</xdr:col>
      <xdr:colOff>22412</xdr:colOff>
      <xdr:row>37</xdr:row>
      <xdr:rowOff>213732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3B8CA384-48FA-4BAE-A667-65BC5846CAE0}"/>
            </a:ext>
          </a:extLst>
        </xdr:cNvPr>
        <xdr:cNvCxnSpPr/>
      </xdr:nvCxnSpPr>
      <xdr:spPr>
        <a:xfrm>
          <a:off x="8438030" y="508912"/>
          <a:ext cx="0" cy="7459291"/>
        </a:xfrm>
        <a:prstGeom prst="line">
          <a:avLst/>
        </a:prstGeom>
        <a:ln w="28575"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621401</xdr:colOff>
      <xdr:row>1</xdr:row>
      <xdr:rowOff>117999</xdr:rowOff>
    </xdr:from>
    <xdr:to>
      <xdr:col>9</xdr:col>
      <xdr:colOff>104206</xdr:colOff>
      <xdr:row>1</xdr:row>
      <xdr:rowOff>252811</xdr:rowOff>
    </xdr:to>
    <xdr:sp macro="" textlink="">
      <xdr:nvSpPr>
        <xdr:cNvPr id="3" name="이등변 삼각형 2">
          <a:extLst>
            <a:ext uri="{FF2B5EF4-FFF2-40B4-BE49-F238E27FC236}">
              <a16:creationId xmlns:a16="http://schemas.microsoft.com/office/drawing/2014/main" id="{3F58A675-A7F8-4A71-A029-61DE4FAA5D4C}"/>
            </a:ext>
          </a:extLst>
        </xdr:cNvPr>
        <xdr:cNvSpPr/>
      </xdr:nvSpPr>
      <xdr:spPr>
        <a:xfrm rot="10800000">
          <a:off x="8364666" y="330911"/>
          <a:ext cx="155158" cy="134812"/>
        </a:xfrm>
        <a:prstGeom prst="triangle">
          <a:avLst/>
        </a:prstGeom>
        <a:solidFill>
          <a:schemeClr val="accent2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8</xdr:col>
      <xdr:colOff>352123</xdr:colOff>
      <xdr:row>0</xdr:row>
      <xdr:rowOff>115032</xdr:rowOff>
    </xdr:from>
    <xdr:ext cx="689035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E896B55-B341-41C4-BE85-B8960ACE206E}"/>
            </a:ext>
          </a:extLst>
        </xdr:cNvPr>
        <xdr:cNvSpPr txBox="1"/>
      </xdr:nvSpPr>
      <xdr:spPr>
        <a:xfrm>
          <a:off x="8095388" y="115032"/>
          <a:ext cx="6890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24.08.13</a:t>
          </a:r>
          <a:endParaRPr lang="ko-KR" altLang="en-US" sz="1100" b="1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4647</xdr:rowOff>
    </xdr:from>
    <xdr:to>
      <xdr:col>7</xdr:col>
      <xdr:colOff>0</xdr:colOff>
      <xdr:row>36</xdr:row>
      <xdr:rowOff>213732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06C55EF1-219C-4753-B61E-D2764F95018C}"/>
            </a:ext>
          </a:extLst>
        </xdr:cNvPr>
        <xdr:cNvCxnSpPr/>
      </xdr:nvCxnSpPr>
      <xdr:spPr>
        <a:xfrm>
          <a:off x="7096125" y="509472"/>
          <a:ext cx="0" cy="7343310"/>
        </a:xfrm>
        <a:prstGeom prst="line">
          <a:avLst/>
        </a:prstGeom>
        <a:ln w="28575">
          <a:prstDash val="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598989</xdr:colOff>
      <xdr:row>1</xdr:row>
      <xdr:rowOff>117999</xdr:rowOff>
    </xdr:from>
    <xdr:to>
      <xdr:col>7</xdr:col>
      <xdr:colOff>81794</xdr:colOff>
      <xdr:row>1</xdr:row>
      <xdr:rowOff>252811</xdr:rowOff>
    </xdr:to>
    <xdr:sp macro="" textlink="">
      <xdr:nvSpPr>
        <xdr:cNvPr id="3" name="이등변 삼각형 2">
          <a:extLst>
            <a:ext uri="{FF2B5EF4-FFF2-40B4-BE49-F238E27FC236}">
              <a16:creationId xmlns:a16="http://schemas.microsoft.com/office/drawing/2014/main" id="{994AE23C-E8A0-4D9E-BE0D-1DBFB5CB4725}"/>
            </a:ext>
          </a:extLst>
        </xdr:cNvPr>
        <xdr:cNvSpPr/>
      </xdr:nvSpPr>
      <xdr:spPr>
        <a:xfrm rot="10800000">
          <a:off x="6997548" y="330911"/>
          <a:ext cx="155158" cy="134812"/>
        </a:xfrm>
        <a:prstGeom prst="triangle">
          <a:avLst/>
        </a:prstGeom>
        <a:solidFill>
          <a:schemeClr val="accent2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329711</xdr:colOff>
      <xdr:row>0</xdr:row>
      <xdr:rowOff>115032</xdr:rowOff>
    </xdr:from>
    <xdr:ext cx="684803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12586C4-4373-43E0-AF5B-0F117EC90367}"/>
            </a:ext>
          </a:extLst>
        </xdr:cNvPr>
        <xdr:cNvSpPr txBox="1"/>
      </xdr:nvSpPr>
      <xdr:spPr>
        <a:xfrm>
          <a:off x="6749561" y="115032"/>
          <a:ext cx="6848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24.07.26</a:t>
          </a:r>
          <a:endParaRPr lang="ko-KR" altLang="en-US" sz="1100" b="1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806823</xdr:colOff>
      <xdr:row>24</xdr:row>
      <xdr:rowOff>178767</xdr:rowOff>
    </xdr:from>
    <xdr:to>
      <xdr:col>32</xdr:col>
      <xdr:colOff>557655</xdr:colOff>
      <xdr:row>31</xdr:row>
      <xdr:rowOff>43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7B6831C1-CA36-4B09-AD56-F8AB21E91DF4}"/>
            </a:ext>
          </a:extLst>
        </xdr:cNvPr>
        <xdr:cNvGrpSpPr/>
      </xdr:nvGrpSpPr>
      <xdr:grpSpPr>
        <a:xfrm>
          <a:off x="25123588" y="5815326"/>
          <a:ext cx="10564508" cy="1513364"/>
          <a:chOff x="28675853" y="7328647"/>
          <a:chExt cx="13298744" cy="1905043"/>
        </a:xfrm>
      </xdr:grpSpPr>
      <xdr:pic>
        <xdr:nvPicPr>
          <xdr:cNvPr id="2" name="그림 1">
            <a:extLst>
              <a:ext uri="{FF2B5EF4-FFF2-40B4-BE49-F238E27FC236}">
                <a16:creationId xmlns:a16="http://schemas.microsoft.com/office/drawing/2014/main" id="{6285E61E-82F3-4266-B10D-C65CCFF501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8675853" y="8928847"/>
            <a:ext cx="13213019" cy="304843"/>
          </a:xfrm>
          <a:prstGeom prst="rect">
            <a:avLst/>
          </a:prstGeom>
        </xdr:spPr>
      </xdr:pic>
      <xdr:pic>
        <xdr:nvPicPr>
          <xdr:cNvPr id="3" name="그림 2">
            <a:extLst>
              <a:ext uri="{FF2B5EF4-FFF2-40B4-BE49-F238E27FC236}">
                <a16:creationId xmlns:a16="http://schemas.microsoft.com/office/drawing/2014/main" id="{68AFB949-4225-49B9-A5ED-27155476998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8761578" y="7328647"/>
            <a:ext cx="13213019" cy="1600423"/>
          </a:xfrm>
          <a:prstGeom prst="rect">
            <a:avLst/>
          </a:prstGeom>
        </xdr:spPr>
      </xdr:pic>
    </xdr:grpSp>
    <xdr:clientData/>
  </xdr:twoCellAnchor>
  <xdr:twoCellAnchor>
    <xdr:from>
      <xdr:col>23</xdr:col>
      <xdr:colOff>661148</xdr:colOff>
      <xdr:row>31</xdr:row>
      <xdr:rowOff>179294</xdr:rowOff>
    </xdr:from>
    <xdr:to>
      <xdr:col>34</xdr:col>
      <xdr:colOff>163981</xdr:colOff>
      <xdr:row>33</xdr:row>
      <xdr:rowOff>65031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id="{310AC5B5-27C8-4A56-A73A-140491BDC80D}"/>
            </a:ext>
          </a:extLst>
        </xdr:cNvPr>
        <xdr:cNvGrpSpPr/>
      </xdr:nvGrpSpPr>
      <xdr:grpSpPr>
        <a:xfrm>
          <a:off x="29639560" y="7507941"/>
          <a:ext cx="7021980" cy="311561"/>
          <a:chOff x="28485353" y="9827559"/>
          <a:chExt cx="7021980" cy="737384"/>
        </a:xfrm>
      </xdr:grpSpPr>
      <xdr:pic>
        <xdr:nvPicPr>
          <xdr:cNvPr id="5" name="그림 4">
            <a:extLst>
              <a:ext uri="{FF2B5EF4-FFF2-40B4-BE49-F238E27FC236}">
                <a16:creationId xmlns:a16="http://schemas.microsoft.com/office/drawing/2014/main" id="{4671407B-D699-4A20-8B36-A3747EBF40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8810323" y="9827559"/>
            <a:ext cx="6697010" cy="504895"/>
          </a:xfrm>
          <a:prstGeom prst="rect">
            <a:avLst/>
          </a:prstGeom>
        </xdr:spPr>
      </xdr:pic>
      <xdr:pic>
        <xdr:nvPicPr>
          <xdr:cNvPr id="6" name="그림 5">
            <a:extLst>
              <a:ext uri="{FF2B5EF4-FFF2-40B4-BE49-F238E27FC236}">
                <a16:creationId xmlns:a16="http://schemas.microsoft.com/office/drawing/2014/main" id="{D8585D1B-597D-4390-9602-4276113149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8888764" y="10298206"/>
            <a:ext cx="6592220" cy="266737"/>
          </a:xfrm>
          <a:prstGeom prst="rect">
            <a:avLst/>
          </a:prstGeom>
        </xdr:spPr>
      </xdr:pic>
      <xdr:pic>
        <xdr:nvPicPr>
          <xdr:cNvPr id="7" name="그림 6">
            <a:extLst>
              <a:ext uri="{FF2B5EF4-FFF2-40B4-BE49-F238E27FC236}">
                <a16:creationId xmlns:a16="http://schemas.microsoft.com/office/drawing/2014/main" id="{E10382D9-F15A-48DB-8BE2-229476E02E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8485353" y="9883589"/>
            <a:ext cx="438211" cy="552527"/>
          </a:xfrm>
          <a:prstGeom prst="rect">
            <a:avLst/>
          </a:prstGeom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392207</xdr:colOff>
      <xdr:row>25</xdr:row>
      <xdr:rowOff>0</xdr:rowOff>
    </xdr:from>
    <xdr:to>
      <xdr:col>28</xdr:col>
      <xdr:colOff>434807</xdr:colOff>
      <xdr:row>37</xdr:row>
      <xdr:rowOff>83852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41483D9-CEDA-4E5B-AC37-416A5908C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90089" y="7732058"/>
          <a:ext cx="4143953" cy="263879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89648</xdr:colOff>
      <xdr:row>26</xdr:row>
      <xdr:rowOff>11205</xdr:rowOff>
    </xdr:from>
    <xdr:to>
      <xdr:col>29</xdr:col>
      <xdr:colOff>132248</xdr:colOff>
      <xdr:row>38</xdr:row>
      <xdr:rowOff>95057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16410BC-288C-4014-83B1-26700A2BC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71089" y="7720852"/>
          <a:ext cx="4143953" cy="263879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</xdr:colOff>
      <xdr:row>1</xdr:row>
      <xdr:rowOff>200025</xdr:rowOff>
    </xdr:from>
    <xdr:to>
      <xdr:col>14</xdr:col>
      <xdr:colOff>28575</xdr:colOff>
      <xdr:row>8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700F03B-0B67-4DC6-8107-1B57C9BDD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09575"/>
          <a:ext cx="4829175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257175</xdr:colOff>
      <xdr:row>4</xdr:row>
      <xdr:rowOff>19050</xdr:rowOff>
    </xdr:from>
    <xdr:to>
      <xdr:col>7</xdr:col>
      <xdr:colOff>28575</xdr:colOff>
      <xdr:row>6</xdr:row>
      <xdr:rowOff>19050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026FD291-E0A3-4214-849E-A6C37B8ABC25}"/>
            </a:ext>
          </a:extLst>
        </xdr:cNvPr>
        <xdr:cNvSpPr/>
      </xdr:nvSpPr>
      <xdr:spPr>
        <a:xfrm rot="10800000">
          <a:off x="5781675" y="857250"/>
          <a:ext cx="457200" cy="419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1057910</xdr:colOff>
      <xdr:row>4</xdr:row>
      <xdr:rowOff>180975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67E7536-5DDE-4E19-802A-EEE7CD6FA91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4658360" cy="80962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392207</xdr:colOff>
      <xdr:row>37</xdr:row>
      <xdr:rowOff>11205</xdr:rowOff>
    </xdr:from>
    <xdr:to>
      <xdr:col>27</xdr:col>
      <xdr:colOff>434807</xdr:colOff>
      <xdr:row>49</xdr:row>
      <xdr:rowOff>95057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9824976-A088-445F-B179-C13BE615A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95157" y="7831230"/>
          <a:ext cx="4157400" cy="259845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89648</xdr:colOff>
      <xdr:row>36</xdr:row>
      <xdr:rowOff>11205</xdr:rowOff>
    </xdr:from>
    <xdr:to>
      <xdr:col>28</xdr:col>
      <xdr:colOff>132248</xdr:colOff>
      <xdr:row>48</xdr:row>
      <xdr:rowOff>95057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A93590D-F63C-4843-83D8-D3C02377A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78398" y="7612155"/>
          <a:ext cx="4157400" cy="259845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22412</xdr:colOff>
      <xdr:row>34</xdr:row>
      <xdr:rowOff>11205</xdr:rowOff>
    </xdr:from>
    <xdr:to>
      <xdr:col>26</xdr:col>
      <xdr:colOff>65013</xdr:colOff>
      <xdr:row>46</xdr:row>
      <xdr:rowOff>95057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8079838-02DF-43BB-8332-ED5DD5888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6736" y="7295029"/>
          <a:ext cx="4143953" cy="2638793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526677</xdr:colOff>
      <xdr:row>18</xdr:row>
      <xdr:rowOff>0</xdr:rowOff>
    </xdr:from>
    <xdr:to>
      <xdr:col>29</xdr:col>
      <xdr:colOff>123265</xdr:colOff>
      <xdr:row>26</xdr:row>
      <xdr:rowOff>22412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2D40ED3B-39D8-4344-9824-63A846655F38}"/>
            </a:ext>
          </a:extLst>
        </xdr:cNvPr>
        <xdr:cNvSpPr/>
      </xdr:nvSpPr>
      <xdr:spPr>
        <a:xfrm>
          <a:off x="26815677" y="2061882"/>
          <a:ext cx="1647264" cy="25325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257737</xdr:colOff>
      <xdr:row>18</xdr:row>
      <xdr:rowOff>0</xdr:rowOff>
    </xdr:from>
    <xdr:to>
      <xdr:col>31</xdr:col>
      <xdr:colOff>537883</xdr:colOff>
      <xdr:row>26</xdr:row>
      <xdr:rowOff>22412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706291B9-88FE-418E-B0C8-3EC081F9B286}"/>
            </a:ext>
          </a:extLst>
        </xdr:cNvPr>
        <xdr:cNvSpPr/>
      </xdr:nvSpPr>
      <xdr:spPr>
        <a:xfrm>
          <a:off x="28597413" y="2061882"/>
          <a:ext cx="1647264" cy="25325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24</xdr:row>
      <xdr:rowOff>0</xdr:rowOff>
    </xdr:from>
    <xdr:to>
      <xdr:col>28</xdr:col>
      <xdr:colOff>28401</xdr:colOff>
      <xdr:row>39</xdr:row>
      <xdr:rowOff>194338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A41454B-237B-4C78-BB85-5873DA515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21882" y="3014382"/>
          <a:ext cx="2762636" cy="3410426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24</xdr:row>
      <xdr:rowOff>0</xdr:rowOff>
    </xdr:from>
    <xdr:to>
      <xdr:col>28</xdr:col>
      <xdr:colOff>28402</xdr:colOff>
      <xdr:row>39</xdr:row>
      <xdr:rowOff>194338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BDE018E-00D0-4FBA-9F0D-B906DBAD6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36450" y="3590925"/>
          <a:ext cx="2771601" cy="3356638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16</xdr:row>
      <xdr:rowOff>19050</xdr:rowOff>
    </xdr:from>
    <xdr:to>
      <xdr:col>35</xdr:col>
      <xdr:colOff>82051</xdr:colOff>
      <xdr:row>25</xdr:row>
      <xdr:rowOff>187434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3E5770F-CA13-46DF-98CB-A8B4DBE201D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628" t="1742" b="1"/>
        <a:stretch/>
      </xdr:blipFill>
      <xdr:spPr>
        <a:xfrm>
          <a:off x="23412450" y="3209925"/>
          <a:ext cx="9683251" cy="205433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0</xdr:colOff>
      <xdr:row>22</xdr:row>
      <xdr:rowOff>0</xdr:rowOff>
    </xdr:from>
    <xdr:to>
      <xdr:col>29</xdr:col>
      <xdr:colOff>28400</xdr:colOff>
      <xdr:row>37</xdr:row>
      <xdr:rowOff>194338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6655A9B-0CF1-4EAE-B2E6-CAC93052A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41425" y="4619625"/>
          <a:ext cx="2771600" cy="3356638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PROJECT/01.%20&#49340;&#49457;&#51204;&#51088;/2020Y06M_&#47924;&#49440;&#52649;&#51204;&#49884;&#49828;&#53596;%20&#47588;&#45684;&#50620;%20&#47784;&#46300;%20Rework/1.HW/07_&#48176;&#49440;&#46020;/02_&#46020;&#47732;&#51088;&#47308;/&#48512;&#51068;%20&#52964;&#45349;&#53552;%20&#52824;&#49688;%20&#44160;&#53664;_240808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oh YoungGu(노영구)" refreshedDate="45471.654906944445" createdVersion="6" refreshedVersion="6" minRefreshableVersion="3" recordCount="128" xr:uid="{88AD5939-B45D-448E-911A-0C5D6402CC34}">
  <cacheSource type="worksheet">
    <worksheetSource ref="A4:N132" sheet="전매 발주 LIST"/>
  </cacheSource>
  <cacheFields count="14">
    <cacheField name="NO." numFmtId="0">
      <sharedItems containsSemiMixedTypes="0" containsString="0" containsNumber="1" containsInteger="1" minValue="1" maxValue="128"/>
    </cacheField>
    <cacheField name="구분" numFmtId="0">
      <sharedItems/>
    </cacheField>
    <cacheField name="구분 / 품명" numFmtId="0">
      <sharedItems count="58">
        <s v="Oscilloscope"/>
        <s v="Differential Probe / 1.5 kV, 150 MHz, 50:1 / 500:1"/>
        <s v="Passive Probe "/>
        <s v="Current probe / 30A/5A/0.5A 120MHz"/>
        <s v="Bipolar DC Power"/>
        <s v="Low Voltage DC Power (850W, 30V, 25A)"/>
        <s v="Uni. DC power_Master (15kW, 1500V, 30A)"/>
        <s v="Uni. DC power_Slave (15kW, 1500V, 30A)"/>
        <s v="High Voltage Source Meter"/>
        <s v="7½-Digit Graphical Sampling Multimeter"/>
        <s v="Insulation/Withstanding HiTester"/>
        <s v="4-slot, Ether Type CompactDAQ Chassis"/>
        <s v="AO Module"/>
        <s v="DIO Module"/>
        <s v="AI Module"/>
        <s v="기본특성시험 RACK1 - 기본성능검사 제작 외"/>
        <s v="NCT (2kW / H-Class)"/>
        <s v="Voltage Transducer"/>
        <s v="기본특성시험 Pre-Charge Relay Test Circuit Ass'y"/>
        <s v="SSR(32V, 10A)"/>
        <s v="EVR(1000V, 50A)"/>
        <s v="Capacitor / 1000uF"/>
        <s v="1.2ohm Resistor (2kW, 5%)"/>
        <s v="12ohm Resistor (2kW, 5%)"/>
        <s v="기본특성시험 RACK2 - 절연저항, 내전압, 누설전류시험 제작 외"/>
        <s v="24인치 모니터"/>
        <s v="산업용 PC"/>
        <s v="40ohm Resistor (2kW, 5%)"/>
        <s v="1kohm Resistor (2kW, 5%)"/>
        <s v="40ohm Resistor (450V, 4.5kW, 5%)"/>
        <s v="40ohm Resistor (800V, 8kW, 5%)"/>
        <s v="400Mohm Resistor (2kW, 1%)"/>
        <s v="800Mohm Resistor (2kW, 1%)"/>
        <s v="40ohm Resistor (2kW, 5%), 방전저항"/>
        <s v="Shunt Resistor (5A, class 0.2)"/>
        <s v="ScopeCorder"/>
        <s v="High Voltage 1MS/s, 16Bit Isolation Module (2 ch)"/>
        <s v="Measurement  lead set"/>
        <s v="Fork Terminal adapters"/>
        <s v="High-speed 1 MS/s 16-Bit Isolation Module (2 ch)"/>
        <s v="Temperature/high-precision voltage Module (2 ch)"/>
        <s v="메카니컬 신뢰성 시험 RACK1 - Control Rack 제작 외"/>
        <s v="메카니컬 신뢰성 시험 Pre-Charge Relay Test Circuit Ass'y"/>
        <s v="메카니컬 신뢰성 시험 RACK2 - Power Rack 제작 외"/>
        <s v="UPS"/>
        <s v="환경 신뢰성 시험 RACK1 - Control Rack 제작 외"/>
        <s v="환경 신뢰성 시험 Pre-Charge Relay Test Circuit Ass'y"/>
        <s v="환경 신뢰성 시험 RACK2 - Power Rack 제작 외"/>
        <s v="Current probe / DC to 10 MHz bandwidth, 150 Arms"/>
        <s v="내구 ES 수명 시험 RACK1 - Control Rack 제작 외"/>
        <s v="내구 ES 수명 시험 Pre-Charge Relay Test Circuit Ass'y"/>
        <s v="EVR(1000V, 100A)"/>
        <s v="내구 ES 수명 시험 RACK2 - Power Rack 제작 외"/>
        <s v="40ohm Resistor (450V, 4.5kW, 5%), 비정상 차단 모사"/>
        <s v="40ohm Resistor (800V, 8kW, 5%), 비정상 차단 모사"/>
        <s v="외주 SW 개발_메카니컬 환경, 신뢰성 시험"/>
        <s v="SSR(1200V, 25A)" u="1"/>
        <s v="BNC to Banana Conversion Adapter" u="1"/>
      </sharedItems>
    </cacheField>
    <cacheField name="Model / 규격" numFmtId="0">
      <sharedItems containsMixedTypes="1" containsNumber="1" containsInteger="1" minValue="2470" maxValue="758933" count="47">
        <s v="DLM5038-F-HK/M1/P8"/>
        <n v="701978"/>
        <n v="701937"/>
        <n v="702916"/>
        <s v="BP4610"/>
        <s v="DSP030-025HR"/>
        <s v="DSP1500-30WE"/>
        <s v="DSP1500-30WAe"/>
        <n v="2470"/>
        <s v="DMM7510"/>
        <n v="3153"/>
        <s v="cDAQ-9185"/>
        <s v="NI-9269 "/>
        <s v="NI-9426"/>
        <s v="NI-9221"/>
        <s v="RACK1 - 기본성능검사 제작 외"/>
        <s v="BHNCT-HC2K"/>
        <s v="ISOBLOCK V-1C (1500V 5V)"/>
        <s v="Pre-Charge Relay Test Circuit Ass'y"/>
        <s v="WYR1C0310D4"/>
        <s v="EVR50"/>
        <s v="947D102K901CJRSN"/>
        <s v="KZG 2000 1.2KJ"/>
        <s v="KZG 2000 12KJ"/>
        <s v="RACK2 - 절연저항, 내전압, 누설전류시험 제작 외"/>
        <s v="S24C310EAKXKR"/>
        <s v="IPC-610H-BTO / i7-12700, SSD 1T RAID, 16G DDR4-3200, WIN11PRO 64BIT KOR"/>
        <s v="RWH 2kW 40ohm"/>
        <s v="RWH 2kW 1kohm"/>
        <s v="8kW 40J"/>
        <s v="20kW 40J"/>
        <s v="BL 1W 400Mohm"/>
        <s v="BL 1W 800Mohm"/>
        <s v="5A, 50mV, class 0.2"/>
        <s v="DL950-F-HK/M1/ST2/C60/P4"/>
        <n v="720268"/>
        <n v="758933"/>
        <n v="758921"/>
        <n v="701251"/>
        <n v="701265"/>
        <s v="RACK1 - Control Rack 제작 외"/>
        <s v="RACK2 - Power Rack 제작 외"/>
        <s v="SMT1000RMI2UC / APC Smart-UPS 1000VA LCD RM 2U 230V"/>
        <n v="701930"/>
        <s v="EVR100"/>
        <s v="외주 SW 개발_메카니컬 환경, 신뢰성 시험"/>
        <n v="758924" u="1"/>
      </sharedItems>
    </cacheField>
    <cacheField name="Maker" numFmtId="0">
      <sharedItems count="18">
        <s v="YOKOGAWA"/>
        <s v="NF"/>
        <s v="IDRC"/>
        <s v="Keithley"/>
        <s v="HIOKI"/>
        <s v="NI"/>
        <s v="제작품"/>
        <s v="범한"/>
        <s v="verivolt"/>
        <s v="WoonYoung"/>
        <s v="YMTECH"/>
        <s v="CORNELL"/>
        <s v="RARA"/>
        <s v="SAMSUNG"/>
        <s v="어드밴텍"/>
        <s v="파워옴텍"/>
        <s v="APC"/>
        <s v="Altran Magnetics" u="1"/>
      </sharedItems>
    </cacheField>
    <cacheField name="매입처" numFmtId="0">
      <sharedItems count="11">
        <s v="YOKOGAWA"/>
        <s v="NF"/>
        <s v="비오비엔터프라이즈"/>
        <s v="-"/>
        <s v="스마트인스트루먼트"/>
        <s v="고려전자"/>
        <s v="테크앤"/>
        <s v="어드밴텍"/>
        <s v="파워옴텍"/>
        <s v="써미트시스템"/>
        <s v="RLmodel"/>
      </sharedItems>
    </cacheField>
    <cacheField name="수량" numFmtId="0">
      <sharedItems containsSemiMixedTypes="0" containsString="0" containsNumber="1" containsInteger="1" minValue="1" maxValue="6"/>
    </cacheField>
    <cacheField name="단가" numFmtId="42">
      <sharedItems containsString="0" containsBlank="1" containsNumber="1" minValue="0" maxValue="19000000"/>
    </cacheField>
    <cacheField name="정가" numFmtId="42">
      <sharedItems containsString="0" containsBlank="1" containsNumber="1" containsInteger="1" minValue="20000" maxValue="26750000"/>
    </cacheField>
    <cacheField name="원가" numFmtId="42">
      <sharedItems containsString="0" containsBlank="1" containsNumber="1" minValue="0" maxValue="28017000"/>
    </cacheField>
    <cacheField name="Mark-up" numFmtId="9">
      <sharedItems containsSemiMixedTypes="0" containsString="0" containsNumber="1" minValue="0" maxValue="0.3"/>
    </cacheField>
    <cacheField name="견적가" numFmtId="42">
      <sharedItems containsSemiMixedTypes="0" containsString="0" containsNumber="1" containsInteger="1" minValue="0" maxValue="37356000"/>
    </cacheField>
    <cacheField name="비고" numFmtId="0">
      <sharedItems containsBlank="1"/>
    </cacheField>
    <cacheField name="입고 일정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oh YoungGu(노영구)" refreshedDate="45490.587759490743" createdVersion="6" refreshedVersion="6" minRefreshableVersion="3" recordCount="28" xr:uid="{78476F1C-BB2F-4315-BFAD-F13D573C0F9B}">
  <cacheSource type="worksheet">
    <worksheetSource ref="F3:M31" sheet="Sheet1" r:id="rId2"/>
  </cacheSource>
  <cacheFields count="8">
    <cacheField name="1" numFmtId="0">
      <sharedItems/>
    </cacheField>
    <cacheField name="2" numFmtId="0">
      <sharedItems count="11">
        <s v="PRV 200 40ΩJ"/>
        <s v="PRV 200 1kΩJ"/>
        <s v="8kW 40J"/>
        <s v="20kW 40J"/>
        <s v="BL 1W 400Mohm"/>
        <s v="BL 1W 800Mohm"/>
        <s v="5A, 50mV, class 0.2"/>
        <s v="PRV 200 1.2J"/>
        <s v="PRV 200 12J"/>
        <s v="KZG 2000 12KJ" u="1"/>
        <s v="KZG 2000 1.2KJ" u="1"/>
      </sharedItems>
    </cacheField>
    <cacheField name="3" numFmtId="0">
      <sharedItems/>
    </cacheField>
    <cacheField name="4" numFmtId="0">
      <sharedItems/>
    </cacheField>
    <cacheField name="5" numFmtId="0">
      <sharedItems containsSemiMixedTypes="0" containsString="0" containsNumber="1" containsInteger="1" minValue="1" maxValue="6"/>
    </cacheField>
    <cacheField name="6" numFmtId="42">
      <sharedItems containsSemiMixedTypes="0" containsString="0" containsNumber="1" containsInteger="1" minValue="0" maxValue="750000"/>
    </cacheField>
    <cacheField name="7" numFmtId="42">
      <sharedItems containsSemiMixedTypes="0" containsString="0" containsNumber="1" containsInteger="1" minValue="20000" maxValue="1000000"/>
    </cacheField>
    <cacheField name="8" numFmtId="42">
      <sharedItems containsSemiMixedTypes="0" containsString="0" containsNumber="1" containsInteger="1" minValue="0" maxValue="75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">
  <r>
    <n v="1"/>
    <s v="기본특성시험 "/>
    <x v="0"/>
    <x v="0"/>
    <x v="0"/>
    <x v="0"/>
    <n v="1"/>
    <n v="15346359"/>
    <n v="26750000"/>
    <n v="15346359"/>
    <n v="0"/>
    <n v="26750000"/>
    <s v="제어전압/시간,순단시간 측정 "/>
    <s v="20WD"/>
  </r>
  <r>
    <n v="2"/>
    <s v="기본특성시험 "/>
    <x v="1"/>
    <x v="1"/>
    <x v="0"/>
    <x v="0"/>
    <n v="2"/>
    <n v="1079568"/>
    <n v="2025000"/>
    <n v="2159136"/>
    <n v="0"/>
    <n v="4050000"/>
    <s v="인가전압 2 측정"/>
    <s v="2M"/>
  </r>
  <r>
    <n v="3"/>
    <s v="기본특성시험 "/>
    <x v="2"/>
    <x v="2"/>
    <x v="0"/>
    <x v="0"/>
    <n v="1"/>
    <m/>
    <m/>
    <m/>
    <n v="0"/>
    <n v="0"/>
    <s v="제어전압 1 측정, 기본품 사용"/>
    <m/>
  </r>
  <r>
    <n v="4"/>
    <s v="기본특성시험 "/>
    <x v="3"/>
    <x v="3"/>
    <x v="0"/>
    <x v="0"/>
    <n v="1"/>
    <n v="5802677.9999999991"/>
    <n v="8712000"/>
    <n v="5802677.9999999991"/>
    <n v="0"/>
    <n v="8712000"/>
    <s v="인가전류 1 / 필요시 수량 변경 가능성 有"/>
    <m/>
  </r>
  <r>
    <n v="5"/>
    <s v="기본특성시험 "/>
    <x v="4"/>
    <x v="4"/>
    <x v="1"/>
    <x v="1"/>
    <n v="1"/>
    <n v="6011004.0000000009"/>
    <n v="11825000"/>
    <n v="6011004.0000000009"/>
    <n v="0"/>
    <n v="11825000"/>
    <s v="제어전원용, 12V/0~50mA, 순단0.5s~0.9s, 100Hz이하 구형파 구현"/>
    <s v="2~4M"/>
  </r>
  <r>
    <n v="6"/>
    <s v="기본특성시험 "/>
    <x v="5"/>
    <x v="5"/>
    <x v="2"/>
    <x v="2"/>
    <n v="1"/>
    <n v="1731750"/>
    <n v="2309000"/>
    <n v="1731750"/>
    <n v="0"/>
    <n v="2309000"/>
    <s v="인가전압 0~24V, 850W"/>
    <s v="12W"/>
  </r>
  <r>
    <n v="7"/>
    <s v="기본특성시험 "/>
    <x v="6"/>
    <x v="6"/>
    <x v="2"/>
    <x v="2"/>
    <n v="1"/>
    <n v="14394750"/>
    <n v="19193000"/>
    <n v="14394750"/>
    <n v="0"/>
    <n v="19193000"/>
    <s v="인가전압 450, 800V"/>
    <s v="12W"/>
  </r>
  <r>
    <n v="8"/>
    <s v="기본특성시험 "/>
    <x v="7"/>
    <x v="7"/>
    <x v="2"/>
    <x v="2"/>
    <n v="1"/>
    <n v="14008500"/>
    <n v="18678000"/>
    <n v="14008500"/>
    <n v="0"/>
    <n v="18678000"/>
    <m/>
    <s v="12W"/>
  </r>
  <r>
    <n v="9"/>
    <s v="기본특성시험 "/>
    <x v="8"/>
    <x v="8"/>
    <x v="3"/>
    <x v="3"/>
    <n v="1"/>
    <n v="14960000"/>
    <n v="17600000"/>
    <n v="14960000"/>
    <n v="0"/>
    <n v="17600000"/>
    <s v="누설전류측정 "/>
    <m/>
  </r>
  <r>
    <n v="10"/>
    <s v="기본특성시험 "/>
    <x v="9"/>
    <x v="9"/>
    <x v="3"/>
    <x v="3"/>
    <n v="1"/>
    <n v="6273000"/>
    <n v="7380000"/>
    <n v="6273000"/>
    <n v="0"/>
    <n v="7380000"/>
    <s v="접촉저항측정용 전압강하 측정"/>
    <m/>
  </r>
  <r>
    <n v="11"/>
    <s v="기본특성시험 "/>
    <x v="10"/>
    <x v="10"/>
    <x v="4"/>
    <x v="3"/>
    <n v="1"/>
    <n v="8088000"/>
    <n v="10784000"/>
    <n v="8088000"/>
    <n v="0"/>
    <n v="10784000"/>
    <s v="절연저항, 내전압 측정 "/>
    <m/>
  </r>
  <r>
    <n v="12"/>
    <s v="기본특성시험 "/>
    <x v="11"/>
    <x v="11"/>
    <x v="5"/>
    <x v="4"/>
    <n v="1"/>
    <n v="2422500"/>
    <n v="2550000"/>
    <n v="2422500"/>
    <n v="0"/>
    <n v="2550000"/>
    <m/>
    <s v="4W"/>
  </r>
  <r>
    <n v="13"/>
    <s v="기본특성시험 "/>
    <x v="12"/>
    <x v="12"/>
    <x v="5"/>
    <x v="4"/>
    <n v="1"/>
    <n v="2242000"/>
    <n v="2360000"/>
    <n v="2242000"/>
    <n v="0"/>
    <n v="2360000"/>
    <s v="제어전압 PWM 1(spare), Dis char SW싱크 1(spare)"/>
    <s v="4W"/>
  </r>
  <r>
    <n v="14"/>
    <s v="기본특성시험 "/>
    <x v="13"/>
    <x v="13"/>
    <x v="5"/>
    <x v="4"/>
    <n v="1"/>
    <n v="836000"/>
    <n v="880000"/>
    <n v="836000"/>
    <n v="0"/>
    <n v="880000"/>
    <s v="SW 제어용 2 (spare)"/>
    <s v="4W"/>
  </r>
  <r>
    <n v="15"/>
    <s v="기본특성시험 "/>
    <x v="14"/>
    <x v="14"/>
    <x v="5"/>
    <x v="4"/>
    <n v="1"/>
    <n v="1396500"/>
    <n v="1470000"/>
    <n v="1396500"/>
    <n v="0"/>
    <n v="1470000"/>
    <s v="방전전압 모니터링 1, 제어전류 1(+shunt 5A)"/>
    <s v="4W"/>
  </r>
  <r>
    <n v="16"/>
    <s v="기본특성시험 "/>
    <x v="15"/>
    <x v="15"/>
    <x v="6"/>
    <x v="5"/>
    <n v="1"/>
    <n v="4500000"/>
    <n v="4500000"/>
    <n v="4500000"/>
    <n v="0.3"/>
    <n v="5850000"/>
    <s v="장비개별 사용 가능하게 구성(마운트X)"/>
    <s v="제품 입고 후, 2W"/>
  </r>
  <r>
    <n v="17"/>
    <s v="기본특성시험 "/>
    <x v="16"/>
    <x v="16"/>
    <x v="7"/>
    <x v="5"/>
    <n v="1"/>
    <n v="200000"/>
    <n v="200000"/>
    <n v="200000"/>
    <n v="0.3"/>
    <n v="260000"/>
    <m/>
    <m/>
  </r>
  <r>
    <n v="18"/>
    <s v="기본특성시험 "/>
    <x v="17"/>
    <x v="17"/>
    <x v="8"/>
    <x v="5"/>
    <n v="1"/>
    <n v="450000"/>
    <n v="500000"/>
    <n v="450000"/>
    <n v="0"/>
    <n v="500000"/>
    <s v="방전전압 확인용 1+@판넬메터 적용(rack제작포함)"/>
    <m/>
  </r>
  <r>
    <n v="19"/>
    <s v="기본특성시험 "/>
    <x v="18"/>
    <x v="18"/>
    <x v="6"/>
    <x v="5"/>
    <n v="1"/>
    <n v="1000000"/>
    <n v="1000000"/>
    <n v="1000000"/>
    <n v="0.3"/>
    <n v="1300000"/>
    <m/>
    <m/>
  </r>
  <r>
    <n v="55"/>
    <s v="기본특성시험 "/>
    <x v="19"/>
    <x v="19"/>
    <x v="9"/>
    <x v="5"/>
    <n v="1"/>
    <n v="20000"/>
    <n v="20000"/>
    <n v="20000"/>
    <n v="0.3"/>
    <n v="26000"/>
    <m/>
    <m/>
  </r>
  <r>
    <n v="20"/>
    <s v="기본특성시험 "/>
    <x v="20"/>
    <x v="20"/>
    <x v="10"/>
    <x v="5"/>
    <n v="1"/>
    <n v="50000"/>
    <n v="50000"/>
    <n v="50000"/>
    <n v="0.3"/>
    <n v="65000"/>
    <s v="방전용 1, 고전압출력 CC용 1"/>
    <s v="납기상 EVR 적용필요, 4W"/>
  </r>
  <r>
    <n v="21"/>
    <s v="기본특성시험 "/>
    <x v="21"/>
    <x v="21"/>
    <x v="11"/>
    <x v="5"/>
    <n v="1"/>
    <n v="250000"/>
    <n v="250000"/>
    <n v="250000"/>
    <n v="0.3"/>
    <n v="325000"/>
    <s v="RC회로 C"/>
    <m/>
  </r>
  <r>
    <n v="22"/>
    <s v="기본특성시험 "/>
    <x v="22"/>
    <x v="22"/>
    <x v="12"/>
    <x v="5"/>
    <n v="1"/>
    <n v="70000"/>
    <n v="70000"/>
    <n v="70000"/>
    <n v="0.3"/>
    <n v="91000"/>
    <s v="R회로"/>
    <m/>
  </r>
  <r>
    <n v="23"/>
    <s v="기본특성시험 "/>
    <x v="23"/>
    <x v="23"/>
    <x v="12"/>
    <x v="5"/>
    <n v="1"/>
    <n v="70000"/>
    <n v="70000"/>
    <n v="70000"/>
    <n v="0.3"/>
    <n v="91000"/>
    <s v="R회로"/>
    <m/>
  </r>
  <r>
    <n v="24"/>
    <s v="기본특성시험 "/>
    <x v="24"/>
    <x v="24"/>
    <x v="6"/>
    <x v="5"/>
    <n v="1"/>
    <n v="3500000"/>
    <n v="3500000"/>
    <n v="3500000"/>
    <n v="0.3"/>
    <n v="4550000"/>
    <m/>
    <m/>
  </r>
  <r>
    <n v="25"/>
    <s v="기본특성시험 "/>
    <x v="25"/>
    <x v="25"/>
    <x v="13"/>
    <x v="6"/>
    <n v="1"/>
    <n v="140000"/>
    <n v="200000"/>
    <n v="140000"/>
    <n v="0.3"/>
    <n v="260000"/>
    <m/>
    <s v="1 W"/>
  </r>
  <r>
    <n v="26"/>
    <s v="기본특성시험 "/>
    <x v="26"/>
    <x v="26"/>
    <x v="14"/>
    <x v="7"/>
    <n v="1"/>
    <n v="2630000"/>
    <n v="3000000"/>
    <n v="2630000"/>
    <n v="0.3"/>
    <n v="3900000"/>
    <m/>
    <s v="2 W"/>
  </r>
  <r>
    <n v="27"/>
    <s v="기본특성시험 "/>
    <x v="27"/>
    <x v="27"/>
    <x v="15"/>
    <x v="8"/>
    <n v="1"/>
    <n v="65000"/>
    <n v="70000"/>
    <n v="65000"/>
    <n v="0.3"/>
    <n v="91000"/>
    <s v="RC회로 R"/>
    <s v="1 M"/>
  </r>
  <r>
    <n v="28"/>
    <s v="기본특성시험 "/>
    <x v="28"/>
    <x v="28"/>
    <x v="15"/>
    <x v="8"/>
    <n v="1"/>
    <n v="65000"/>
    <n v="70000"/>
    <n v="65000"/>
    <n v="0.3"/>
    <n v="91000"/>
    <s v="R회로(up to 1000W)"/>
    <s v="1 M"/>
  </r>
  <r>
    <n v="29"/>
    <s v="기본특성시험 "/>
    <x v="29"/>
    <x v="29"/>
    <x v="15"/>
    <x v="8"/>
    <n v="1"/>
    <n v="750000"/>
    <n v="450000"/>
    <n v="750000"/>
    <n v="0.3"/>
    <n v="585000"/>
    <s v="R회로, 5kW 450V 40옴 11.25A"/>
    <s v="1 M"/>
  </r>
  <r>
    <n v="30"/>
    <s v="기본특성시험 "/>
    <x v="30"/>
    <x v="30"/>
    <x v="15"/>
    <x v="8"/>
    <n v="1"/>
    <n v="0"/>
    <n v="1000000"/>
    <n v="0"/>
    <n v="0.3"/>
    <n v="1300000"/>
    <s v="R회로, 16kW 800V 40옴 20A"/>
    <s v="1 M"/>
  </r>
  <r>
    <n v="31"/>
    <s v="기본특성시험 "/>
    <x v="31"/>
    <x v="31"/>
    <x v="15"/>
    <x v="8"/>
    <n v="1"/>
    <n v="70000"/>
    <n v="70000"/>
    <n v="70000"/>
    <n v="0.3"/>
    <n v="91000"/>
    <s v="R회로(up to 4uW)"/>
    <s v="1 M"/>
  </r>
  <r>
    <n v="32"/>
    <s v="기본특성시험 "/>
    <x v="32"/>
    <x v="32"/>
    <x v="15"/>
    <x v="8"/>
    <n v="1"/>
    <n v="70000"/>
    <n v="70000"/>
    <n v="70000"/>
    <n v="0.3"/>
    <n v="91000"/>
    <s v="R회로(up to 8uW)"/>
    <s v="1 M"/>
  </r>
  <r>
    <n v="33"/>
    <s v="기본특성시험 "/>
    <x v="33"/>
    <x v="27"/>
    <x v="15"/>
    <x v="8"/>
    <n v="1"/>
    <n v="65000"/>
    <n v="70000"/>
    <n v="65000"/>
    <n v="0.3"/>
    <n v="91000"/>
    <s v="CAP 방전용"/>
    <s v="1 M"/>
  </r>
  <r>
    <n v="34"/>
    <s v="기본특성시험 "/>
    <x v="34"/>
    <x v="33"/>
    <x v="15"/>
    <x v="8"/>
    <n v="1"/>
    <n v="10000"/>
    <n v="20000"/>
    <n v="10000"/>
    <n v="0.3"/>
    <n v="26000"/>
    <s v="제어전류 1 Shunt 저항"/>
    <s v="1 M"/>
  </r>
  <r>
    <n v="35"/>
    <s v="메카니컬 신뢰성 시험"/>
    <x v="35"/>
    <x v="34"/>
    <x v="0"/>
    <x v="0"/>
    <n v="1"/>
    <n v="13476607.199999999"/>
    <n v="24756000"/>
    <n v="13476607.199999999"/>
    <n v="0"/>
    <n v="24756000"/>
    <s v="제어인가전압전류/시간,순단시간 측정 "/>
    <m/>
  </r>
  <r>
    <n v="36"/>
    <s v="메카니컬 신뢰성 시험"/>
    <x v="36"/>
    <x v="35"/>
    <x v="0"/>
    <x v="0"/>
    <n v="2"/>
    <n v="1081277.3159999999"/>
    <n v="1806000"/>
    <n v="2162554.6319999998"/>
    <n v="0"/>
    <n v="3612000"/>
    <s v="제어전압 1, 제어전류 1(shunt), 인가전압 2"/>
    <m/>
  </r>
  <r>
    <n v="37"/>
    <s v="메카니컬 신뢰성 시험"/>
    <x v="37"/>
    <x v="36"/>
    <x v="0"/>
    <x v="0"/>
    <n v="4"/>
    <n v="33743.996999999996"/>
    <n v="62000"/>
    <n v="134975.98799999998"/>
    <n v="0"/>
    <n v="248000"/>
    <s v="제어전압 1, 제어전류 1(shunt), 인가전압 2 케이블"/>
    <m/>
  </r>
  <r>
    <n v="38"/>
    <s v="메카니컬 신뢰성 시험"/>
    <x v="38"/>
    <x v="37"/>
    <x v="0"/>
    <x v="0"/>
    <n v="4"/>
    <n v="28923.425999999996"/>
    <n v="54000"/>
    <n v="115693.70399999998"/>
    <n v="0"/>
    <n v="216000"/>
    <s v="제어전압 1, 제어전류 1(shunt), 인가전압 2 포크터미널"/>
    <m/>
  </r>
  <r>
    <n v="39"/>
    <s v="메카니컬 신뢰성 시험"/>
    <x v="39"/>
    <x v="38"/>
    <x v="0"/>
    <x v="0"/>
    <n v="1"/>
    <n v="1081277.3159999999"/>
    <n v="1806000"/>
    <n v="1081277.3159999999"/>
    <n v="0"/>
    <n v="1806000"/>
    <s v="인가전류 1"/>
    <m/>
  </r>
  <r>
    <n v="40"/>
    <s v="메카니컬 신뢰성 시험"/>
    <x v="3"/>
    <x v="3"/>
    <x v="0"/>
    <x v="0"/>
    <n v="1"/>
    <n v="5802677.9999999991"/>
    <n v="8712000"/>
    <n v="5802677.9999999991"/>
    <n v="0"/>
    <n v="8712000"/>
    <s v="인가전류 1 probe"/>
    <m/>
  </r>
  <r>
    <n v="42"/>
    <s v="메카니컬 신뢰성 시험"/>
    <x v="40"/>
    <x v="39"/>
    <x v="0"/>
    <x v="0"/>
    <n v="2"/>
    <n v="1035845.4959999999"/>
    <n v="1723000"/>
    <n v="2071690.9919999999"/>
    <n v="0"/>
    <n v="3446000"/>
    <s v="온도 3"/>
    <m/>
  </r>
  <r>
    <n v="43"/>
    <s v="메카니컬 신뢰성 시험"/>
    <x v="4"/>
    <x v="4"/>
    <x v="1"/>
    <x v="1"/>
    <n v="1"/>
    <n v="6011004.0000000009"/>
    <n v="11825000"/>
    <n v="6011004.0000000009"/>
    <n v="0"/>
    <n v="11825000"/>
    <s v="제어전원용, 12V/0~50mA, 순단0.5s~0.9s, 100Hz이하 구형파 구현"/>
    <m/>
  </r>
  <r>
    <n v="44"/>
    <s v="메카니컬 신뢰성 시험"/>
    <x v="5"/>
    <x v="5"/>
    <x v="2"/>
    <x v="2"/>
    <n v="1"/>
    <n v="1731750"/>
    <n v="2309000"/>
    <n v="1731750"/>
    <n v="0"/>
    <n v="2309000"/>
    <s v="인가전압 12V"/>
    <s v="12W"/>
  </r>
  <r>
    <n v="45"/>
    <s v="메카니컬 신뢰성 시험"/>
    <x v="6"/>
    <x v="6"/>
    <x v="2"/>
    <x v="2"/>
    <n v="1"/>
    <n v="14394750"/>
    <n v="19193000"/>
    <n v="14394750"/>
    <n v="0"/>
    <n v="19193000"/>
    <s v="인가전압 450, 800V"/>
    <s v="12W"/>
  </r>
  <r>
    <n v="46"/>
    <s v="메카니컬 신뢰성 시험"/>
    <x v="7"/>
    <x v="7"/>
    <x v="2"/>
    <x v="2"/>
    <n v="1"/>
    <n v="14008500"/>
    <n v="18678000"/>
    <n v="14008500"/>
    <n v="0"/>
    <n v="18678000"/>
    <m/>
    <s v="12W"/>
  </r>
  <r>
    <n v="47"/>
    <s v="메카니컬 신뢰성 시험"/>
    <x v="11"/>
    <x v="11"/>
    <x v="5"/>
    <x v="4"/>
    <n v="1"/>
    <n v="2422500"/>
    <n v="2550000"/>
    <n v="2422500"/>
    <n v="0"/>
    <n v="2550000"/>
    <m/>
    <s v="4W"/>
  </r>
  <r>
    <n v="48"/>
    <s v="메카니컬 신뢰성 시험"/>
    <x v="12"/>
    <x v="12"/>
    <x v="5"/>
    <x v="4"/>
    <n v="1"/>
    <n v="2242000"/>
    <n v="2360000"/>
    <n v="2242000"/>
    <n v="0"/>
    <n v="2360000"/>
    <s v="제어측 SSR제어 3, Dis char SW싱크 1(spare)"/>
    <s v="4W"/>
  </r>
  <r>
    <n v="49"/>
    <s v="메카니컬 신뢰성 시험"/>
    <x v="13"/>
    <x v="13"/>
    <x v="5"/>
    <x v="4"/>
    <n v="1"/>
    <n v="836000"/>
    <n v="880000"/>
    <n v="836000"/>
    <n v="0"/>
    <n v="880000"/>
    <s v="인가전압측 SSR제어 4"/>
    <s v="4W"/>
  </r>
  <r>
    <n v="50"/>
    <s v="메카니컬 신뢰성 시험"/>
    <x v="14"/>
    <x v="14"/>
    <x v="5"/>
    <x v="4"/>
    <n v="1"/>
    <n v="1396500"/>
    <n v="1470000"/>
    <n v="1396500"/>
    <n v="0"/>
    <n v="1470000"/>
    <s v="방전전압 모니터링 1"/>
    <s v="4W"/>
  </r>
  <r>
    <n v="51"/>
    <s v="메카니컬 신뢰성 시험"/>
    <x v="41"/>
    <x v="40"/>
    <x v="6"/>
    <x v="5"/>
    <n v="1"/>
    <n v="4000000"/>
    <n v="4000000"/>
    <n v="4000000"/>
    <n v="0.3"/>
    <n v="5200000"/>
    <m/>
    <m/>
  </r>
  <r>
    <n v="52"/>
    <s v="메카니컬 신뢰성 시험"/>
    <x v="16"/>
    <x v="16"/>
    <x v="7"/>
    <x v="5"/>
    <n v="1"/>
    <n v="200000"/>
    <n v="200000"/>
    <n v="200000"/>
    <n v="0.3"/>
    <n v="260000"/>
    <m/>
    <m/>
  </r>
  <r>
    <n v="53"/>
    <s v="메카니컬 신뢰성 시험"/>
    <x v="17"/>
    <x v="17"/>
    <x v="8"/>
    <x v="5"/>
    <n v="1"/>
    <n v="450000"/>
    <n v="500000"/>
    <n v="450000"/>
    <n v="0"/>
    <n v="500000"/>
    <s v="방전 전압 확인용 1+@판넬메터 적용(rack제작포함)"/>
    <m/>
  </r>
  <r>
    <n v="54"/>
    <s v="메카니컬 신뢰성 시험"/>
    <x v="42"/>
    <x v="18"/>
    <x v="6"/>
    <x v="5"/>
    <n v="1"/>
    <n v="1000000"/>
    <n v="1000000"/>
    <n v="1000000"/>
    <n v="0.3"/>
    <n v="1300000"/>
    <m/>
    <m/>
  </r>
  <r>
    <n v="55"/>
    <s v="메카니컬 신뢰성 시험"/>
    <x v="19"/>
    <x v="19"/>
    <x v="9"/>
    <x v="5"/>
    <n v="3"/>
    <n v="20000"/>
    <n v="20000"/>
    <n v="60000"/>
    <n v="0.3"/>
    <n v="78000"/>
    <m/>
    <m/>
  </r>
  <r>
    <n v="56"/>
    <s v="메카니컬 신뢰성 시험"/>
    <x v="20"/>
    <x v="20"/>
    <x v="10"/>
    <x v="5"/>
    <n v="4"/>
    <n v="50000"/>
    <n v="50000"/>
    <n v="200000"/>
    <n v="0.3"/>
    <n v="260000"/>
    <m/>
    <m/>
  </r>
  <r>
    <n v="57"/>
    <s v="메카니컬 신뢰성 시험"/>
    <x v="21"/>
    <x v="21"/>
    <x v="11"/>
    <x v="5"/>
    <n v="1"/>
    <n v="250000"/>
    <n v="250000"/>
    <n v="250000"/>
    <n v="0.3"/>
    <n v="325000"/>
    <s v="RC회로 C"/>
    <m/>
  </r>
  <r>
    <n v="58"/>
    <s v="메카니컬 신뢰성 시험"/>
    <x v="43"/>
    <x v="41"/>
    <x v="6"/>
    <x v="5"/>
    <n v="1"/>
    <n v="3500000"/>
    <n v="3500000"/>
    <n v="3500000"/>
    <n v="0.3"/>
    <n v="4550000"/>
    <m/>
    <m/>
  </r>
  <r>
    <n v="59"/>
    <s v="메카니컬 신뢰성 시험"/>
    <x v="44"/>
    <x v="42"/>
    <x v="16"/>
    <x v="9"/>
    <n v="1"/>
    <n v="530000"/>
    <n v="530000"/>
    <n v="530000"/>
    <n v="0.3"/>
    <n v="689000"/>
    <m/>
    <s v="2 D"/>
  </r>
  <r>
    <n v="60"/>
    <s v="메카니컬 신뢰성 시험"/>
    <x v="25"/>
    <x v="25"/>
    <x v="13"/>
    <x v="6"/>
    <n v="1"/>
    <n v="140000"/>
    <n v="200000"/>
    <n v="140000"/>
    <n v="0.3"/>
    <n v="260000"/>
    <m/>
    <s v="1 W"/>
  </r>
  <r>
    <n v="61"/>
    <s v="메카니컬 신뢰성 시험"/>
    <x v="26"/>
    <x v="26"/>
    <x v="14"/>
    <x v="7"/>
    <n v="1"/>
    <n v="2630000"/>
    <n v="3000000"/>
    <n v="2630000"/>
    <n v="0.3"/>
    <n v="3900000"/>
    <m/>
    <s v="2 W"/>
  </r>
  <r>
    <n v="62"/>
    <s v="메카니컬 신뢰성 시험"/>
    <x v="27"/>
    <x v="27"/>
    <x v="15"/>
    <x v="8"/>
    <n v="1"/>
    <n v="65000"/>
    <n v="70000"/>
    <n v="65000"/>
    <n v="0.3"/>
    <n v="91000"/>
    <s v="RC회로 R"/>
    <s v="1 M"/>
  </r>
  <r>
    <n v="63"/>
    <s v="메카니컬 신뢰성 시험"/>
    <x v="28"/>
    <x v="28"/>
    <x v="15"/>
    <x v="8"/>
    <n v="1"/>
    <n v="65000"/>
    <n v="70000"/>
    <n v="65000"/>
    <n v="0.3"/>
    <n v="91000"/>
    <s v="R회로"/>
    <s v="1 M"/>
  </r>
  <r>
    <n v="64"/>
    <s v="메카니컬 신뢰성 시험"/>
    <x v="33"/>
    <x v="27"/>
    <x v="15"/>
    <x v="8"/>
    <n v="1"/>
    <n v="65000"/>
    <n v="70000"/>
    <n v="70000"/>
    <n v="0.3"/>
    <n v="91000"/>
    <s v="CAP 방전용"/>
    <s v="1 M"/>
  </r>
  <r>
    <n v="65"/>
    <s v="메카니컬 신뢰성 시험"/>
    <x v="34"/>
    <x v="33"/>
    <x v="15"/>
    <x v="8"/>
    <n v="1"/>
    <n v="10000"/>
    <n v="20000"/>
    <n v="10000"/>
    <n v="0.3"/>
    <n v="26000"/>
    <s v="제어전류 1 Shunt 저항"/>
    <s v="1 M"/>
  </r>
  <r>
    <n v="66"/>
    <s v="환경 신뢰성 시험"/>
    <x v="35"/>
    <x v="34"/>
    <x v="0"/>
    <x v="0"/>
    <n v="1"/>
    <n v="13476607.199999999"/>
    <n v="24756000"/>
    <n v="13476607.199999999"/>
    <n v="0"/>
    <n v="24756000"/>
    <s v="제어인가전압전류/시간,순단시간 측정 "/>
    <m/>
  </r>
  <r>
    <n v="67"/>
    <s v="환경 신뢰성 시험"/>
    <x v="36"/>
    <x v="35"/>
    <x v="0"/>
    <x v="0"/>
    <n v="2"/>
    <n v="1081277.3159999999"/>
    <n v="1806000"/>
    <n v="2162554.6319999998"/>
    <n v="0"/>
    <n v="3612000"/>
    <s v="제어전압 1, 제어전류 1(shunt), 인가전압 2"/>
    <m/>
  </r>
  <r>
    <n v="68"/>
    <s v="환경 신뢰성 시험"/>
    <x v="37"/>
    <x v="36"/>
    <x v="0"/>
    <x v="0"/>
    <n v="4"/>
    <n v="33743.996999999996"/>
    <n v="62000"/>
    <n v="134975.98799999998"/>
    <n v="0"/>
    <n v="248000"/>
    <s v="제어전압 1, 제어전류 1(shunt), 인가전압 2 케이블"/>
    <m/>
  </r>
  <r>
    <n v="69"/>
    <s v="환경 신뢰성 시험"/>
    <x v="38"/>
    <x v="37"/>
    <x v="0"/>
    <x v="0"/>
    <n v="4"/>
    <n v="28923.425999999996"/>
    <n v="54000"/>
    <n v="115693.70399999998"/>
    <n v="0"/>
    <n v="216000"/>
    <s v="제어전압 1, 제어전류 1(shunt), 인가전압 2 포크터미널"/>
    <m/>
  </r>
  <r>
    <n v="70"/>
    <s v="환경 신뢰성 시험"/>
    <x v="39"/>
    <x v="38"/>
    <x v="0"/>
    <x v="0"/>
    <n v="1"/>
    <n v="1081277.3159999999"/>
    <n v="1806000"/>
    <n v="1081277.3159999999"/>
    <n v="0"/>
    <n v="1806000"/>
    <s v="인가전류 1"/>
    <m/>
  </r>
  <r>
    <n v="71"/>
    <s v="환경 신뢰성 시험"/>
    <x v="3"/>
    <x v="3"/>
    <x v="0"/>
    <x v="0"/>
    <n v="1"/>
    <n v="5802677.9999999991"/>
    <n v="8712000"/>
    <n v="5802677.9999999991"/>
    <n v="0"/>
    <n v="8712000"/>
    <s v="인가전류 1 probe"/>
    <m/>
  </r>
  <r>
    <n v="72"/>
    <s v="환경 신뢰성 시험"/>
    <x v="40"/>
    <x v="39"/>
    <x v="0"/>
    <x v="0"/>
    <n v="2"/>
    <n v="1035845.4959999999"/>
    <n v="1723000"/>
    <n v="2071690.9919999999"/>
    <n v="0"/>
    <n v="3446000"/>
    <s v="온도 3"/>
    <m/>
  </r>
  <r>
    <n v="73"/>
    <s v="환경 신뢰성 시험"/>
    <x v="4"/>
    <x v="4"/>
    <x v="1"/>
    <x v="1"/>
    <n v="1"/>
    <n v="6011004.0000000009"/>
    <n v="11825000"/>
    <n v="6011004.0000000009"/>
    <n v="0"/>
    <n v="11825000"/>
    <s v="제어전원용, 12V/0~50mA, 순단0.5s~0.9s, 100Hz이하 구형파 구현"/>
    <m/>
  </r>
  <r>
    <n v="74"/>
    <s v="환경 신뢰성 시험"/>
    <x v="5"/>
    <x v="5"/>
    <x v="2"/>
    <x v="2"/>
    <n v="1"/>
    <n v="1731750"/>
    <n v="2309000"/>
    <n v="1731750"/>
    <n v="0"/>
    <n v="2309000"/>
    <s v="인가전압 12V"/>
    <m/>
  </r>
  <r>
    <n v="75"/>
    <s v="환경 신뢰성 시험"/>
    <x v="6"/>
    <x v="6"/>
    <x v="2"/>
    <x v="2"/>
    <n v="1"/>
    <n v="14394750"/>
    <n v="19193000"/>
    <n v="14394750"/>
    <n v="0"/>
    <n v="19193000"/>
    <s v="인가전압 450, 800V"/>
    <m/>
  </r>
  <r>
    <n v="76"/>
    <s v="환경 신뢰성 시험"/>
    <x v="7"/>
    <x v="7"/>
    <x v="2"/>
    <x v="2"/>
    <n v="1"/>
    <n v="14008500"/>
    <n v="18678000"/>
    <n v="14008500"/>
    <n v="0"/>
    <n v="18678000"/>
    <m/>
    <m/>
  </r>
  <r>
    <n v="77"/>
    <s v="환경 신뢰성 시험"/>
    <x v="11"/>
    <x v="11"/>
    <x v="5"/>
    <x v="4"/>
    <n v="1"/>
    <n v="2422500"/>
    <n v="2550000"/>
    <n v="2422500"/>
    <n v="0"/>
    <n v="2550000"/>
    <m/>
    <s v="4W"/>
  </r>
  <r>
    <n v="78"/>
    <s v="환경 신뢰성 시험"/>
    <x v="12"/>
    <x v="12"/>
    <x v="5"/>
    <x v="4"/>
    <n v="1"/>
    <n v="2242000"/>
    <n v="2360000"/>
    <n v="2242000"/>
    <n v="0"/>
    <n v="2360000"/>
    <s v="제어측 SSR제어 3, Dis char SW싱크 1(spare)"/>
    <s v="4W"/>
  </r>
  <r>
    <n v="79"/>
    <s v="환경 신뢰성 시험"/>
    <x v="13"/>
    <x v="13"/>
    <x v="5"/>
    <x v="4"/>
    <n v="1"/>
    <n v="836000"/>
    <n v="880000"/>
    <n v="836000"/>
    <n v="0"/>
    <n v="880000"/>
    <s v="인가전압측 SSR제어 4"/>
    <s v="4W"/>
  </r>
  <r>
    <n v="80"/>
    <s v="환경 신뢰성 시험"/>
    <x v="14"/>
    <x v="14"/>
    <x v="5"/>
    <x v="4"/>
    <n v="1"/>
    <n v="1396500"/>
    <n v="1470000"/>
    <n v="1396500"/>
    <n v="0"/>
    <n v="1470000"/>
    <s v="방전전압 모니터링 1"/>
    <s v="4W"/>
  </r>
  <r>
    <n v="81"/>
    <s v="환경 신뢰성 시험"/>
    <x v="45"/>
    <x v="40"/>
    <x v="6"/>
    <x v="5"/>
    <n v="1"/>
    <n v="4000000"/>
    <n v="4000000"/>
    <n v="4000000"/>
    <n v="0.3"/>
    <n v="5200000"/>
    <m/>
    <m/>
  </r>
  <r>
    <n v="82"/>
    <s v="환경 신뢰성 시험"/>
    <x v="16"/>
    <x v="16"/>
    <x v="7"/>
    <x v="5"/>
    <n v="1"/>
    <n v="200000"/>
    <n v="200000"/>
    <n v="200000"/>
    <n v="0.3"/>
    <n v="260000"/>
    <m/>
    <m/>
  </r>
  <r>
    <n v="83"/>
    <s v="환경 신뢰성 시험"/>
    <x v="17"/>
    <x v="17"/>
    <x v="8"/>
    <x v="5"/>
    <n v="1"/>
    <n v="450000"/>
    <n v="500000"/>
    <n v="450000"/>
    <n v="0"/>
    <n v="500000"/>
    <s v="방전 전압 확인용 1+@판넬메터 적용(rack제작포함)"/>
    <m/>
  </r>
  <r>
    <n v="84"/>
    <s v="환경 신뢰성 시험"/>
    <x v="46"/>
    <x v="18"/>
    <x v="6"/>
    <x v="5"/>
    <n v="1"/>
    <n v="1000000"/>
    <n v="1000000"/>
    <n v="1000000"/>
    <n v="0.3"/>
    <n v="1300000"/>
    <m/>
    <m/>
  </r>
  <r>
    <n v="85"/>
    <s v="환경 신뢰성 시험"/>
    <x v="19"/>
    <x v="19"/>
    <x v="9"/>
    <x v="5"/>
    <n v="3"/>
    <n v="20000"/>
    <n v="20000"/>
    <n v="60000"/>
    <n v="0.3"/>
    <n v="78000"/>
    <m/>
    <m/>
  </r>
  <r>
    <n v="86"/>
    <s v="환경 신뢰성 시험"/>
    <x v="20"/>
    <x v="20"/>
    <x v="10"/>
    <x v="5"/>
    <n v="4"/>
    <n v="50000"/>
    <n v="50000"/>
    <n v="200000"/>
    <n v="0.3"/>
    <n v="260000"/>
    <m/>
    <m/>
  </r>
  <r>
    <n v="87"/>
    <s v="환경 신뢰성 시험"/>
    <x v="21"/>
    <x v="21"/>
    <x v="11"/>
    <x v="5"/>
    <n v="1"/>
    <n v="250000"/>
    <n v="250000"/>
    <n v="250000"/>
    <n v="0.3"/>
    <n v="325000"/>
    <s v="RC회로 C"/>
    <m/>
  </r>
  <r>
    <n v="88"/>
    <s v="환경 신뢰성 시험"/>
    <x v="47"/>
    <x v="41"/>
    <x v="6"/>
    <x v="5"/>
    <n v="1"/>
    <n v="3500000"/>
    <n v="3500000"/>
    <n v="3500000"/>
    <n v="0.3"/>
    <n v="4550000"/>
    <m/>
    <m/>
  </r>
  <r>
    <n v="89"/>
    <s v="환경 신뢰성 시험"/>
    <x v="44"/>
    <x v="42"/>
    <x v="16"/>
    <x v="9"/>
    <n v="1"/>
    <n v="530000"/>
    <n v="530000"/>
    <n v="530000"/>
    <n v="0.3"/>
    <n v="689000"/>
    <m/>
    <s v="2 D"/>
  </r>
  <r>
    <n v="90"/>
    <s v="환경 신뢰성 시험"/>
    <x v="25"/>
    <x v="25"/>
    <x v="13"/>
    <x v="6"/>
    <n v="1"/>
    <n v="140000"/>
    <n v="200000"/>
    <n v="140000"/>
    <n v="0.3"/>
    <n v="260000"/>
    <m/>
    <s v="1 W"/>
  </r>
  <r>
    <n v="91"/>
    <s v="환경 신뢰성 시험"/>
    <x v="26"/>
    <x v="26"/>
    <x v="14"/>
    <x v="7"/>
    <n v="1"/>
    <n v="2630000"/>
    <n v="3000000"/>
    <n v="2630000"/>
    <n v="0.3"/>
    <n v="3900000"/>
    <m/>
    <s v="2 W"/>
  </r>
  <r>
    <n v="92"/>
    <s v="환경 신뢰성 시험"/>
    <x v="27"/>
    <x v="27"/>
    <x v="15"/>
    <x v="8"/>
    <n v="1"/>
    <n v="65000"/>
    <n v="70000"/>
    <n v="65000"/>
    <n v="0.3"/>
    <n v="91000"/>
    <s v="RC회로 R"/>
    <s v="1 M"/>
  </r>
  <r>
    <n v="93"/>
    <s v="환경 신뢰성 시험"/>
    <x v="28"/>
    <x v="28"/>
    <x v="15"/>
    <x v="8"/>
    <n v="1"/>
    <n v="65000"/>
    <n v="70000"/>
    <n v="65000"/>
    <n v="0.3"/>
    <n v="91000"/>
    <s v="R회로"/>
    <s v="1 M"/>
  </r>
  <r>
    <n v="94"/>
    <s v="환경 신뢰성 시험"/>
    <x v="33"/>
    <x v="27"/>
    <x v="15"/>
    <x v="8"/>
    <n v="1"/>
    <n v="65000"/>
    <n v="70000"/>
    <n v="70000"/>
    <n v="0.3"/>
    <n v="91000"/>
    <s v="CAP 방전용"/>
    <s v="1 M"/>
  </r>
  <r>
    <n v="95"/>
    <s v="환경 신뢰성 시험"/>
    <x v="34"/>
    <x v="33"/>
    <x v="15"/>
    <x v="8"/>
    <n v="1"/>
    <n v="10000"/>
    <n v="20000"/>
    <n v="10000"/>
    <n v="0.3"/>
    <n v="26000"/>
    <s v="제어전류 1 Shunt 저항"/>
    <s v="1 M"/>
  </r>
  <r>
    <n v="96"/>
    <s v="내구 ES 수명 시험"/>
    <x v="35"/>
    <x v="34"/>
    <x v="0"/>
    <x v="0"/>
    <n v="1"/>
    <n v="13476607.199999999"/>
    <n v="24756000"/>
    <n v="13476607.199999999"/>
    <n v="0"/>
    <n v="24756000"/>
    <s v="제어전압/시간,순단시간 측정 "/>
    <m/>
  </r>
  <r>
    <n v="97"/>
    <s v="내구 ES 수명 시험"/>
    <x v="36"/>
    <x v="35"/>
    <x v="0"/>
    <x v="0"/>
    <n v="2"/>
    <n v="1081277.3159999999"/>
    <n v="1806000"/>
    <n v="2162554.6319999998"/>
    <n v="0"/>
    <n v="3612000"/>
    <s v="제어전압 1, 제어전류 1(shunt), 인가전압 2"/>
    <m/>
  </r>
  <r>
    <n v="98"/>
    <s v="내구 ES 수명 시험"/>
    <x v="37"/>
    <x v="36"/>
    <x v="0"/>
    <x v="0"/>
    <n v="4"/>
    <n v="33743.996999999996"/>
    <n v="62000"/>
    <n v="134975.98799999998"/>
    <n v="0"/>
    <n v="248000"/>
    <s v="제어전압 1, 제어전류 1(shunt), 인가전압 2 케이블"/>
    <m/>
  </r>
  <r>
    <n v="99"/>
    <s v="내구 ES 수명 시험"/>
    <x v="38"/>
    <x v="37"/>
    <x v="0"/>
    <x v="0"/>
    <n v="4"/>
    <n v="28923.425999999996"/>
    <n v="54000"/>
    <n v="115693.70399999998"/>
    <n v="0"/>
    <n v="216000"/>
    <s v="제어전압 1, 제어전류 1(shunt), 인가전압 2 포크터미널"/>
    <m/>
  </r>
  <r>
    <n v="100"/>
    <s v="내구 ES 수명 시험"/>
    <x v="39"/>
    <x v="38"/>
    <x v="0"/>
    <x v="0"/>
    <n v="2"/>
    <n v="1081277.3159999999"/>
    <n v="1806000"/>
    <n v="2162554.6319999998"/>
    <n v="0"/>
    <n v="3612000"/>
    <s v="인가전류 2"/>
    <m/>
  </r>
  <r>
    <n v="101"/>
    <s v="내구 ES 수명 시험"/>
    <x v="3"/>
    <x v="3"/>
    <x v="0"/>
    <x v="0"/>
    <n v="1"/>
    <n v="5802677.9999999991"/>
    <n v="8712000"/>
    <n v="5802677.9999999991"/>
    <n v="0"/>
    <n v="8712000"/>
    <s v="인가전류 1 probe / 부하전류RMS 0~10A"/>
    <m/>
  </r>
  <r>
    <n v="102"/>
    <s v="내구 ES 수명 시험"/>
    <x v="48"/>
    <x v="43"/>
    <x v="0"/>
    <x v="0"/>
    <n v="1"/>
    <n v="3831746.6879999996"/>
    <n v="5748000"/>
    <n v="3831746.6879999996"/>
    <n v="0"/>
    <n v="5748000"/>
    <s v="인가전류 1 probe / 인가전압 40V 이하 80A(CC)"/>
    <m/>
  </r>
  <r>
    <n v="103"/>
    <s v="내구 ES 수명 시험"/>
    <x v="40"/>
    <x v="39"/>
    <x v="0"/>
    <x v="0"/>
    <n v="3"/>
    <n v="1035845.4959999999"/>
    <n v="1723000"/>
    <n v="3107536.4879999999"/>
    <n v="0"/>
    <n v="5169000"/>
    <s v="온도 6"/>
    <m/>
  </r>
  <r>
    <n v="104"/>
    <s v="내구 ES 수명 시험"/>
    <x v="4"/>
    <x v="4"/>
    <x v="1"/>
    <x v="1"/>
    <n v="1"/>
    <n v="6011004.0000000009"/>
    <n v="11825000"/>
    <n v="6011004.0000000009"/>
    <n v="0"/>
    <n v="11825000"/>
    <s v="제어전원용, 12V/0~50mA, 순단0.5s~0.9s, 100Hz이하 구형파 구현"/>
    <m/>
  </r>
  <r>
    <n v="105"/>
    <s v="내구 ES 수명 시험"/>
    <x v="6"/>
    <x v="6"/>
    <x v="2"/>
    <x v="2"/>
    <n v="1"/>
    <n v="14394750"/>
    <n v="19193000"/>
    <n v="14394750"/>
    <n v="0"/>
    <n v="19193000"/>
    <s v="인가전압 450, 800V / 인가전압 40V 이하 80A(CC)"/>
    <m/>
  </r>
  <r>
    <n v="106"/>
    <s v="내구 ES 수명 시험"/>
    <x v="7"/>
    <x v="7"/>
    <x v="2"/>
    <x v="2"/>
    <n v="2"/>
    <n v="14008500"/>
    <n v="18678000"/>
    <n v="28017000"/>
    <n v="0"/>
    <n v="37356000"/>
    <m/>
    <m/>
  </r>
  <r>
    <n v="107"/>
    <s v="내구 ES 수명 시험"/>
    <x v="11"/>
    <x v="11"/>
    <x v="5"/>
    <x v="4"/>
    <n v="1"/>
    <n v="2422500"/>
    <n v="2550000"/>
    <n v="2422500"/>
    <n v="0"/>
    <n v="2550000"/>
    <m/>
    <s v="4W"/>
  </r>
  <r>
    <n v="108"/>
    <s v="내구 ES 수명 시험"/>
    <x v="12"/>
    <x v="12"/>
    <x v="5"/>
    <x v="4"/>
    <n v="2"/>
    <n v="2242000"/>
    <n v="2360000"/>
    <n v="4484000"/>
    <n v="0"/>
    <n v="4720000"/>
    <s v="제어측 SSR제어 6, Dis char SW싱크 1(spare)"/>
    <s v="4W"/>
  </r>
  <r>
    <n v="109"/>
    <s v="내구 ES 수명 시험"/>
    <x v="13"/>
    <x v="13"/>
    <x v="5"/>
    <x v="4"/>
    <n v="1"/>
    <n v="836000"/>
    <n v="880000"/>
    <n v="836000"/>
    <n v="0"/>
    <n v="880000"/>
    <s v="인가전압측 EVR제어 7, SSR제어 1"/>
    <s v="4W"/>
  </r>
  <r>
    <n v="110"/>
    <s v="내구 ES 수명 시험"/>
    <x v="14"/>
    <x v="14"/>
    <x v="5"/>
    <x v="4"/>
    <n v="1"/>
    <n v="1396500"/>
    <n v="1470000"/>
    <n v="1396500"/>
    <n v="0"/>
    <n v="1470000"/>
    <s v="방전 전압 모니터링 1 "/>
    <s v="4W"/>
  </r>
  <r>
    <n v="111"/>
    <s v="내구 ES 수명 시험"/>
    <x v="49"/>
    <x v="40"/>
    <x v="6"/>
    <x v="5"/>
    <n v="1"/>
    <n v="4000000"/>
    <n v="4000000"/>
    <n v="4000000"/>
    <n v="0.3"/>
    <n v="5200000"/>
    <m/>
    <m/>
  </r>
  <r>
    <n v="112"/>
    <s v="내구 ES 수명 시험"/>
    <x v="16"/>
    <x v="16"/>
    <x v="7"/>
    <x v="5"/>
    <n v="1"/>
    <n v="200000"/>
    <n v="200000"/>
    <n v="200000"/>
    <n v="0.3"/>
    <n v="260000"/>
    <m/>
    <m/>
  </r>
  <r>
    <n v="113"/>
    <s v="내구 ES 수명 시험"/>
    <x v="17"/>
    <x v="17"/>
    <x v="8"/>
    <x v="5"/>
    <n v="1"/>
    <n v="450000"/>
    <n v="500000"/>
    <n v="450000"/>
    <n v="0"/>
    <n v="500000"/>
    <s v="방전 전압 확인용 1+@판넬메터 적용(rack제작포함)"/>
    <m/>
  </r>
  <r>
    <n v="114"/>
    <s v="내구 ES 수명 시험"/>
    <x v="50"/>
    <x v="18"/>
    <x v="6"/>
    <x v="5"/>
    <n v="1"/>
    <n v="1000000"/>
    <n v="1000000"/>
    <n v="1000000"/>
    <n v="0.3"/>
    <n v="1300000"/>
    <m/>
    <m/>
  </r>
  <r>
    <n v="115"/>
    <s v="내구 ES 수명 시험"/>
    <x v="19"/>
    <x v="19"/>
    <x v="9"/>
    <x v="5"/>
    <n v="6"/>
    <n v="20000"/>
    <n v="20000"/>
    <n v="120000"/>
    <n v="0.3"/>
    <n v="156000"/>
    <m/>
    <m/>
  </r>
  <r>
    <n v="116"/>
    <s v="내구 ES 수명 시험"/>
    <x v="20"/>
    <x v="20"/>
    <x v="10"/>
    <x v="5"/>
    <n v="1"/>
    <n v="50000"/>
    <n v="50000"/>
    <n v="50000"/>
    <n v="0.3"/>
    <n v="65000"/>
    <m/>
    <m/>
  </r>
  <r>
    <n v="117"/>
    <s v="내구 ES 수명 시험"/>
    <x v="51"/>
    <x v="44"/>
    <x v="10"/>
    <x v="5"/>
    <n v="6"/>
    <n v="100000"/>
    <n v="100000"/>
    <n v="600000"/>
    <n v="0.3"/>
    <n v="780000"/>
    <m/>
    <m/>
  </r>
  <r>
    <n v="118"/>
    <s v="내구 ES 수명 시험"/>
    <x v="21"/>
    <x v="21"/>
    <x v="11"/>
    <x v="5"/>
    <n v="1"/>
    <n v="250000"/>
    <n v="250000"/>
    <n v="250000"/>
    <n v="0.3"/>
    <n v="325000"/>
    <s v="RC회로 C"/>
    <m/>
  </r>
  <r>
    <n v="119"/>
    <s v="내구 ES 수명 시험"/>
    <x v="52"/>
    <x v="41"/>
    <x v="6"/>
    <x v="5"/>
    <n v="1"/>
    <n v="3500000"/>
    <n v="3500000"/>
    <n v="3500000"/>
    <n v="0.3"/>
    <n v="4550000"/>
    <m/>
    <m/>
  </r>
  <r>
    <n v="120"/>
    <s v="내구 ES 수명 시험"/>
    <x v="44"/>
    <x v="42"/>
    <x v="16"/>
    <x v="9"/>
    <n v="1"/>
    <n v="530000"/>
    <n v="530000"/>
    <n v="530000"/>
    <n v="0.3"/>
    <n v="689000"/>
    <m/>
    <s v="2 D"/>
  </r>
  <r>
    <n v="121"/>
    <s v="내구 ES 수명 시험"/>
    <x v="25"/>
    <x v="25"/>
    <x v="13"/>
    <x v="6"/>
    <n v="1"/>
    <n v="140000"/>
    <n v="200000"/>
    <n v="140000"/>
    <n v="0.3"/>
    <n v="260000"/>
    <m/>
    <s v="1 W"/>
  </r>
  <r>
    <n v="122"/>
    <s v="내구 ES 수명 시험"/>
    <x v="26"/>
    <x v="26"/>
    <x v="14"/>
    <x v="7"/>
    <n v="1"/>
    <n v="2630000"/>
    <n v="3000000"/>
    <n v="2630000"/>
    <n v="0.3"/>
    <n v="3900000"/>
    <m/>
    <s v="1 M"/>
  </r>
  <r>
    <n v="123"/>
    <s v="내구 ES 수명 시험"/>
    <x v="27"/>
    <x v="27"/>
    <x v="15"/>
    <x v="8"/>
    <n v="1"/>
    <n v="65000"/>
    <n v="70000"/>
    <n v="65000"/>
    <n v="0.3"/>
    <n v="91000"/>
    <s v="RC회로 R"/>
    <s v="1 M"/>
  </r>
  <r>
    <n v="124"/>
    <s v="내구 ES 수명 시험"/>
    <x v="53"/>
    <x v="29"/>
    <x v="15"/>
    <x v="8"/>
    <n v="1"/>
    <n v="750000"/>
    <n v="450000"/>
    <n v="750000"/>
    <n v="0.3"/>
    <n v="585000"/>
    <s v="R회로, 비정상차단 모사, 5kW 450V 40옴 11.25A"/>
    <s v="1 M"/>
  </r>
  <r>
    <n v="125"/>
    <s v="내구 ES 수명 시험"/>
    <x v="54"/>
    <x v="30"/>
    <x v="15"/>
    <x v="8"/>
    <n v="1"/>
    <n v="0"/>
    <n v="1000000"/>
    <n v="0"/>
    <n v="0.3"/>
    <n v="1300000"/>
    <s v="R회로, 비정상차단 모사, 16kW 800V 40옴 20A"/>
    <s v="1 M"/>
  </r>
  <r>
    <n v="126"/>
    <s v="내구 ES 수명 시험"/>
    <x v="33"/>
    <x v="27"/>
    <x v="15"/>
    <x v="8"/>
    <n v="1"/>
    <n v="65000"/>
    <n v="70000"/>
    <n v="70000"/>
    <n v="0.3"/>
    <n v="91000"/>
    <s v="CAP 방전용"/>
    <s v="1 M"/>
  </r>
  <r>
    <n v="127"/>
    <s v="내구 ES 수명 시험"/>
    <x v="34"/>
    <x v="33"/>
    <x v="15"/>
    <x v="8"/>
    <n v="1"/>
    <n v="10000"/>
    <n v="20000"/>
    <n v="10000"/>
    <n v="0.3"/>
    <n v="26000"/>
    <s v="제어전류 1 Shunt 저항"/>
    <s v="1 M"/>
  </r>
  <r>
    <n v="128"/>
    <s v="메카니컬 신뢰성 시험"/>
    <x v="55"/>
    <x v="45"/>
    <x v="6"/>
    <x v="10"/>
    <n v="1"/>
    <n v="19000000"/>
    <n v="19000000"/>
    <n v="19000000"/>
    <n v="0"/>
    <n v="1900000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s v="40ohm Resistor (2kW, 5%)"/>
    <x v="0"/>
    <s v="파워옴텍"/>
    <s v="파워옴텍"/>
    <n v="1"/>
    <n v="7500"/>
    <n v="70000"/>
    <n v="7500"/>
  </r>
  <r>
    <s v="1kohm Resistor (2kW, 5%)"/>
    <x v="1"/>
    <s v="파워옴텍"/>
    <s v="파워옴텍"/>
    <n v="1"/>
    <n v="7500"/>
    <n v="70000"/>
    <n v="7500"/>
  </r>
  <r>
    <s v="40ohm Resistor (450V, 4.5kW, 5%)"/>
    <x v="2"/>
    <s v="파워옴텍"/>
    <s v="파워옴텍"/>
    <n v="1"/>
    <n v="750000"/>
    <n v="450000"/>
    <n v="750000"/>
  </r>
  <r>
    <s v="40ohm Resistor (800V, 8kW, 5%)"/>
    <x v="3"/>
    <s v="파워옴텍"/>
    <s v="파워옴텍"/>
    <n v="1"/>
    <n v="0"/>
    <n v="1000000"/>
    <n v="0"/>
  </r>
  <r>
    <s v="400Mohm Resistor (2kW, 1%)"/>
    <x v="4"/>
    <s v="파워옴텍"/>
    <s v="파워옴텍"/>
    <n v="1"/>
    <n v="30000"/>
    <n v="70000"/>
    <n v="30000"/>
  </r>
  <r>
    <s v="800Mohm Resistor (2kW, 1%)"/>
    <x v="5"/>
    <s v="파워옴텍"/>
    <s v="파워옴텍"/>
    <n v="1"/>
    <n v="30000"/>
    <n v="70000"/>
    <n v="30000"/>
  </r>
  <r>
    <s v="40ohm Resistor (2kW, 5%), 방전저항"/>
    <x v="0"/>
    <s v="파워옴텍"/>
    <s v="파워옴텍"/>
    <n v="1"/>
    <n v="7500"/>
    <n v="70000"/>
    <n v="7500"/>
  </r>
  <r>
    <s v="Shunt Resistor (5A, class 0.2)"/>
    <x v="6"/>
    <s v="파워옴텍"/>
    <s v="파워옴텍"/>
    <n v="1"/>
    <n v="21000"/>
    <n v="21000"/>
    <n v="21000"/>
  </r>
  <r>
    <s v="1.2ohm Resistor (2kW, 5%)"/>
    <x v="7"/>
    <s v="파워옴텍"/>
    <s v="파워옴텍"/>
    <n v="1"/>
    <n v="7500"/>
    <n v="70000"/>
    <n v="7500"/>
  </r>
  <r>
    <s v="12ohm Resistor (2kW, 5%)"/>
    <x v="8"/>
    <s v="파워옴텍"/>
    <s v="파워옴텍"/>
    <n v="1"/>
    <n v="7500"/>
    <n v="70000"/>
    <n v="7500"/>
  </r>
  <r>
    <s v="40ohm Resistor (2kW, 5%)"/>
    <x v="0"/>
    <s v="파워옴텍"/>
    <s v="파워옴텍"/>
    <n v="1"/>
    <n v="7500"/>
    <n v="70000"/>
    <n v="7500"/>
  </r>
  <r>
    <s v="1kohm Resistor (2kW, 5%)"/>
    <x v="1"/>
    <s v="파워옴텍"/>
    <s v="파워옴텍"/>
    <n v="1"/>
    <n v="7500"/>
    <n v="70000"/>
    <n v="7500"/>
  </r>
  <r>
    <s v="40ohm Resistor (2kW, 5%), 방전저항"/>
    <x v="0"/>
    <s v="파워옴텍"/>
    <s v="파워옴텍"/>
    <n v="1"/>
    <n v="7500"/>
    <n v="70000"/>
    <n v="7500"/>
  </r>
  <r>
    <s v="Shunt Resistor (5A, class 0.2)"/>
    <x v="6"/>
    <s v="파워옴텍"/>
    <s v="파워옴텍"/>
    <n v="1"/>
    <n v="21000"/>
    <n v="20000"/>
    <n v="21000"/>
  </r>
  <r>
    <s v="40ohm Resistor (2kW, 5%)"/>
    <x v="0"/>
    <s v="파워옴텍"/>
    <s v="파워옴텍"/>
    <n v="1"/>
    <n v="7500"/>
    <n v="70000"/>
    <n v="7500"/>
  </r>
  <r>
    <s v="1kohm Resistor (2kW, 5%)"/>
    <x v="1"/>
    <s v="파워옴텍"/>
    <s v="파워옴텍"/>
    <n v="1"/>
    <n v="7500"/>
    <n v="70000"/>
    <n v="7500"/>
  </r>
  <r>
    <s v="40ohm Resistor (2kW, 5%), 방전저항"/>
    <x v="0"/>
    <s v="파워옴텍"/>
    <s v="파워옴텍"/>
    <n v="1"/>
    <n v="7500"/>
    <n v="70000"/>
    <n v="7500"/>
  </r>
  <r>
    <s v="Shunt Resistor (5A, class 0.2)"/>
    <x v="6"/>
    <s v="파워옴텍"/>
    <s v="파워옴텍"/>
    <n v="1"/>
    <n v="21000"/>
    <n v="20000"/>
    <n v="21000"/>
  </r>
  <r>
    <s v="40ohm Resistor (2kW, 5%)"/>
    <x v="0"/>
    <s v="파워옴텍"/>
    <s v="파워옴텍"/>
    <n v="1"/>
    <n v="7500"/>
    <n v="70000"/>
    <n v="7500"/>
  </r>
  <r>
    <s v="40ohm Resistor (450V, 4.5kW, 5%), 비정상 차단 모사"/>
    <x v="2"/>
    <s v="파워옴텍"/>
    <s v="파워옴텍"/>
    <n v="1"/>
    <n v="750000"/>
    <n v="450000"/>
    <n v="750000"/>
  </r>
  <r>
    <s v="40ohm Resistor (800V, 8kW, 5%), 비정상 차단 모사"/>
    <x v="3"/>
    <s v="파워옴텍"/>
    <s v="파워옴텍"/>
    <n v="1"/>
    <n v="0"/>
    <n v="1000000"/>
    <n v="0"/>
  </r>
  <r>
    <s v="40ohm Resistor (2kW, 5%), 방전저항"/>
    <x v="0"/>
    <s v="파워옴텍"/>
    <s v="파워옴텍"/>
    <n v="1"/>
    <n v="7500"/>
    <n v="70000"/>
    <n v="7500"/>
  </r>
  <r>
    <s v="Shunt Resistor (5A, class 0.2)"/>
    <x v="6"/>
    <s v="파워옴텍"/>
    <s v="파워옴텍"/>
    <n v="1"/>
    <n v="21000"/>
    <n v="20000"/>
    <n v="21000"/>
  </r>
  <r>
    <s v="1.2ohm Resistor (2kW, 5%)"/>
    <x v="7"/>
    <s v="파워옴텍"/>
    <s v="파워옴텍"/>
    <n v="2"/>
    <n v="7500"/>
    <n v="70000"/>
    <n v="15000"/>
  </r>
  <r>
    <s v="12ohm Resistor (2kW, 5%)"/>
    <x v="8"/>
    <s v="파워옴텍"/>
    <s v="파워옴텍"/>
    <n v="2"/>
    <n v="7500"/>
    <n v="70000"/>
    <n v="15000"/>
  </r>
  <r>
    <s v="Shunt Resistor (5A, class 0.2)"/>
    <x v="6"/>
    <s v="파워옴텍"/>
    <s v="파워옴텍"/>
    <n v="4"/>
    <n v="21000"/>
    <n v="21000"/>
    <n v="84000"/>
  </r>
  <r>
    <s v="1kohm Resistor (2kW, 5%)"/>
    <x v="1"/>
    <s v="파워옴텍"/>
    <s v="파워옴텍"/>
    <n v="3"/>
    <n v="7500"/>
    <n v="70000"/>
    <n v="22500"/>
  </r>
  <r>
    <s v="40ohm Resistor (2kW, 5%)"/>
    <x v="0"/>
    <s v="파워옴텍"/>
    <s v="파워옴텍"/>
    <n v="6"/>
    <n v="7500"/>
    <n v="70000"/>
    <n v="45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5A9DB7-C825-42C0-B1F6-BB1185B56FD6}" name="피벗 테이블1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compact="0" compactData="0" gridDropZones="1" multipleFieldFilters="0">
  <location ref="B2:F60" firstHeaderRow="2" firstDataRow="2" firstDataCol="4"/>
  <pivotFields count="14">
    <pivotField compact="0" outline="0" showAll="0"/>
    <pivotField compact="0" outline="0" showAll="0"/>
    <pivotField axis="axisRow" compact="0" outline="0" showAll="0" defaultSubtotal="0">
      <items count="58">
        <item x="22"/>
        <item x="23"/>
        <item x="28"/>
        <item x="25"/>
        <item x="31"/>
        <item x="27"/>
        <item x="33"/>
        <item x="29"/>
        <item x="53"/>
        <item x="30"/>
        <item x="54"/>
        <item x="11"/>
        <item x="9"/>
        <item x="32"/>
        <item x="14"/>
        <item x="12"/>
        <item x="4"/>
        <item m="1" x="57"/>
        <item x="21"/>
        <item x="3"/>
        <item x="48"/>
        <item x="1"/>
        <item x="13"/>
        <item x="51"/>
        <item x="38"/>
        <item x="36"/>
        <item x="8"/>
        <item x="39"/>
        <item x="10"/>
        <item x="5"/>
        <item x="37"/>
        <item x="16"/>
        <item x="0"/>
        <item x="2"/>
        <item x="35"/>
        <item x="34"/>
        <item m="1" x="56"/>
        <item x="19"/>
        <item x="40"/>
        <item x="6"/>
        <item x="7"/>
        <item x="44"/>
        <item x="17"/>
        <item x="26"/>
        <item x="15"/>
        <item x="18"/>
        <item x="24"/>
        <item x="41"/>
        <item x="42"/>
        <item x="43"/>
        <item x="45"/>
        <item x="46"/>
        <item x="47"/>
        <item x="49"/>
        <item x="50"/>
        <item x="52"/>
        <item x="55"/>
        <item x="20"/>
      </items>
    </pivotField>
    <pivotField axis="axisRow" compact="0" outline="0" showAll="0">
      <items count="48">
        <item x="8"/>
        <item x="10"/>
        <item x="38"/>
        <item x="39"/>
        <item x="43"/>
        <item x="2"/>
        <item x="1"/>
        <item x="3"/>
        <item x="35"/>
        <item x="37"/>
        <item m="1" x="46"/>
        <item x="36"/>
        <item x="30"/>
        <item x="33"/>
        <item x="29"/>
        <item x="21"/>
        <item x="16"/>
        <item n="BL 1W 400MΩ" x="31"/>
        <item n="BL 1W 800MΩ" x="32"/>
        <item x="4"/>
        <item x="11"/>
        <item x="34"/>
        <item x="0"/>
        <item x="9"/>
        <item x="5"/>
        <item x="7"/>
        <item x="6"/>
        <item x="44"/>
        <item x="26"/>
        <item x="17"/>
        <item n="PRV 200 1.2ΩJ" x="22"/>
        <item n="PRV 200 12ΩJ" x="23"/>
        <item x="14"/>
        <item x="12"/>
        <item x="13"/>
        <item n="PRV 200 1kΩJ" x="28"/>
        <item n="PRV 200 40ΩJ" x="27"/>
        <item x="25"/>
        <item x="42"/>
        <item x="19"/>
        <item x="15"/>
        <item x="18"/>
        <item x="24"/>
        <item x="40"/>
        <item x="41"/>
        <item x="45"/>
        <item x="20"/>
        <item t="default"/>
      </items>
    </pivotField>
    <pivotField axis="axisRow" compact="0" outline="0" showAll="0" defaultSubtotal="0">
      <items count="18">
        <item m="1" x="17"/>
        <item x="16"/>
        <item x="11"/>
        <item x="4"/>
        <item x="2"/>
        <item x="3"/>
        <item x="1"/>
        <item x="5"/>
        <item x="12"/>
        <item x="13"/>
        <item x="8"/>
        <item x="9"/>
        <item x="10"/>
        <item x="0"/>
        <item x="7"/>
        <item x="14"/>
        <item x="6"/>
        <item x="15"/>
      </items>
    </pivotField>
    <pivotField axis="axisRow" compact="0" outline="0" showAll="0" defaultSubtotal="0">
      <items count="11">
        <item x="1"/>
        <item x="0"/>
        <item x="5"/>
        <item x="2"/>
        <item x="4"/>
        <item x="9"/>
        <item x="7"/>
        <item x="6"/>
        <item x="8"/>
        <item x="3"/>
        <item x="10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compact="0" numFmtId="42" outline="0" showAll="0"/>
    <pivotField compact="0" outline="0" showAll="0"/>
    <pivotField compact="0" outline="0" showAll="0"/>
  </pivotFields>
  <rowFields count="4">
    <field x="5"/>
    <field x="4"/>
    <field x="2"/>
    <field x="3"/>
  </rowFields>
  <rowItems count="57">
    <i>
      <x/>
      <x v="6"/>
      <x v="16"/>
      <x v="19"/>
    </i>
    <i>
      <x v="1"/>
      <x v="13"/>
      <x v="19"/>
      <x v="7"/>
    </i>
    <i r="2">
      <x v="20"/>
      <x v="4"/>
    </i>
    <i r="2">
      <x v="21"/>
      <x v="6"/>
    </i>
    <i r="2">
      <x v="24"/>
      <x v="9"/>
    </i>
    <i r="2">
      <x v="25"/>
      <x v="8"/>
    </i>
    <i r="2">
      <x v="27"/>
      <x v="2"/>
    </i>
    <i r="2">
      <x v="30"/>
      <x v="11"/>
    </i>
    <i r="2">
      <x v="32"/>
      <x v="22"/>
    </i>
    <i r="2">
      <x v="33"/>
      <x v="5"/>
    </i>
    <i r="2">
      <x v="34"/>
      <x v="21"/>
    </i>
    <i r="2">
      <x v="38"/>
      <x v="3"/>
    </i>
    <i>
      <x v="2"/>
      <x v="2"/>
      <x v="18"/>
      <x v="15"/>
    </i>
    <i r="1">
      <x v="8"/>
      <x/>
      <x v="30"/>
    </i>
    <i r="2">
      <x v="1"/>
      <x v="31"/>
    </i>
    <i r="1">
      <x v="10"/>
      <x v="42"/>
      <x v="29"/>
    </i>
    <i r="1">
      <x v="11"/>
      <x v="37"/>
      <x v="39"/>
    </i>
    <i r="1">
      <x v="12"/>
      <x v="23"/>
      <x v="27"/>
    </i>
    <i r="2">
      <x v="57"/>
      <x v="46"/>
    </i>
    <i r="1">
      <x v="14"/>
      <x v="31"/>
      <x v="16"/>
    </i>
    <i r="1">
      <x v="16"/>
      <x v="44"/>
      <x v="40"/>
    </i>
    <i r="2">
      <x v="45"/>
      <x v="41"/>
    </i>
    <i r="2">
      <x v="46"/>
      <x v="42"/>
    </i>
    <i r="2">
      <x v="47"/>
      <x v="43"/>
    </i>
    <i r="2">
      <x v="48"/>
      <x v="41"/>
    </i>
    <i r="2">
      <x v="49"/>
      <x v="44"/>
    </i>
    <i r="2">
      <x v="50"/>
      <x v="43"/>
    </i>
    <i r="2">
      <x v="51"/>
      <x v="41"/>
    </i>
    <i r="2">
      <x v="52"/>
      <x v="44"/>
    </i>
    <i r="2">
      <x v="53"/>
      <x v="43"/>
    </i>
    <i r="2">
      <x v="54"/>
      <x v="41"/>
    </i>
    <i r="2">
      <x v="55"/>
      <x v="44"/>
    </i>
    <i>
      <x v="3"/>
      <x v="4"/>
      <x v="29"/>
      <x v="24"/>
    </i>
    <i r="2">
      <x v="39"/>
      <x v="26"/>
    </i>
    <i r="2">
      <x v="40"/>
      <x v="25"/>
    </i>
    <i>
      <x v="4"/>
      <x v="7"/>
      <x v="11"/>
      <x v="20"/>
    </i>
    <i r="2">
      <x v="14"/>
      <x v="32"/>
    </i>
    <i r="2">
      <x v="15"/>
      <x v="33"/>
    </i>
    <i r="2">
      <x v="22"/>
      <x v="34"/>
    </i>
    <i>
      <x v="5"/>
      <x v="1"/>
      <x v="41"/>
      <x v="38"/>
    </i>
    <i>
      <x v="6"/>
      <x v="15"/>
      <x v="43"/>
      <x v="28"/>
    </i>
    <i>
      <x v="7"/>
      <x v="9"/>
      <x v="3"/>
      <x v="37"/>
    </i>
    <i>
      <x v="8"/>
      <x v="17"/>
      <x v="2"/>
      <x v="35"/>
    </i>
    <i r="2">
      <x v="4"/>
      <x v="17"/>
    </i>
    <i r="2">
      <x v="5"/>
      <x v="36"/>
    </i>
    <i r="2">
      <x v="6"/>
      <x v="36"/>
    </i>
    <i r="2">
      <x v="7"/>
      <x v="14"/>
    </i>
    <i r="2">
      <x v="8"/>
      <x v="14"/>
    </i>
    <i r="2">
      <x v="9"/>
      <x v="12"/>
    </i>
    <i r="2">
      <x v="10"/>
      <x v="12"/>
    </i>
    <i r="2">
      <x v="13"/>
      <x v="18"/>
    </i>
    <i r="2">
      <x v="35"/>
      <x v="13"/>
    </i>
    <i>
      <x v="9"/>
      <x v="3"/>
      <x v="28"/>
      <x v="1"/>
    </i>
    <i r="1">
      <x v="5"/>
      <x v="12"/>
      <x v="23"/>
    </i>
    <i r="2">
      <x v="26"/>
      <x/>
    </i>
    <i>
      <x v="10"/>
      <x v="16"/>
      <x v="56"/>
      <x v="45"/>
    </i>
    <i t="grand">
      <x/>
    </i>
  </rowItems>
  <colItems count="1">
    <i/>
  </colItems>
  <dataFields count="1">
    <dataField name="합계 : 수량" fld="6" baseField="0" baseItem="0"/>
  </dataFields>
  <formats count="18">
    <format dxfId="17">
      <pivotArea type="all" dataOnly="0" outline="0" fieldPosition="0"/>
    </format>
    <format dxfId="16">
      <pivotArea type="origin" dataOnly="0" labelOnly="1" outline="0" fieldPosition="0"/>
    </format>
    <format dxfId="15">
      <pivotArea field="5" type="button" dataOnly="0" labelOnly="1" outline="0" axis="axisRow" fieldPosition="0"/>
    </format>
    <format dxfId="14">
      <pivotArea field="4" type="button" dataOnly="0" labelOnly="1" outline="0" axis="axisRow" fieldPosition="1"/>
    </format>
    <format dxfId="13">
      <pivotArea field="2" type="button" dataOnly="0" labelOnly="1" outline="0" axis="axisRow" fieldPosition="2"/>
    </format>
    <format dxfId="12">
      <pivotArea field="3" type="button" dataOnly="0" labelOnly="1" outline="0" axis="axisRow" fieldPosition="3"/>
    </format>
    <format dxfId="11">
      <pivotArea type="topRight" dataOnly="0" labelOnly="1" outline="0" fieldPosition="0"/>
    </format>
    <format dxfId="10">
      <pivotArea outline="0" fieldPosition="0">
        <references count="4">
          <reference field="2" count="1" selected="0">
            <x v="56"/>
          </reference>
          <reference field="3" count="1" selected="0">
            <x v="45"/>
          </reference>
          <reference field="4" count="1" selected="0">
            <x v="16"/>
          </reference>
          <reference field="5" count="1" selected="0">
            <x v="10"/>
          </reference>
        </references>
      </pivotArea>
    </format>
    <format dxfId="9">
      <pivotArea dataOnly="0" labelOnly="1" outline="0" fieldPosition="0">
        <references count="1">
          <reference field="5" count="1">
            <x v="10"/>
          </reference>
        </references>
      </pivotArea>
    </format>
    <format dxfId="8">
      <pivotArea dataOnly="0" labelOnly="1" outline="0" fieldPosition="0">
        <references count="2">
          <reference field="4" count="1">
            <x v="16"/>
          </reference>
          <reference field="5" count="1" selected="0">
            <x v="10"/>
          </reference>
        </references>
      </pivotArea>
    </format>
    <format dxfId="7">
      <pivotArea dataOnly="0" labelOnly="1" outline="0" fieldPosition="0">
        <references count="3">
          <reference field="2" count="1">
            <x v="56"/>
          </reference>
          <reference field="4" count="1" selected="0">
            <x v="16"/>
          </reference>
          <reference field="5" count="1" selected="0">
            <x v="10"/>
          </reference>
        </references>
      </pivotArea>
    </format>
    <format dxfId="6">
      <pivotArea dataOnly="0" labelOnly="1" outline="0" fieldPosition="0">
        <references count="4">
          <reference field="2" count="1" selected="0">
            <x v="56"/>
          </reference>
          <reference field="3" count="1">
            <x v="45"/>
          </reference>
          <reference field="4" count="1" selected="0">
            <x v="16"/>
          </reference>
          <reference field="5" count="1" selected="0">
            <x v="10"/>
          </reference>
        </references>
      </pivotArea>
    </format>
    <format dxfId="5">
      <pivotArea outline="0" fieldPosition="0">
        <references count="4">
          <reference field="2" count="2" selected="0">
            <x v="12"/>
            <x v="26"/>
          </reference>
          <reference field="3" count="2" selected="0">
            <x v="0"/>
            <x v="23"/>
          </reference>
          <reference field="4" count="1" selected="0">
            <x v="5"/>
          </reference>
          <reference field="5" count="1" selected="0">
            <x v="9"/>
          </reference>
        </references>
      </pivotArea>
    </format>
    <format dxfId="4">
      <pivotArea dataOnly="0" labelOnly="1" outline="0" offset="IV2:IV256" fieldPosition="0">
        <references count="1">
          <reference field="5" count="1">
            <x v="9"/>
          </reference>
        </references>
      </pivotArea>
    </format>
    <format dxfId="3">
      <pivotArea dataOnly="0" labelOnly="1" outline="0" fieldPosition="0">
        <references count="2">
          <reference field="4" count="1">
            <x v="5"/>
          </reference>
          <reference field="5" count="1" selected="0">
            <x v="9"/>
          </reference>
        </references>
      </pivotArea>
    </format>
    <format dxfId="2">
      <pivotArea dataOnly="0" labelOnly="1" outline="0" fieldPosition="0">
        <references count="3">
          <reference field="2" count="2">
            <x v="12"/>
            <x v="26"/>
          </reference>
          <reference field="4" count="1" selected="0">
            <x v="5"/>
          </reference>
          <reference field="5" count="1" selected="0">
            <x v="9"/>
          </reference>
        </references>
      </pivotArea>
    </format>
    <format dxfId="1">
      <pivotArea dataOnly="0" labelOnly="1" outline="0" fieldPosition="0">
        <references count="4">
          <reference field="2" count="1" selected="0">
            <x v="12"/>
          </reference>
          <reference field="3" count="1">
            <x v="23"/>
          </reference>
          <reference field="4" count="1" selected="0">
            <x v="5"/>
          </reference>
          <reference field="5" count="1" selected="0">
            <x v="9"/>
          </reference>
        </references>
      </pivotArea>
    </format>
    <format dxfId="0">
      <pivotArea dataOnly="0" labelOnly="1" outline="0" fieldPosition="0">
        <references count="4">
          <reference field="2" count="1" selected="0">
            <x v="26"/>
          </reference>
          <reference field="3" count="1">
            <x v="0"/>
          </reference>
          <reference field="4" count="1" selected="0">
            <x v="5"/>
          </reference>
          <reference field="5" count="1" selected="0"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C5E13C-802D-4F69-99AC-4A416B829C6C}" name="피벗 테이블1" cacheId="1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E33:G43" firstHeaderRow="0" firstDataRow="1" firstDataCol="1"/>
  <pivotFields count="8">
    <pivotField showAll="0"/>
    <pivotField axis="axisRow" showAll="0">
      <items count="12">
        <item x="3"/>
        <item x="6"/>
        <item x="2"/>
        <item x="4"/>
        <item x="5"/>
        <item x="1"/>
        <item x="0"/>
        <item m="1" x="10"/>
        <item m="1" x="9"/>
        <item x="7"/>
        <item x="8"/>
        <item t="default"/>
      </items>
    </pivotField>
    <pivotField showAll="0"/>
    <pivotField showAll="0"/>
    <pivotField dataField="1" showAll="0"/>
    <pivotField numFmtId="42" showAll="0"/>
    <pivotField numFmtId="42" showAll="0"/>
    <pivotField dataField="1" numFmtId="42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합계 : 5" fld="4" baseField="0" baseItem="0"/>
    <dataField name="합계 : 8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hojang@smartin.co.kr" TargetMode="External"/><Relationship Id="rId7" Type="http://schemas.openxmlformats.org/officeDocument/2006/relationships/hyperlink" Target="mailto:ybbaek@wego-robotics.com" TargetMode="External"/><Relationship Id="rId2" Type="http://schemas.openxmlformats.org/officeDocument/2006/relationships/hyperlink" Target="mailto:summit@summitsystem.co.kr" TargetMode="External"/><Relationship Id="rId1" Type="http://schemas.openxmlformats.org/officeDocument/2006/relationships/pivotTable" Target="../pivotTables/pivotTable1.xml"/><Relationship Id="rId6" Type="http://schemas.openxmlformats.org/officeDocument/2006/relationships/hyperlink" Target="mailto:ekoryo@gmail.com" TargetMode="External"/><Relationship Id="rId5" Type="http://schemas.openxmlformats.org/officeDocument/2006/relationships/hyperlink" Target="mailto:youngsu.bae@tech-n.co.Kr" TargetMode="External"/><Relationship Id="rId4" Type="http://schemas.openxmlformats.org/officeDocument/2006/relationships/hyperlink" Target="mailto:powerohm.tech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digikey.kr/ko/products/detail/cornell-dubilier-knowles/947D102K901CJRSN/4466326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Vmax@I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www.digikey.kr/ko/products/detail/cornell-dubilier-knowles/947D102K901CJRSN/4466326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3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2D4A-075B-407E-BE6E-AEF726803BA1}">
  <sheetPr>
    <tabColor rgb="FF00B0F0"/>
    <pageSetUpPr fitToPage="1"/>
  </sheetPr>
  <dimension ref="A1:AD60"/>
  <sheetViews>
    <sheetView zoomScale="85" zoomScaleNormal="85" zoomScaleSheetLayoutView="100" zoomScalePageLayoutView="85" workbookViewId="0">
      <selection activeCell="Q26" sqref="Q26:R26"/>
    </sheetView>
  </sheetViews>
  <sheetFormatPr defaultRowHeight="16.5" x14ac:dyDescent="0.3"/>
  <cols>
    <col min="1" max="1" width="1.625" style="103" customWidth="1"/>
    <col min="2" max="5" width="3.375" style="2" customWidth="1"/>
    <col min="6" max="6" width="57.25" style="1266" customWidth="1"/>
    <col min="7" max="7" width="25.625" style="2" customWidth="1"/>
    <col min="8" max="9" width="16.625" style="1266" customWidth="1"/>
    <col min="10" max="10" width="6.625" style="1266" customWidth="1"/>
    <col min="11" max="13" width="16.625" style="1" customWidth="1"/>
    <col min="14" max="14" width="12.625" style="5" customWidth="1"/>
    <col min="15" max="15" width="9.625" style="1" customWidth="1"/>
    <col min="16" max="16" width="12.625" style="1" customWidth="1"/>
    <col min="17" max="18" width="22.375" customWidth="1"/>
    <col min="19" max="19" width="21.875" style="93" customWidth="1"/>
    <col min="24" max="24" width="15.875" bestFit="1" customWidth="1"/>
    <col min="27" max="27" width="15.875" bestFit="1" customWidth="1"/>
  </cols>
  <sheetData>
    <row r="1" spans="1:30" s="103" customFormat="1" ht="9.9499999999999993" customHeight="1" x14ac:dyDescent="0.3">
      <c r="B1" s="771"/>
      <c r="C1" s="771"/>
      <c r="D1" s="771"/>
      <c r="E1" s="771"/>
      <c r="F1" s="109"/>
      <c r="G1" s="771"/>
      <c r="H1" s="109"/>
      <c r="I1" s="109"/>
      <c r="J1" s="109"/>
      <c r="K1" s="110"/>
      <c r="L1" s="110"/>
      <c r="M1" s="110"/>
      <c r="N1" s="1267"/>
      <c r="O1" s="110"/>
      <c r="P1" s="110"/>
      <c r="S1" s="1268"/>
    </row>
    <row r="2" spans="1:30" s="103" customFormat="1" ht="26.25" x14ac:dyDescent="0.3">
      <c r="A2" s="1316" t="s">
        <v>1142</v>
      </c>
      <c r="B2" s="1316"/>
      <c r="C2" s="1316"/>
      <c r="D2" s="1316"/>
      <c r="E2" s="1316"/>
      <c r="F2" s="1316"/>
      <c r="G2" s="1316"/>
      <c r="H2" s="1316"/>
      <c r="I2" s="1316"/>
      <c r="J2" s="1316"/>
      <c r="K2" s="1316"/>
      <c r="L2" s="1316"/>
      <c r="M2" s="1316"/>
      <c r="N2" s="1316"/>
      <c r="O2" s="1316"/>
      <c r="P2" s="1316"/>
      <c r="Q2" s="1316"/>
      <c r="R2" s="1316"/>
      <c r="S2" s="1316"/>
    </row>
    <row r="3" spans="1:30" s="103" customFormat="1" ht="17.25" thickBot="1" x14ac:dyDescent="0.35">
      <c r="B3" s="771"/>
      <c r="C3" s="771"/>
      <c r="D3" s="771"/>
      <c r="E3" s="771"/>
      <c r="F3" s="109"/>
      <c r="G3" s="771"/>
      <c r="H3" s="109"/>
      <c r="I3" s="109"/>
      <c r="J3" s="109"/>
      <c r="K3" s="110"/>
      <c r="L3" s="110"/>
      <c r="M3" s="110"/>
      <c r="N3" s="1267"/>
      <c r="O3" s="110"/>
      <c r="P3" s="110"/>
      <c r="Q3" s="1317">
        <v>45527</v>
      </c>
      <c r="R3" s="1317"/>
      <c r="S3" s="1317"/>
    </row>
    <row r="4" spans="1:30" ht="18" thickBot="1" x14ac:dyDescent="0.35">
      <c r="B4" s="1318" t="s">
        <v>491</v>
      </c>
      <c r="C4" s="1319"/>
      <c r="D4" s="1319"/>
      <c r="E4" s="1320"/>
      <c r="F4" s="6" t="s">
        <v>56</v>
      </c>
      <c r="G4" s="973" t="s">
        <v>55</v>
      </c>
      <c r="H4" s="6" t="s">
        <v>0</v>
      </c>
      <c r="I4" s="6" t="s">
        <v>43</v>
      </c>
      <c r="J4" s="6" t="s">
        <v>4</v>
      </c>
      <c r="K4" s="7" t="s">
        <v>12</v>
      </c>
      <c r="L4" s="8" t="s">
        <v>39</v>
      </c>
      <c r="M4" s="8" t="s">
        <v>5</v>
      </c>
      <c r="N4" s="141" t="s">
        <v>13</v>
      </c>
      <c r="O4" s="1321" t="s">
        <v>6</v>
      </c>
      <c r="P4" s="1322"/>
      <c r="Q4" s="1319" t="s">
        <v>3</v>
      </c>
      <c r="R4" s="1323"/>
      <c r="S4" s="71" t="s">
        <v>59</v>
      </c>
    </row>
    <row r="5" spans="1:30" s="370" customFormat="1" ht="17.25" thickBot="1" x14ac:dyDescent="0.35">
      <c r="A5" s="1269"/>
      <c r="B5" s="587" t="s">
        <v>2</v>
      </c>
      <c r="C5" s="588"/>
      <c r="D5" s="588"/>
      <c r="E5" s="589"/>
      <c r="F5" s="270" t="s">
        <v>1143</v>
      </c>
      <c r="G5" s="977"/>
      <c r="H5" s="590"/>
      <c r="I5" s="590"/>
      <c r="J5" s="590"/>
      <c r="K5" s="590"/>
      <c r="L5" s="591"/>
      <c r="M5" s="592"/>
      <c r="N5" s="593"/>
      <c r="O5" s="1324"/>
      <c r="P5" s="1325"/>
      <c r="Q5" s="1326"/>
      <c r="R5" s="1327"/>
      <c r="S5" s="115"/>
      <c r="V5" s="1438" t="s">
        <v>1206</v>
      </c>
      <c r="W5" s="1437" t="s">
        <v>1193</v>
      </c>
      <c r="X5" s="1437"/>
      <c r="Y5" s="1437" t="s">
        <v>1194</v>
      </c>
      <c r="Z5" s="1437"/>
      <c r="AA5" s="1437" t="s">
        <v>1195</v>
      </c>
      <c r="AB5" s="1437"/>
      <c r="AC5" s="1437" t="s">
        <v>1196</v>
      </c>
      <c r="AD5" s="1437"/>
    </row>
    <row r="6" spans="1:30" s="82" customFormat="1" ht="17.25" thickBot="1" x14ac:dyDescent="0.35">
      <c r="A6" s="1261"/>
      <c r="B6" s="583"/>
      <c r="C6" s="584" t="s">
        <v>2</v>
      </c>
      <c r="D6" s="584"/>
      <c r="E6" s="518"/>
      <c r="F6" s="1270" t="s">
        <v>1144</v>
      </c>
      <c r="G6" s="1271" t="s">
        <v>311</v>
      </c>
      <c r="H6" s="1272" t="s">
        <v>80</v>
      </c>
      <c r="I6" s="1272" t="s">
        <v>430</v>
      </c>
      <c r="J6" s="1272">
        <v>0</v>
      </c>
      <c r="K6" s="1273">
        <f t="shared" ref="K6" si="0">L6*0.95</f>
        <v>2242000</v>
      </c>
      <c r="L6" s="1273">
        <v>2360000</v>
      </c>
      <c r="M6" s="1274">
        <f t="shared" ref="M6" si="1">J6*K6</f>
        <v>0</v>
      </c>
      <c r="N6" s="1275">
        <v>0</v>
      </c>
      <c r="O6" s="1332">
        <f t="shared" ref="O6" si="2">J6*L6/(1-N6)</f>
        <v>0</v>
      </c>
      <c r="P6" s="1333"/>
      <c r="Q6" s="1334" t="s">
        <v>1145</v>
      </c>
      <c r="R6" s="1335"/>
      <c r="S6" s="471" t="s">
        <v>646</v>
      </c>
      <c r="V6" s="1439"/>
      <c r="W6" s="1168" t="s">
        <v>1199</v>
      </c>
      <c r="X6" s="1168" t="s">
        <v>1200</v>
      </c>
      <c r="Y6" s="1168" t="s">
        <v>1199</v>
      </c>
      <c r="Z6" s="1168" t="s">
        <v>1200</v>
      </c>
      <c r="AA6" s="1168" t="s">
        <v>1199</v>
      </c>
      <c r="AB6" s="1168" t="s">
        <v>1200</v>
      </c>
      <c r="AC6" s="1168" t="s">
        <v>1199</v>
      </c>
      <c r="AD6" s="1168" t="s">
        <v>1200</v>
      </c>
    </row>
    <row r="7" spans="1:30" s="82" customFormat="1" ht="17.25" thickBot="1" x14ac:dyDescent="0.35">
      <c r="A7" s="1261"/>
      <c r="B7" s="587" t="s">
        <v>2</v>
      </c>
      <c r="C7" s="588"/>
      <c r="D7" s="588"/>
      <c r="E7" s="589"/>
      <c r="F7" s="270" t="s">
        <v>1146</v>
      </c>
      <c r="G7" s="977"/>
      <c r="H7" s="590"/>
      <c r="I7" s="590"/>
      <c r="J7" s="590"/>
      <c r="K7" s="590"/>
      <c r="L7" s="591"/>
      <c r="M7" s="592"/>
      <c r="N7" s="593"/>
      <c r="O7" s="1324"/>
      <c r="P7" s="1325"/>
      <c r="Q7" s="1336"/>
      <c r="R7" s="1337"/>
      <c r="S7" s="1276"/>
      <c r="V7" s="1310" t="s">
        <v>603</v>
      </c>
      <c r="W7" s="291" t="s">
        <v>966</v>
      </c>
      <c r="X7" s="291" t="s">
        <v>1204</v>
      </c>
      <c r="Y7" s="291" t="s">
        <v>1201</v>
      </c>
      <c r="Z7" s="291" t="s">
        <v>1202</v>
      </c>
      <c r="AA7" s="291">
        <v>702916</v>
      </c>
      <c r="AB7" s="291">
        <v>701930</v>
      </c>
      <c r="AC7" s="1313" t="s">
        <v>1205</v>
      </c>
      <c r="AD7" s="1313" t="s">
        <v>1205</v>
      </c>
    </row>
    <row r="8" spans="1:30" s="82" customFormat="1" x14ac:dyDescent="0.3">
      <c r="A8" s="1261"/>
      <c r="B8" s="498"/>
      <c r="C8" s="499" t="s">
        <v>2</v>
      </c>
      <c r="D8" s="499"/>
      <c r="E8" s="151"/>
      <c r="F8" s="842" t="s">
        <v>1147</v>
      </c>
      <c r="G8" s="987" t="s">
        <v>60</v>
      </c>
      <c r="H8" s="155" t="s">
        <v>60</v>
      </c>
      <c r="I8" s="155" t="s">
        <v>116</v>
      </c>
      <c r="J8" s="155">
        <v>1</v>
      </c>
      <c r="K8" s="157">
        <v>500000</v>
      </c>
      <c r="L8" s="157">
        <v>500000</v>
      </c>
      <c r="M8" s="164">
        <f>J8*K8</f>
        <v>500000</v>
      </c>
      <c r="N8" s="158">
        <v>0.3</v>
      </c>
      <c r="O8" s="1328">
        <f t="shared" ref="O8:O10" si="3">J8*L8*(1+N8)</f>
        <v>650000</v>
      </c>
      <c r="P8" s="1329"/>
      <c r="Q8" s="1330"/>
      <c r="R8" s="1331"/>
      <c r="S8" s="152" t="s">
        <v>1148</v>
      </c>
      <c r="V8" s="1311" t="s">
        <v>1197</v>
      </c>
      <c r="W8" s="291" t="s">
        <v>966</v>
      </c>
      <c r="X8" s="291" t="s">
        <v>1204</v>
      </c>
      <c r="Y8" s="291" t="s">
        <v>1201</v>
      </c>
      <c r="Z8" s="291" t="s">
        <v>1202</v>
      </c>
      <c r="AA8" s="291">
        <v>702916</v>
      </c>
      <c r="AB8" s="1313" t="s">
        <v>1205</v>
      </c>
      <c r="AC8" s="1261"/>
      <c r="AD8" s="1261"/>
    </row>
    <row r="9" spans="1:30" s="82" customFormat="1" x14ac:dyDescent="0.3">
      <c r="A9" s="1261"/>
      <c r="B9" s="498"/>
      <c r="C9" s="499"/>
      <c r="D9" s="499" t="s">
        <v>2</v>
      </c>
      <c r="E9" s="151"/>
      <c r="F9" s="842" t="s">
        <v>1047</v>
      </c>
      <c r="G9" s="987" t="s">
        <v>520</v>
      </c>
      <c r="H9" s="155" t="s">
        <v>521</v>
      </c>
      <c r="I9" s="155" t="s">
        <v>116</v>
      </c>
      <c r="J9" s="155">
        <v>6</v>
      </c>
      <c r="K9" s="157">
        <v>20000</v>
      </c>
      <c r="L9" s="157">
        <v>20000</v>
      </c>
      <c r="M9" s="164">
        <f t="shared" ref="M9:M10" si="4">J9*K9</f>
        <v>120000</v>
      </c>
      <c r="N9" s="158">
        <v>0.3</v>
      </c>
      <c r="O9" s="1328">
        <f t="shared" si="3"/>
        <v>156000</v>
      </c>
      <c r="P9" s="1329"/>
      <c r="Q9" s="1330" t="s">
        <v>1149</v>
      </c>
      <c r="R9" s="1331"/>
      <c r="S9" s="152" t="s">
        <v>1150</v>
      </c>
      <c r="V9" s="1310" t="s">
        <v>1198</v>
      </c>
      <c r="W9" s="291" t="s">
        <v>966</v>
      </c>
      <c r="X9" s="291" t="s">
        <v>1204</v>
      </c>
      <c r="Y9" s="291" t="s">
        <v>1201</v>
      </c>
      <c r="Z9" s="291" t="s">
        <v>1202</v>
      </c>
      <c r="AA9" s="291">
        <v>702916</v>
      </c>
      <c r="AB9" s="1313" t="s">
        <v>1205</v>
      </c>
      <c r="AC9" s="1261"/>
      <c r="AD9" s="1261"/>
    </row>
    <row r="10" spans="1:30" s="82" customFormat="1" ht="17.25" thickBot="1" x14ac:dyDescent="0.35">
      <c r="A10" s="1261"/>
      <c r="B10" s="498"/>
      <c r="C10" s="499"/>
      <c r="D10" s="499" t="s">
        <v>2</v>
      </c>
      <c r="E10" s="151"/>
      <c r="F10" s="842" t="s">
        <v>1151</v>
      </c>
      <c r="G10" s="987" t="s">
        <v>1152</v>
      </c>
      <c r="H10" s="155" t="s">
        <v>1153</v>
      </c>
      <c r="I10" s="155" t="s">
        <v>116</v>
      </c>
      <c r="J10" s="155">
        <v>6</v>
      </c>
      <c r="K10" s="157">
        <v>50000</v>
      </c>
      <c r="L10" s="157">
        <v>50000</v>
      </c>
      <c r="M10" s="164">
        <f t="shared" si="4"/>
        <v>300000</v>
      </c>
      <c r="N10" s="158">
        <v>0.3</v>
      </c>
      <c r="O10" s="1328">
        <f t="shared" si="3"/>
        <v>390000</v>
      </c>
      <c r="P10" s="1329"/>
      <c r="Q10" s="1330" t="s">
        <v>1154</v>
      </c>
      <c r="R10" s="1331"/>
      <c r="S10" s="152" t="s">
        <v>1155</v>
      </c>
      <c r="V10" s="1269"/>
      <c r="W10" s="1268"/>
      <c r="X10" s="1268"/>
      <c r="Y10" s="1268"/>
      <c r="Z10" s="1268"/>
      <c r="AA10" s="1268"/>
      <c r="AB10" s="1268"/>
      <c r="AC10" s="1269"/>
      <c r="AD10" s="1269"/>
    </row>
    <row r="11" spans="1:30" s="370" customFormat="1" ht="17.25" thickBot="1" x14ac:dyDescent="0.35">
      <c r="A11" s="1269"/>
      <c r="B11" s="587" t="s">
        <v>2</v>
      </c>
      <c r="C11" s="588"/>
      <c r="D11" s="588"/>
      <c r="E11" s="589"/>
      <c r="F11" s="270" t="s">
        <v>1156</v>
      </c>
      <c r="G11" s="977"/>
      <c r="H11" s="590"/>
      <c r="I11" s="590"/>
      <c r="J11" s="590"/>
      <c r="K11" s="590"/>
      <c r="L11" s="591"/>
      <c r="M11" s="592"/>
      <c r="N11" s="593"/>
      <c r="O11" s="1324"/>
      <c r="P11" s="1325"/>
      <c r="Q11" s="1326"/>
      <c r="R11" s="1327"/>
      <c r="S11" s="115"/>
      <c r="V11" s="1440" t="s">
        <v>1207</v>
      </c>
      <c r="W11" s="1442" t="s">
        <v>1193</v>
      </c>
      <c r="X11" s="1442"/>
      <c r="Y11" s="1442" t="s">
        <v>1194</v>
      </c>
      <c r="Z11" s="1442"/>
      <c r="AA11" s="1442" t="s">
        <v>1195</v>
      </c>
      <c r="AB11" s="1442"/>
      <c r="AC11" s="1442" t="s">
        <v>1196</v>
      </c>
      <c r="AD11" s="1442"/>
    </row>
    <row r="12" spans="1:30" s="82" customFormat="1" ht="17.25" thickBot="1" x14ac:dyDescent="0.35">
      <c r="A12" s="1261"/>
      <c r="B12" s="583"/>
      <c r="C12" s="584" t="s">
        <v>2</v>
      </c>
      <c r="D12" s="584"/>
      <c r="E12" s="518"/>
      <c r="F12" s="1270" t="s">
        <v>1144</v>
      </c>
      <c r="G12" s="1271" t="s">
        <v>311</v>
      </c>
      <c r="H12" s="1272" t="s">
        <v>80</v>
      </c>
      <c r="I12" s="1272" t="s">
        <v>430</v>
      </c>
      <c r="J12" s="1272">
        <v>0</v>
      </c>
      <c r="K12" s="1273">
        <f t="shared" ref="K12" si="5">L12*0.95</f>
        <v>2242000</v>
      </c>
      <c r="L12" s="1273">
        <v>2360000</v>
      </c>
      <c r="M12" s="1274">
        <f t="shared" ref="M12" si="6">J12*K12</f>
        <v>0</v>
      </c>
      <c r="N12" s="1275">
        <v>0</v>
      </c>
      <c r="O12" s="1332">
        <f t="shared" ref="O12" si="7">J12*L12/(1-N12)</f>
        <v>0</v>
      </c>
      <c r="P12" s="1333"/>
      <c r="Q12" s="1334" t="s">
        <v>1145</v>
      </c>
      <c r="R12" s="1335"/>
      <c r="S12" s="471" t="s">
        <v>646</v>
      </c>
      <c r="V12" s="1441"/>
      <c r="W12" s="1309" t="s">
        <v>1199</v>
      </c>
      <c r="X12" s="1309" t="s">
        <v>1200</v>
      </c>
      <c r="Y12" s="1309" t="s">
        <v>1199</v>
      </c>
      <c r="Z12" s="1309" t="s">
        <v>1200</v>
      </c>
      <c r="AA12" s="1309" t="s">
        <v>1199</v>
      </c>
      <c r="AB12" s="1309" t="s">
        <v>1200</v>
      </c>
      <c r="AC12" s="1309" t="s">
        <v>1199</v>
      </c>
      <c r="AD12" s="1309" t="s">
        <v>1200</v>
      </c>
    </row>
    <row r="13" spans="1:30" s="82" customFormat="1" ht="17.25" thickBot="1" x14ac:dyDescent="0.35">
      <c r="A13" s="1261"/>
      <c r="B13" s="587" t="s">
        <v>2</v>
      </c>
      <c r="C13" s="588"/>
      <c r="D13" s="588"/>
      <c r="E13" s="589"/>
      <c r="F13" s="270" t="s">
        <v>1157</v>
      </c>
      <c r="G13" s="977"/>
      <c r="H13" s="590"/>
      <c r="I13" s="590"/>
      <c r="J13" s="590"/>
      <c r="K13" s="590"/>
      <c r="L13" s="591"/>
      <c r="M13" s="592"/>
      <c r="N13" s="593"/>
      <c r="O13" s="1324"/>
      <c r="P13" s="1325"/>
      <c r="Q13" s="1336"/>
      <c r="R13" s="1337"/>
      <c r="S13" s="1276"/>
      <c r="V13" s="1310" t="s">
        <v>603</v>
      </c>
      <c r="W13" s="291" t="s">
        <v>966</v>
      </c>
      <c r="X13" s="651" t="s">
        <v>1203</v>
      </c>
      <c r="Y13" s="291" t="s">
        <v>1201</v>
      </c>
      <c r="Z13" s="291" t="s">
        <v>1202</v>
      </c>
      <c r="AA13" s="291" t="s">
        <v>1204</v>
      </c>
      <c r="AB13" s="291">
        <v>702916</v>
      </c>
      <c r="AC13" s="291">
        <v>701930</v>
      </c>
      <c r="AD13" s="1313" t="s">
        <v>1205</v>
      </c>
    </row>
    <row r="14" spans="1:30" s="82" customFormat="1" x14ac:dyDescent="0.3">
      <c r="A14" s="1261"/>
      <c r="B14" s="498"/>
      <c r="C14" s="499" t="s">
        <v>2</v>
      </c>
      <c r="D14" s="499"/>
      <c r="E14" s="151"/>
      <c r="F14" s="842" t="s">
        <v>1147</v>
      </c>
      <c r="G14" s="987" t="s">
        <v>60</v>
      </c>
      <c r="H14" s="155" t="s">
        <v>60</v>
      </c>
      <c r="I14" s="155" t="s">
        <v>116</v>
      </c>
      <c r="J14" s="155">
        <v>1</v>
      </c>
      <c r="K14" s="157">
        <v>500000</v>
      </c>
      <c r="L14" s="157">
        <v>500000</v>
      </c>
      <c r="M14" s="164">
        <f>J14*K14</f>
        <v>500000</v>
      </c>
      <c r="N14" s="158">
        <v>0.3</v>
      </c>
      <c r="O14" s="1328">
        <f t="shared" ref="O14:O16" si="8">J14*L14*(1+N14)</f>
        <v>650000</v>
      </c>
      <c r="P14" s="1329"/>
      <c r="Q14" s="1330"/>
      <c r="R14" s="1331"/>
      <c r="S14" s="152" t="s">
        <v>1148</v>
      </c>
      <c r="V14" s="1311" t="s">
        <v>1197</v>
      </c>
      <c r="W14" s="291" t="s">
        <v>966</v>
      </c>
      <c r="X14" s="651" t="s">
        <v>1203</v>
      </c>
      <c r="Y14" s="291" t="s">
        <v>1201</v>
      </c>
      <c r="Z14" s="291" t="s">
        <v>1202</v>
      </c>
      <c r="AA14" s="291" t="s">
        <v>1204</v>
      </c>
      <c r="AB14" s="291">
        <v>702916</v>
      </c>
      <c r="AC14" s="1312"/>
      <c r="AD14" s="1261"/>
    </row>
    <row r="15" spans="1:30" s="82" customFormat="1" x14ac:dyDescent="0.3">
      <c r="A15" s="1261"/>
      <c r="B15" s="498"/>
      <c r="C15" s="499"/>
      <c r="D15" s="499" t="s">
        <v>2</v>
      </c>
      <c r="E15" s="151"/>
      <c r="F15" s="842" t="s">
        <v>1047</v>
      </c>
      <c r="G15" s="987" t="s">
        <v>520</v>
      </c>
      <c r="H15" s="155" t="s">
        <v>521</v>
      </c>
      <c r="I15" s="155" t="s">
        <v>116</v>
      </c>
      <c r="J15" s="155">
        <v>6</v>
      </c>
      <c r="K15" s="157">
        <v>20000</v>
      </c>
      <c r="L15" s="157">
        <v>20000</v>
      </c>
      <c r="M15" s="164">
        <f t="shared" ref="M15:M16" si="9">J15*K15</f>
        <v>120000</v>
      </c>
      <c r="N15" s="158">
        <v>0.3</v>
      </c>
      <c r="O15" s="1328">
        <f t="shared" si="8"/>
        <v>156000</v>
      </c>
      <c r="P15" s="1329"/>
      <c r="Q15" s="1330" t="s">
        <v>1149</v>
      </c>
      <c r="R15" s="1331"/>
      <c r="S15" s="152" t="s">
        <v>1150</v>
      </c>
      <c r="V15" s="1310" t="s">
        <v>1198</v>
      </c>
      <c r="W15" s="291" t="s">
        <v>966</v>
      </c>
      <c r="X15" s="651" t="s">
        <v>1203</v>
      </c>
      <c r="Y15" s="291" t="s">
        <v>1201</v>
      </c>
      <c r="Z15" s="291" t="s">
        <v>1202</v>
      </c>
      <c r="AA15" s="291" t="s">
        <v>1204</v>
      </c>
      <c r="AB15" s="291">
        <v>702916</v>
      </c>
      <c r="AC15" s="1312"/>
      <c r="AD15" s="1261"/>
    </row>
    <row r="16" spans="1:30" s="82" customFormat="1" ht="17.25" thickBot="1" x14ac:dyDescent="0.35">
      <c r="A16" s="1261"/>
      <c r="B16" s="498"/>
      <c r="C16" s="499"/>
      <c r="D16" s="499" t="s">
        <v>2</v>
      </c>
      <c r="E16" s="151"/>
      <c r="F16" s="842" t="s">
        <v>1151</v>
      </c>
      <c r="G16" s="987" t="s">
        <v>1152</v>
      </c>
      <c r="H16" s="155" t="s">
        <v>1153</v>
      </c>
      <c r="I16" s="155" t="s">
        <v>116</v>
      </c>
      <c r="J16" s="155">
        <v>6</v>
      </c>
      <c r="K16" s="157">
        <v>50000</v>
      </c>
      <c r="L16" s="157">
        <v>50000</v>
      </c>
      <c r="M16" s="164">
        <f t="shared" si="9"/>
        <v>300000</v>
      </c>
      <c r="N16" s="158">
        <v>0.3</v>
      </c>
      <c r="O16" s="1328">
        <f t="shared" si="8"/>
        <v>390000</v>
      </c>
      <c r="P16" s="1329"/>
      <c r="Q16" s="1330" t="s">
        <v>1154</v>
      </c>
      <c r="R16" s="1331"/>
      <c r="S16" s="152" t="s">
        <v>1155</v>
      </c>
      <c r="V16" s="370"/>
      <c r="W16" s="370"/>
      <c r="X16" s="370"/>
      <c r="Y16" s="370"/>
      <c r="Z16" s="370"/>
      <c r="AA16" s="370"/>
      <c r="AB16" s="370"/>
      <c r="AC16" s="370"/>
      <c r="AD16" s="370"/>
    </row>
    <row r="17" spans="1:30" s="370" customFormat="1" ht="17.25" thickBot="1" x14ac:dyDescent="0.35">
      <c r="A17" s="1269"/>
      <c r="B17" s="587" t="s">
        <v>2</v>
      </c>
      <c r="C17" s="588"/>
      <c r="D17" s="588"/>
      <c r="E17" s="589"/>
      <c r="F17" s="270" t="s">
        <v>1158</v>
      </c>
      <c r="G17" s="977"/>
      <c r="H17" s="590"/>
      <c r="I17" s="590"/>
      <c r="J17" s="590"/>
      <c r="K17" s="590"/>
      <c r="L17" s="591"/>
      <c r="M17" s="592"/>
      <c r="N17" s="593"/>
      <c r="O17" s="1324"/>
      <c r="P17" s="1325"/>
      <c r="Q17" s="1326"/>
      <c r="R17" s="1327"/>
      <c r="S17" s="115"/>
      <c r="V17" s="82"/>
      <c r="W17" s="82"/>
      <c r="X17" s="82"/>
      <c r="Y17" s="82"/>
      <c r="Z17" s="82"/>
      <c r="AA17" s="82"/>
      <c r="AB17" s="82"/>
      <c r="AC17" s="82"/>
      <c r="AD17" s="82"/>
    </row>
    <row r="18" spans="1:30" s="82" customFormat="1" ht="17.25" thickBot="1" x14ac:dyDescent="0.35">
      <c r="A18" s="1261"/>
      <c r="B18" s="583"/>
      <c r="C18" s="584" t="s">
        <v>2</v>
      </c>
      <c r="D18" s="584"/>
      <c r="E18" s="518"/>
      <c r="F18" s="1270" t="s">
        <v>1144</v>
      </c>
      <c r="G18" s="1271" t="s">
        <v>311</v>
      </c>
      <c r="H18" s="1272" t="s">
        <v>80</v>
      </c>
      <c r="I18" s="1272" t="s">
        <v>430</v>
      </c>
      <c r="J18" s="1272">
        <v>0</v>
      </c>
      <c r="K18" s="1273">
        <f t="shared" ref="K18" si="10">L18*0.95</f>
        <v>2242000</v>
      </c>
      <c r="L18" s="1273">
        <v>2360000</v>
      </c>
      <c r="M18" s="1274">
        <f t="shared" ref="M18" si="11">J18*K18</f>
        <v>0</v>
      </c>
      <c r="N18" s="1275">
        <v>0</v>
      </c>
      <c r="O18" s="1332">
        <f t="shared" ref="O18" si="12">J18*L18/(1-N18)</f>
        <v>0</v>
      </c>
      <c r="P18" s="1333"/>
      <c r="Q18" s="1334" t="s">
        <v>1046</v>
      </c>
      <c r="R18" s="1335"/>
      <c r="S18" s="471" t="s">
        <v>646</v>
      </c>
    </row>
    <row r="19" spans="1:30" s="82" customFormat="1" ht="17.25" thickBot="1" x14ac:dyDescent="0.35">
      <c r="A19" s="1261"/>
      <c r="B19" s="587" t="s">
        <v>2</v>
      </c>
      <c r="C19" s="588"/>
      <c r="D19" s="588"/>
      <c r="E19" s="589"/>
      <c r="F19" s="270" t="s">
        <v>1159</v>
      </c>
      <c r="G19" s="977"/>
      <c r="H19" s="590"/>
      <c r="I19" s="590"/>
      <c r="J19" s="590"/>
      <c r="K19" s="590"/>
      <c r="L19" s="591"/>
      <c r="M19" s="592"/>
      <c r="N19" s="593"/>
      <c r="O19" s="1324"/>
      <c r="P19" s="1325"/>
      <c r="Q19" s="1336"/>
      <c r="R19" s="1337"/>
      <c r="S19" s="1276"/>
    </row>
    <row r="20" spans="1:30" s="82" customFormat="1" x14ac:dyDescent="0.3">
      <c r="A20" s="1261"/>
      <c r="B20" s="498"/>
      <c r="C20" s="499" t="s">
        <v>2</v>
      </c>
      <c r="D20" s="499"/>
      <c r="E20" s="151"/>
      <c r="F20" s="842" t="s">
        <v>1147</v>
      </c>
      <c r="G20" s="987" t="s">
        <v>60</v>
      </c>
      <c r="H20" s="155" t="s">
        <v>60</v>
      </c>
      <c r="I20" s="155" t="s">
        <v>116</v>
      </c>
      <c r="J20" s="155">
        <v>1</v>
      </c>
      <c r="K20" s="157">
        <v>500000</v>
      </c>
      <c r="L20" s="157">
        <v>500000</v>
      </c>
      <c r="M20" s="164">
        <f>J20*K20</f>
        <v>500000</v>
      </c>
      <c r="N20" s="158">
        <v>0.3</v>
      </c>
      <c r="O20" s="1328">
        <f t="shared" ref="O20:O22" si="13">J20*L20*(1+N20)</f>
        <v>650000</v>
      </c>
      <c r="P20" s="1329"/>
      <c r="Q20" s="1330"/>
      <c r="R20" s="1331"/>
      <c r="S20" s="152" t="s">
        <v>1148</v>
      </c>
    </row>
    <row r="21" spans="1:30" s="82" customFormat="1" x14ac:dyDescent="0.3">
      <c r="A21" s="1261"/>
      <c r="B21" s="498"/>
      <c r="C21" s="499"/>
      <c r="D21" s="499" t="s">
        <v>2</v>
      </c>
      <c r="E21" s="151"/>
      <c r="F21" s="842" t="s">
        <v>1047</v>
      </c>
      <c r="G21" s="987" t="s">
        <v>520</v>
      </c>
      <c r="H21" s="155" t="s">
        <v>521</v>
      </c>
      <c r="I21" s="155" t="s">
        <v>116</v>
      </c>
      <c r="J21" s="155">
        <v>3</v>
      </c>
      <c r="K21" s="157">
        <v>20000</v>
      </c>
      <c r="L21" s="157">
        <v>20000</v>
      </c>
      <c r="M21" s="164">
        <f t="shared" ref="M21:M22" si="14">J21*K21</f>
        <v>60000</v>
      </c>
      <c r="N21" s="158">
        <v>0.3</v>
      </c>
      <c r="O21" s="1328">
        <f t="shared" si="13"/>
        <v>78000</v>
      </c>
      <c r="P21" s="1329"/>
      <c r="Q21" s="1330" t="s">
        <v>1045</v>
      </c>
      <c r="R21" s="1331"/>
      <c r="S21" s="152" t="s">
        <v>1150</v>
      </c>
    </row>
    <row r="22" spans="1:30" s="82" customFormat="1" ht="17.25" thickBot="1" x14ac:dyDescent="0.35">
      <c r="A22" s="1261"/>
      <c r="B22" s="498"/>
      <c r="C22" s="499"/>
      <c r="D22" s="499" t="s">
        <v>2</v>
      </c>
      <c r="E22" s="151"/>
      <c r="F22" s="842" t="s">
        <v>1160</v>
      </c>
      <c r="G22" s="987" t="s">
        <v>1161</v>
      </c>
      <c r="H22" s="155" t="s">
        <v>1153</v>
      </c>
      <c r="I22" s="155" t="s">
        <v>116</v>
      </c>
      <c r="J22" s="155">
        <v>3</v>
      </c>
      <c r="K22" s="157">
        <v>70000</v>
      </c>
      <c r="L22" s="157">
        <v>70000</v>
      </c>
      <c r="M22" s="164">
        <f t="shared" si="14"/>
        <v>210000</v>
      </c>
      <c r="N22" s="158">
        <v>0.3</v>
      </c>
      <c r="O22" s="1328">
        <f t="shared" si="13"/>
        <v>273000</v>
      </c>
      <c r="P22" s="1329"/>
      <c r="Q22" s="1330" t="s">
        <v>1049</v>
      </c>
      <c r="R22" s="1331"/>
      <c r="S22" s="152" t="s">
        <v>1155</v>
      </c>
    </row>
    <row r="23" spans="1:30" s="82" customFormat="1" ht="18" thickBot="1" x14ac:dyDescent="0.35">
      <c r="A23" s="1261"/>
      <c r="B23" s="1338" t="s">
        <v>53</v>
      </c>
      <c r="C23" s="1339"/>
      <c r="D23" s="1339"/>
      <c r="E23" s="1339"/>
      <c r="F23" s="1339"/>
      <c r="G23" s="1339"/>
      <c r="H23" s="1339"/>
      <c r="I23" s="1339"/>
      <c r="J23" s="1339"/>
      <c r="K23" s="1339"/>
      <c r="L23" s="1340"/>
      <c r="M23" s="123">
        <f>SUM(M5:M22)</f>
        <v>2610000</v>
      </c>
      <c r="N23" s="136"/>
      <c r="O23" s="1341">
        <f>SUM(O5:P22)</f>
        <v>3393000</v>
      </c>
      <c r="P23" s="1342"/>
      <c r="Q23" s="1343"/>
      <c r="R23" s="1344"/>
      <c r="S23" s="130"/>
    </row>
    <row r="24" spans="1:30" s="82" customFormat="1" ht="17.25" thickBot="1" x14ac:dyDescent="0.35">
      <c r="A24" s="1261"/>
      <c r="B24" s="587" t="s">
        <v>2</v>
      </c>
      <c r="C24" s="588"/>
      <c r="D24" s="588"/>
      <c r="E24" s="589"/>
      <c r="F24" s="270" t="s">
        <v>1162</v>
      </c>
      <c r="G24" s="977"/>
      <c r="H24" s="590"/>
      <c r="I24" s="590"/>
      <c r="J24" s="590"/>
      <c r="K24" s="590"/>
      <c r="L24" s="591"/>
      <c r="M24" s="592"/>
      <c r="N24" s="593"/>
      <c r="O24" s="1324"/>
      <c r="P24" s="1325"/>
      <c r="Q24" s="1326"/>
      <c r="R24" s="1327"/>
      <c r="S24" s="1276"/>
    </row>
    <row r="25" spans="1:30" s="82" customFormat="1" x14ac:dyDescent="0.3">
      <c r="B25" s="498"/>
      <c r="C25" s="499" t="s">
        <v>73</v>
      </c>
      <c r="D25" s="499"/>
      <c r="E25" s="151"/>
      <c r="F25" s="842" t="s">
        <v>1053</v>
      </c>
      <c r="G25" s="987" t="s">
        <v>42</v>
      </c>
      <c r="H25" s="155" t="s">
        <v>60</v>
      </c>
      <c r="I25" s="155" t="s">
        <v>40</v>
      </c>
      <c r="J25" s="155">
        <v>25</v>
      </c>
      <c r="K25" s="157">
        <v>422000</v>
      </c>
      <c r="L25" s="157">
        <v>422000</v>
      </c>
      <c r="M25" s="164">
        <f t="shared" ref="M25:M26" si="15">J25*K25</f>
        <v>10550000</v>
      </c>
      <c r="N25" s="158"/>
      <c r="O25" s="1328">
        <f t="shared" ref="O25:O26" si="16">L25*J25</f>
        <v>10550000</v>
      </c>
      <c r="P25" s="1329"/>
      <c r="Q25" s="1330"/>
      <c r="R25" s="1331"/>
      <c r="S25" s="152"/>
      <c r="T25" s="606"/>
    </row>
    <row r="26" spans="1:30" s="82" customFormat="1" ht="17.25" thickBot="1" x14ac:dyDescent="0.35">
      <c r="B26" s="498"/>
      <c r="C26" s="499" t="s">
        <v>73</v>
      </c>
      <c r="D26" s="499"/>
      <c r="E26" s="151"/>
      <c r="F26" s="842" t="s">
        <v>1054</v>
      </c>
      <c r="G26" s="987" t="s">
        <v>42</v>
      </c>
      <c r="H26" s="155" t="s">
        <v>60</v>
      </c>
      <c r="I26" s="155" t="s">
        <v>40</v>
      </c>
      <c r="J26" s="155">
        <v>20</v>
      </c>
      <c r="K26" s="157">
        <v>422000</v>
      </c>
      <c r="L26" s="157">
        <v>422000</v>
      </c>
      <c r="M26" s="164">
        <f t="shared" si="15"/>
        <v>8440000</v>
      </c>
      <c r="N26" s="158"/>
      <c r="O26" s="1328">
        <f t="shared" si="16"/>
        <v>8440000</v>
      </c>
      <c r="P26" s="1329"/>
      <c r="Q26" s="1330"/>
      <c r="R26" s="1331"/>
      <c r="S26" s="152"/>
      <c r="T26" s="606"/>
    </row>
    <row r="27" spans="1:30" s="82" customFormat="1" ht="17.25" thickBot="1" x14ac:dyDescent="0.35">
      <c r="A27" s="1261"/>
      <c r="B27" s="587" t="s">
        <v>2</v>
      </c>
      <c r="C27" s="588"/>
      <c r="D27" s="588"/>
      <c r="E27" s="589"/>
      <c r="F27" s="270" t="s">
        <v>76</v>
      </c>
      <c r="G27" s="977"/>
      <c r="H27" s="590"/>
      <c r="I27" s="590"/>
      <c r="J27" s="590"/>
      <c r="K27" s="590"/>
      <c r="L27" s="591"/>
      <c r="M27" s="592"/>
      <c r="N27" s="593"/>
      <c r="O27" s="1324"/>
      <c r="P27" s="1325"/>
      <c r="Q27" s="1324"/>
      <c r="R27" s="1325"/>
      <c r="S27" s="1276"/>
    </row>
    <row r="28" spans="1:30" s="82" customFormat="1" x14ac:dyDescent="0.3">
      <c r="A28" s="1261"/>
      <c r="B28" s="1277"/>
      <c r="C28" s="1278" t="s">
        <v>2</v>
      </c>
      <c r="D28" s="1278"/>
      <c r="E28" s="1279"/>
      <c r="F28" s="1280" t="s">
        <v>7</v>
      </c>
      <c r="G28" s="1281"/>
      <c r="H28" s="826" t="s">
        <v>130</v>
      </c>
      <c r="I28" s="826" t="s">
        <v>131</v>
      </c>
      <c r="J28" s="284">
        <v>2</v>
      </c>
      <c r="K28" s="157">
        <v>422000</v>
      </c>
      <c r="L28" s="157">
        <v>422000</v>
      </c>
      <c r="M28" s="112">
        <f>K28*J28</f>
        <v>844000</v>
      </c>
      <c r="N28" s="137"/>
      <c r="O28" s="1328">
        <f t="shared" ref="O28:O34" si="17">L28*J28</f>
        <v>844000</v>
      </c>
      <c r="P28" s="1329"/>
      <c r="Q28" s="1359" t="s">
        <v>62</v>
      </c>
      <c r="R28" s="1360"/>
      <c r="S28" s="1282"/>
    </row>
    <row r="29" spans="1:30" s="82" customFormat="1" x14ac:dyDescent="0.3">
      <c r="A29" s="1261"/>
      <c r="B29" s="581"/>
      <c r="C29" s="1283" t="s">
        <v>2</v>
      </c>
      <c r="D29" s="1283"/>
      <c r="E29" s="582"/>
      <c r="F29" s="1284" t="s">
        <v>11</v>
      </c>
      <c r="G29" s="1285"/>
      <c r="H29" s="826" t="s">
        <v>130</v>
      </c>
      <c r="I29" s="826" t="s">
        <v>131</v>
      </c>
      <c r="J29" s="184">
        <v>2</v>
      </c>
      <c r="K29" s="157">
        <v>422000</v>
      </c>
      <c r="L29" s="157">
        <v>422000</v>
      </c>
      <c r="M29" s="113">
        <f t="shared" ref="M29:M34" si="18">K29*J29</f>
        <v>844000</v>
      </c>
      <c r="N29" s="138"/>
      <c r="O29" s="1328">
        <f t="shared" si="17"/>
        <v>844000</v>
      </c>
      <c r="P29" s="1329"/>
      <c r="Q29" s="1361"/>
      <c r="R29" s="1362"/>
      <c r="S29" s="1286"/>
    </row>
    <row r="30" spans="1:30" s="82" customFormat="1" x14ac:dyDescent="0.3">
      <c r="A30" s="1261"/>
      <c r="B30" s="581"/>
      <c r="C30" s="1283" t="s">
        <v>2</v>
      </c>
      <c r="D30" s="1283"/>
      <c r="E30" s="582"/>
      <c r="F30" s="1284" t="s">
        <v>41</v>
      </c>
      <c r="G30" s="1285"/>
      <c r="H30" s="826" t="s">
        <v>130</v>
      </c>
      <c r="I30" s="826" t="s">
        <v>131</v>
      </c>
      <c r="J30" s="184">
        <v>2</v>
      </c>
      <c r="K30" s="157">
        <v>422000</v>
      </c>
      <c r="L30" s="157">
        <v>422000</v>
      </c>
      <c r="M30" s="113">
        <f t="shared" si="18"/>
        <v>844000</v>
      </c>
      <c r="N30" s="138"/>
      <c r="O30" s="1328">
        <f t="shared" si="17"/>
        <v>844000</v>
      </c>
      <c r="P30" s="1329"/>
      <c r="Q30" s="1361"/>
      <c r="R30" s="1362"/>
      <c r="S30" s="1286"/>
    </row>
    <row r="31" spans="1:30" s="82" customFormat="1" x14ac:dyDescent="0.3">
      <c r="A31" s="1261"/>
      <c r="B31" s="581"/>
      <c r="C31" s="1283" t="s">
        <v>2</v>
      </c>
      <c r="D31" s="1283"/>
      <c r="E31" s="582"/>
      <c r="F31" s="1284" t="s">
        <v>10</v>
      </c>
      <c r="G31" s="1285"/>
      <c r="H31" s="826" t="s">
        <v>130</v>
      </c>
      <c r="I31" s="826" t="s">
        <v>131</v>
      </c>
      <c r="J31" s="184">
        <v>2</v>
      </c>
      <c r="K31" s="157">
        <v>422000</v>
      </c>
      <c r="L31" s="157">
        <v>422000</v>
      </c>
      <c r="M31" s="113">
        <f t="shared" si="18"/>
        <v>844000</v>
      </c>
      <c r="N31" s="138"/>
      <c r="O31" s="1328">
        <f t="shared" si="17"/>
        <v>844000</v>
      </c>
      <c r="P31" s="1329"/>
      <c r="Q31" s="1361"/>
      <c r="R31" s="1362"/>
      <c r="S31" s="1286"/>
    </row>
    <row r="32" spans="1:30" s="82" customFormat="1" x14ac:dyDescent="0.3">
      <c r="A32" s="1261"/>
      <c r="B32" s="581"/>
      <c r="C32" s="1283" t="s">
        <v>2</v>
      </c>
      <c r="D32" s="1283"/>
      <c r="E32" s="582"/>
      <c r="F32" s="1284" t="s">
        <v>61</v>
      </c>
      <c r="G32" s="1285"/>
      <c r="H32" s="826" t="s">
        <v>130</v>
      </c>
      <c r="I32" s="826" t="s">
        <v>131</v>
      </c>
      <c r="J32" s="184">
        <v>2</v>
      </c>
      <c r="K32" s="157">
        <v>422000</v>
      </c>
      <c r="L32" s="157">
        <v>422000</v>
      </c>
      <c r="M32" s="113">
        <f t="shared" si="18"/>
        <v>844000</v>
      </c>
      <c r="N32" s="138"/>
      <c r="O32" s="1328">
        <f t="shared" si="17"/>
        <v>844000</v>
      </c>
      <c r="P32" s="1329"/>
      <c r="Q32" s="1361"/>
      <c r="R32" s="1362"/>
      <c r="S32" s="1286"/>
      <c r="V32"/>
      <c r="W32"/>
      <c r="X32"/>
      <c r="Y32"/>
      <c r="Z32"/>
      <c r="AA32"/>
      <c r="AB32"/>
      <c r="AC32"/>
      <c r="AD32"/>
    </row>
    <row r="33" spans="2:30" x14ac:dyDescent="0.3">
      <c r="B33" s="1287"/>
      <c r="C33" s="1283" t="s">
        <v>2</v>
      </c>
      <c r="D33" s="1288"/>
      <c r="E33" s="1289"/>
      <c r="F33" s="1290" t="s">
        <v>9</v>
      </c>
      <c r="G33" s="1285"/>
      <c r="H33" s="372" t="s">
        <v>130</v>
      </c>
      <c r="I33" s="372" t="s">
        <v>131</v>
      </c>
      <c r="J33" s="184">
        <v>10</v>
      </c>
      <c r="K33" s="157">
        <v>422000</v>
      </c>
      <c r="L33" s="157">
        <v>422000</v>
      </c>
      <c r="M33" s="113">
        <f t="shared" si="18"/>
        <v>4220000</v>
      </c>
      <c r="N33" s="138"/>
      <c r="O33" s="1365">
        <f t="shared" si="17"/>
        <v>4220000</v>
      </c>
      <c r="P33" s="1366"/>
      <c r="Q33" s="1361"/>
      <c r="R33" s="1362"/>
      <c r="S33" s="1291"/>
    </row>
    <row r="34" spans="2:30" ht="17.25" thickBot="1" x14ac:dyDescent="0.35">
      <c r="B34" s="1292"/>
      <c r="C34" s="1293" t="s">
        <v>2</v>
      </c>
      <c r="D34" s="1293"/>
      <c r="E34" s="1294"/>
      <c r="F34" s="1295" t="s">
        <v>8</v>
      </c>
      <c r="G34" s="1296"/>
      <c r="H34" s="372" t="s">
        <v>130</v>
      </c>
      <c r="I34" s="372" t="s">
        <v>131</v>
      </c>
      <c r="J34" s="861">
        <v>0</v>
      </c>
      <c r="K34" s="157">
        <v>422000</v>
      </c>
      <c r="L34" s="157">
        <v>422000</v>
      </c>
      <c r="M34" s="114">
        <f t="shared" si="18"/>
        <v>0</v>
      </c>
      <c r="N34" s="139"/>
      <c r="O34" s="1365">
        <f t="shared" si="17"/>
        <v>0</v>
      </c>
      <c r="P34" s="1366"/>
      <c r="Q34" s="1363"/>
      <c r="R34" s="1364"/>
      <c r="S34" s="1297"/>
    </row>
    <row r="35" spans="2:30" ht="18" thickBot="1" x14ac:dyDescent="0.35">
      <c r="B35" s="1345" t="s">
        <v>46</v>
      </c>
      <c r="C35" s="1346"/>
      <c r="D35" s="1346"/>
      <c r="E35" s="1346"/>
      <c r="F35" s="1346"/>
      <c r="G35" s="1346"/>
      <c r="H35" s="1346"/>
      <c r="I35" s="1346"/>
      <c r="J35" s="1346"/>
      <c r="K35" s="1346"/>
      <c r="L35" s="1347"/>
      <c r="M35" s="1298">
        <f>SUM(M24:M34)</f>
        <v>27430000</v>
      </c>
      <c r="N35" s="1299"/>
      <c r="O35" s="1348">
        <f>SUM(O24:P34)</f>
        <v>27430000</v>
      </c>
      <c r="P35" s="1349"/>
      <c r="Q35" s="1350"/>
      <c r="R35" s="1350"/>
      <c r="S35" s="1351"/>
    </row>
    <row r="36" spans="2:30" ht="20.25" thickBot="1" x14ac:dyDescent="0.35">
      <c r="B36" s="1352" t="s">
        <v>52</v>
      </c>
      <c r="C36" s="1353"/>
      <c r="D36" s="1353"/>
      <c r="E36" s="1353"/>
      <c r="F36" s="1353"/>
      <c r="G36" s="1353"/>
      <c r="H36" s="1353"/>
      <c r="I36" s="1353"/>
      <c r="J36" s="1353"/>
      <c r="K36" s="1353"/>
      <c r="L36" s="1353"/>
      <c r="M36" s="125"/>
      <c r="N36" s="134">
        <v>0.03</v>
      </c>
      <c r="O36" s="1354">
        <f>ROUNDDOWN(O23*N36,-3)</f>
        <v>101000</v>
      </c>
      <c r="P36" s="1355"/>
      <c r="Q36" s="1356"/>
      <c r="R36" s="1357"/>
      <c r="S36" s="1358"/>
    </row>
    <row r="37" spans="2:30" ht="20.25" thickBot="1" x14ac:dyDescent="0.35">
      <c r="B37" s="1352" t="s">
        <v>54</v>
      </c>
      <c r="C37" s="1353"/>
      <c r="D37" s="1353"/>
      <c r="E37" s="1353"/>
      <c r="F37" s="1353"/>
      <c r="G37" s="1353"/>
      <c r="H37" s="1353"/>
      <c r="I37" s="1353"/>
      <c r="J37" s="1353"/>
      <c r="K37" s="1353"/>
      <c r="L37" s="1353"/>
      <c r="M37" s="1300"/>
      <c r="N37" s="128"/>
      <c r="O37" s="1354">
        <f>SUM(O36,O35,O23)</f>
        <v>30924000</v>
      </c>
      <c r="P37" s="1355"/>
      <c r="Q37" s="1374"/>
      <c r="R37" s="1375"/>
      <c r="S37" s="1376"/>
    </row>
    <row r="38" spans="2:30" ht="20.25" thickBot="1" x14ac:dyDescent="0.35">
      <c r="B38" s="1352" t="s">
        <v>51</v>
      </c>
      <c r="C38" s="1353"/>
      <c r="D38" s="1353"/>
      <c r="E38" s="1353"/>
      <c r="F38" s="1353"/>
      <c r="G38" s="1353"/>
      <c r="H38" s="1353"/>
      <c r="I38" s="1353"/>
      <c r="J38" s="1353"/>
      <c r="K38" s="1353"/>
      <c r="L38" s="1353"/>
      <c r="M38" s="1301"/>
      <c r="N38" s="126">
        <v>0.1</v>
      </c>
      <c r="O38" s="1381">
        <f>ROUNDDOWN(O37*N38,-3)</f>
        <v>3092000</v>
      </c>
      <c r="P38" s="1382"/>
      <c r="Q38" s="1383"/>
      <c r="R38" s="1384"/>
      <c r="S38" s="1385"/>
    </row>
    <row r="39" spans="2:30" ht="21" thickBot="1" x14ac:dyDescent="0.35">
      <c r="B39" s="1367" t="s">
        <v>44</v>
      </c>
      <c r="C39" s="1368"/>
      <c r="D39" s="1368"/>
      <c r="E39" s="1368"/>
      <c r="F39" s="1368"/>
      <c r="G39" s="1368"/>
      <c r="H39" s="1368"/>
      <c r="I39" s="1368"/>
      <c r="J39" s="1368"/>
      <c r="K39" s="1368"/>
      <c r="L39" s="1368"/>
      <c r="M39" s="1302"/>
      <c r="N39" s="111"/>
      <c r="O39" s="1369">
        <f>ROUNDDOWN(SUM(O37:P38), -6)</f>
        <v>34000000</v>
      </c>
      <c r="P39" s="1370"/>
      <c r="Q39" s="1371"/>
      <c r="R39" s="1372"/>
      <c r="S39" s="1373"/>
    </row>
    <row r="40" spans="2:30" ht="21" thickBot="1" x14ac:dyDescent="0.35">
      <c r="B40" s="104"/>
      <c r="C40" s="104"/>
      <c r="D40" s="104"/>
      <c r="E40" s="104"/>
      <c r="F40" s="1303"/>
      <c r="G40" s="1304"/>
      <c r="H40" s="1303"/>
      <c r="I40" s="1303"/>
      <c r="J40" s="1303"/>
      <c r="K40" s="1303"/>
      <c r="L40" s="1303"/>
      <c r="M40" s="1305"/>
      <c r="N40" s="107"/>
      <c r="O40" s="107"/>
      <c r="P40" s="107"/>
      <c r="Q40" s="1306"/>
      <c r="R40" s="1306"/>
      <c r="S40" s="1306"/>
    </row>
    <row r="41" spans="2:30" ht="18" thickBot="1" x14ac:dyDescent="0.35">
      <c r="B41" s="1374" t="s">
        <v>50</v>
      </c>
      <c r="C41" s="1375"/>
      <c r="D41" s="1375"/>
      <c r="E41" s="1376"/>
      <c r="F41" s="109"/>
      <c r="G41" s="771"/>
      <c r="H41" s="109"/>
      <c r="I41" s="109"/>
      <c r="J41" s="109"/>
      <c r="K41" s="110"/>
      <c r="L41" s="110"/>
      <c r="M41" s="110"/>
      <c r="N41" s="77" t="s">
        <v>14</v>
      </c>
      <c r="O41" s="1377" t="s">
        <v>15</v>
      </c>
      <c r="P41" s="1378"/>
      <c r="Q41" s="1379" t="s">
        <v>17</v>
      </c>
      <c r="R41" s="1380"/>
      <c r="S41" s="166" t="s">
        <v>16</v>
      </c>
    </row>
    <row r="42" spans="2:30" x14ac:dyDescent="0.3">
      <c r="B42" s="102">
        <v>1</v>
      </c>
      <c r="C42" s="1400" t="s">
        <v>1163</v>
      </c>
      <c r="D42" s="1401"/>
      <c r="E42" s="1401"/>
      <c r="F42" s="1401"/>
      <c r="G42" s="1401"/>
      <c r="H42" s="1401"/>
      <c r="I42" s="1401"/>
      <c r="J42" s="1402"/>
      <c r="K42" s="110"/>
      <c r="L42" s="110"/>
      <c r="M42" s="110"/>
      <c r="N42" s="11">
        <v>0</v>
      </c>
      <c r="O42" s="1403">
        <f>$O$39/(1+N42)</f>
        <v>34000000</v>
      </c>
      <c r="P42" s="1404"/>
      <c r="Q42" s="1405">
        <f>O42-$M$23</f>
        <v>31390000</v>
      </c>
      <c r="R42" s="1406"/>
      <c r="S42" s="160">
        <f>Q42/O42</f>
        <v>0.92323529411764704</v>
      </c>
    </row>
    <row r="43" spans="2:30" x14ac:dyDescent="0.3">
      <c r="B43" s="100">
        <v>2</v>
      </c>
      <c r="C43" s="1386" t="s">
        <v>1164</v>
      </c>
      <c r="D43" s="1387"/>
      <c r="E43" s="1387"/>
      <c r="F43" s="1387"/>
      <c r="G43" s="1387"/>
      <c r="H43" s="1387"/>
      <c r="I43" s="1387"/>
      <c r="J43" s="1388"/>
      <c r="K43" s="110"/>
      <c r="L43" s="110"/>
      <c r="M43" s="110"/>
      <c r="N43" s="9">
        <v>0.1</v>
      </c>
      <c r="O43" s="1389">
        <f>$O$39/(1+N43)</f>
        <v>30909090.909090906</v>
      </c>
      <c r="P43" s="1390"/>
      <c r="Q43" s="1391">
        <f t="shared" ref="Q43:Q46" si="19">O43-$M$23</f>
        <v>28299090.909090906</v>
      </c>
      <c r="R43" s="1392"/>
      <c r="S43" s="161">
        <f t="shared" ref="S43:S46" si="20">Q43/O43</f>
        <v>0.91555882352941176</v>
      </c>
    </row>
    <row r="44" spans="2:30" x14ac:dyDescent="0.3">
      <c r="B44" s="100">
        <v>3</v>
      </c>
      <c r="C44" s="1386" t="s">
        <v>1165</v>
      </c>
      <c r="D44" s="1387"/>
      <c r="E44" s="1387"/>
      <c r="F44" s="1387"/>
      <c r="G44" s="1387"/>
      <c r="H44" s="1387"/>
      <c r="I44" s="1387"/>
      <c r="J44" s="1388"/>
      <c r="K44" s="110"/>
      <c r="L44" s="110"/>
      <c r="M44" s="110"/>
      <c r="N44" s="10">
        <v>0.15</v>
      </c>
      <c r="O44" s="1389">
        <f t="shared" ref="O44:O45" si="21">$O$39/(1+N44)</f>
        <v>29565217.391304351</v>
      </c>
      <c r="P44" s="1390"/>
      <c r="Q44" s="1391">
        <f t="shared" si="19"/>
        <v>26955217.391304351</v>
      </c>
      <c r="R44" s="1392"/>
      <c r="S44" s="161">
        <f t="shared" si="20"/>
        <v>0.91172058823529412</v>
      </c>
    </row>
    <row r="45" spans="2:30" ht="18" customHeight="1" x14ac:dyDescent="0.3">
      <c r="B45" s="100">
        <v>4</v>
      </c>
      <c r="C45" s="1265" t="s">
        <v>1166</v>
      </c>
      <c r="D45" s="1307"/>
      <c r="E45" s="1307"/>
      <c r="F45" s="1307"/>
      <c r="G45" s="1307"/>
      <c r="H45" s="1307"/>
      <c r="I45" s="1307"/>
      <c r="J45" s="1308"/>
      <c r="K45" s="110"/>
      <c r="L45" s="110"/>
      <c r="M45" s="110"/>
      <c r="N45" s="10">
        <v>0.2</v>
      </c>
      <c r="O45" s="1389">
        <f t="shared" si="21"/>
        <v>28333333.333333336</v>
      </c>
      <c r="P45" s="1390"/>
      <c r="Q45" s="1391">
        <f t="shared" si="19"/>
        <v>25723333.333333336</v>
      </c>
      <c r="R45" s="1392"/>
      <c r="S45" s="161">
        <f t="shared" si="20"/>
        <v>0.90788235294117647</v>
      </c>
    </row>
    <row r="46" spans="2:30" ht="18" customHeight="1" thickBot="1" x14ac:dyDescent="0.35">
      <c r="B46" s="100">
        <v>5</v>
      </c>
      <c r="C46" s="1393"/>
      <c r="D46" s="1394"/>
      <c r="E46" s="1394"/>
      <c r="F46" s="1394"/>
      <c r="G46" s="1394"/>
      <c r="H46" s="1394"/>
      <c r="I46" s="1394"/>
      <c r="J46" s="1395"/>
      <c r="K46" s="110"/>
      <c r="L46" s="110"/>
      <c r="M46" s="110"/>
      <c r="N46" s="12" t="s">
        <v>45</v>
      </c>
      <c r="O46" s="1396">
        <v>0</v>
      </c>
      <c r="P46" s="1397"/>
      <c r="Q46" s="1398">
        <f t="shared" si="19"/>
        <v>-2610000</v>
      </c>
      <c r="R46" s="1399"/>
      <c r="S46" s="99" t="e">
        <f t="shared" si="20"/>
        <v>#DIV/0!</v>
      </c>
    </row>
    <row r="47" spans="2:30" ht="18" customHeight="1" thickBot="1" x14ac:dyDescent="0.35">
      <c r="B47" s="100">
        <v>6</v>
      </c>
      <c r="C47" s="1393"/>
      <c r="D47" s="1394"/>
      <c r="E47" s="1394"/>
      <c r="F47" s="1394"/>
      <c r="G47" s="1394"/>
      <c r="H47" s="1394"/>
      <c r="I47" s="1394"/>
      <c r="J47" s="1395"/>
      <c r="K47" s="110"/>
      <c r="L47" s="110"/>
      <c r="M47" s="110"/>
      <c r="N47" s="1267"/>
      <c r="O47" s="110"/>
      <c r="P47" s="110"/>
      <c r="Q47" s="103"/>
      <c r="R47" s="103"/>
      <c r="S47" s="1268"/>
      <c r="V47" s="103"/>
      <c r="W47" s="103"/>
      <c r="X47" s="103"/>
      <c r="Y47" s="103"/>
      <c r="Z47" s="103"/>
      <c r="AA47" s="103"/>
      <c r="AB47" s="103"/>
      <c r="AC47" s="103"/>
      <c r="AD47" s="103"/>
    </row>
    <row r="48" spans="2:30" s="103" customFormat="1" ht="18" customHeight="1" thickBot="1" x14ac:dyDescent="0.35">
      <c r="B48" s="100">
        <v>7</v>
      </c>
      <c r="C48" s="1262"/>
      <c r="D48" s="1263"/>
      <c r="E48" s="1263"/>
      <c r="F48" s="1263"/>
      <c r="G48" s="1263"/>
      <c r="H48" s="1263"/>
      <c r="I48" s="1263"/>
      <c r="J48" s="1264"/>
      <c r="K48" s="110"/>
      <c r="L48" s="110"/>
      <c r="M48" s="110"/>
      <c r="N48" s="1410" t="s">
        <v>47</v>
      </c>
      <c r="O48" s="1411"/>
      <c r="P48" s="1412" t="s">
        <v>48</v>
      </c>
      <c r="Q48" s="1413"/>
      <c r="R48" s="1414" t="s">
        <v>49</v>
      </c>
      <c r="S48" s="1415"/>
      <c r="V48"/>
      <c r="W48"/>
      <c r="X48"/>
      <c r="Y48"/>
      <c r="Z48"/>
      <c r="AA48"/>
      <c r="AB48"/>
      <c r="AC48"/>
      <c r="AD48"/>
    </row>
    <row r="49" spans="1:30" ht="18" customHeight="1" x14ac:dyDescent="0.3">
      <c r="B49" s="100">
        <v>8</v>
      </c>
      <c r="C49" s="1393"/>
      <c r="D49" s="1394"/>
      <c r="E49" s="1394"/>
      <c r="F49" s="1394"/>
      <c r="G49" s="1394"/>
      <c r="H49" s="1394"/>
      <c r="I49" s="1394"/>
      <c r="J49" s="1395"/>
      <c r="K49" s="110"/>
      <c r="L49" s="110"/>
      <c r="M49" s="110"/>
      <c r="N49" s="1416"/>
      <c r="O49" s="1417"/>
      <c r="P49" s="1422"/>
      <c r="Q49" s="1423"/>
      <c r="R49" s="1428"/>
      <c r="S49" s="1429"/>
    </row>
    <row r="50" spans="1:30" ht="18" customHeight="1" x14ac:dyDescent="0.3">
      <c r="B50" s="100"/>
      <c r="C50" s="1434"/>
      <c r="D50" s="1435"/>
      <c r="E50" s="1435"/>
      <c r="F50" s="1435"/>
      <c r="G50" s="1435"/>
      <c r="H50" s="1435"/>
      <c r="I50" s="1435"/>
      <c r="J50" s="1436"/>
      <c r="K50" s="110"/>
      <c r="L50" s="110"/>
      <c r="M50" s="110"/>
      <c r="N50" s="1418"/>
      <c r="O50" s="1419"/>
      <c r="P50" s="1424"/>
      <c r="Q50" s="1425"/>
      <c r="R50" s="1430"/>
      <c r="S50" s="1431"/>
    </row>
    <row r="51" spans="1:30" ht="18" customHeight="1" x14ac:dyDescent="0.3">
      <c r="B51" s="100"/>
      <c r="C51" s="1434"/>
      <c r="D51" s="1435"/>
      <c r="E51" s="1435"/>
      <c r="F51" s="1435"/>
      <c r="G51" s="1435"/>
      <c r="H51" s="1435"/>
      <c r="I51" s="1435"/>
      <c r="J51" s="1436"/>
      <c r="K51" s="110"/>
      <c r="L51" s="110"/>
      <c r="M51" s="110"/>
      <c r="N51" s="1418"/>
      <c r="O51" s="1419"/>
      <c r="P51" s="1424"/>
      <c r="Q51" s="1425"/>
      <c r="R51" s="1430"/>
      <c r="S51" s="1431"/>
    </row>
    <row r="52" spans="1:30" ht="18" customHeight="1" thickBot="1" x14ac:dyDescent="0.35">
      <c r="B52" s="101"/>
      <c r="C52" s="1407"/>
      <c r="D52" s="1408"/>
      <c r="E52" s="1408"/>
      <c r="F52" s="1408"/>
      <c r="G52" s="1408"/>
      <c r="H52" s="1408"/>
      <c r="I52" s="1408"/>
      <c r="J52" s="1409"/>
      <c r="K52" s="110"/>
      <c r="L52" s="110"/>
      <c r="M52" s="110"/>
      <c r="N52" s="1420"/>
      <c r="O52" s="1421"/>
      <c r="P52" s="1426"/>
      <c r="Q52" s="1427"/>
      <c r="R52" s="1432"/>
      <c r="S52" s="1433"/>
    </row>
    <row r="53" spans="1:30" ht="18" customHeight="1" x14ac:dyDescent="0.3"/>
    <row r="54" spans="1:30" ht="18" customHeight="1" x14ac:dyDescent="0.3"/>
    <row r="55" spans="1:30" ht="18" customHeight="1" x14ac:dyDescent="0.3">
      <c r="V55" s="1266"/>
      <c r="W55" s="1266"/>
      <c r="X55" s="1266"/>
      <c r="Y55" s="1266"/>
      <c r="Z55" s="1266"/>
      <c r="AA55" s="1266"/>
      <c r="AB55" s="1266"/>
      <c r="AC55" s="1266"/>
      <c r="AD55" s="1266"/>
    </row>
    <row r="56" spans="1:30" s="1266" customFormat="1" x14ac:dyDescent="0.3">
      <c r="A56" s="103"/>
      <c r="B56" s="2"/>
      <c r="C56" s="2"/>
      <c r="D56" s="2"/>
      <c r="E56" s="2"/>
      <c r="G56" s="2"/>
      <c r="K56" s="1"/>
      <c r="L56" s="1"/>
      <c r="M56" s="1"/>
      <c r="N56" s="5"/>
      <c r="O56" s="1"/>
      <c r="P56" s="1"/>
      <c r="Q56"/>
      <c r="R56"/>
      <c r="S56" s="93"/>
    </row>
    <row r="57" spans="1:30" s="1266" customFormat="1" x14ac:dyDescent="0.3">
      <c r="A57" s="103"/>
      <c r="B57" s="2"/>
      <c r="C57" s="2"/>
      <c r="D57" s="2"/>
      <c r="E57" s="2"/>
      <c r="G57" s="2"/>
      <c r="K57" s="1"/>
      <c r="L57" s="1"/>
      <c r="M57" s="1"/>
      <c r="N57" s="5"/>
      <c r="O57" s="1"/>
      <c r="P57" s="1"/>
      <c r="Q57"/>
      <c r="R57"/>
      <c r="S57" s="93"/>
    </row>
    <row r="58" spans="1:30" s="1266" customFormat="1" x14ac:dyDescent="0.3">
      <c r="A58" s="103"/>
      <c r="B58" s="2"/>
      <c r="C58" s="2"/>
      <c r="D58" s="2"/>
      <c r="E58" s="2"/>
      <c r="G58" s="2"/>
      <c r="K58" s="1"/>
      <c r="L58" s="1"/>
      <c r="M58" s="1"/>
      <c r="N58" s="5"/>
      <c r="O58" s="1"/>
      <c r="P58" s="1"/>
      <c r="Q58"/>
      <c r="R58"/>
      <c r="S58" s="93"/>
    </row>
    <row r="59" spans="1:30" s="1266" customFormat="1" x14ac:dyDescent="0.3">
      <c r="A59" s="103"/>
      <c r="B59" s="2"/>
      <c r="C59" s="2"/>
      <c r="D59" s="2"/>
      <c r="E59" s="2"/>
      <c r="G59" s="2"/>
      <c r="K59" s="1"/>
      <c r="L59" s="1"/>
      <c r="M59" s="1"/>
      <c r="N59" s="5"/>
      <c r="O59" s="1"/>
      <c r="P59" s="1"/>
      <c r="Q59"/>
      <c r="R59"/>
      <c r="S59" s="93"/>
    </row>
    <row r="60" spans="1:30" s="1266" customFormat="1" x14ac:dyDescent="0.3">
      <c r="A60" s="103"/>
      <c r="B60" s="2"/>
      <c r="C60" s="2"/>
      <c r="D60" s="2"/>
      <c r="E60" s="2"/>
      <c r="G60" s="2"/>
      <c r="K60" s="1"/>
      <c r="L60" s="1"/>
      <c r="M60" s="1"/>
      <c r="N60" s="5"/>
      <c r="O60" s="1"/>
      <c r="P60" s="1"/>
      <c r="Q60"/>
      <c r="R60"/>
      <c r="S60" s="93"/>
      <c r="V60"/>
      <c r="W60"/>
      <c r="X60"/>
      <c r="Y60"/>
      <c r="Z60"/>
      <c r="AA60"/>
      <c r="AB60"/>
      <c r="AC60"/>
      <c r="AD60"/>
    </row>
  </sheetData>
  <mergeCells count="113">
    <mergeCell ref="AC5:AD5"/>
    <mergeCell ref="AA5:AB5"/>
    <mergeCell ref="Y5:Z5"/>
    <mergeCell ref="W5:X5"/>
    <mergeCell ref="V5:V6"/>
    <mergeCell ref="V11:V12"/>
    <mergeCell ref="W11:X11"/>
    <mergeCell ref="Y11:Z11"/>
    <mergeCell ref="AA11:AB11"/>
    <mergeCell ref="AC11:AD11"/>
    <mergeCell ref="C52:J52"/>
    <mergeCell ref="C47:J47"/>
    <mergeCell ref="N48:O48"/>
    <mergeCell ref="P48:Q48"/>
    <mergeCell ref="R48:S48"/>
    <mergeCell ref="C49:J49"/>
    <mergeCell ref="N49:O52"/>
    <mergeCell ref="P49:Q52"/>
    <mergeCell ref="R49:S52"/>
    <mergeCell ref="C50:J50"/>
    <mergeCell ref="C51:J51"/>
    <mergeCell ref="C44:J44"/>
    <mergeCell ref="O44:P44"/>
    <mergeCell ref="Q44:R44"/>
    <mergeCell ref="O45:P45"/>
    <mergeCell ref="Q45:R45"/>
    <mergeCell ref="C46:J46"/>
    <mergeCell ref="O46:P46"/>
    <mergeCell ref="Q46:R46"/>
    <mergeCell ref="C42:J42"/>
    <mergeCell ref="O42:P42"/>
    <mergeCell ref="Q42:R42"/>
    <mergeCell ref="C43:J43"/>
    <mergeCell ref="O43:P43"/>
    <mergeCell ref="Q43:R43"/>
    <mergeCell ref="B39:L39"/>
    <mergeCell ref="O39:P39"/>
    <mergeCell ref="Q39:S39"/>
    <mergeCell ref="B41:E41"/>
    <mergeCell ref="O41:P41"/>
    <mergeCell ref="Q41:R41"/>
    <mergeCell ref="B37:L37"/>
    <mergeCell ref="O37:P37"/>
    <mergeCell ref="Q37:S37"/>
    <mergeCell ref="B38:L38"/>
    <mergeCell ref="O38:P38"/>
    <mergeCell ref="Q38:S38"/>
    <mergeCell ref="B35:L35"/>
    <mergeCell ref="O35:P35"/>
    <mergeCell ref="Q35:S35"/>
    <mergeCell ref="B36:L36"/>
    <mergeCell ref="O36:P36"/>
    <mergeCell ref="Q36:S36"/>
    <mergeCell ref="O27:P27"/>
    <mergeCell ref="Q27:R27"/>
    <mergeCell ref="O28:P28"/>
    <mergeCell ref="Q28:R34"/>
    <mergeCell ref="O29:P29"/>
    <mergeCell ref="O30:P30"/>
    <mergeCell ref="O31:P31"/>
    <mergeCell ref="O32:P32"/>
    <mergeCell ref="O33:P33"/>
    <mergeCell ref="O34:P34"/>
    <mergeCell ref="O24:P24"/>
    <mergeCell ref="Q24:R24"/>
    <mergeCell ref="O25:P25"/>
    <mergeCell ref="Q25:R25"/>
    <mergeCell ref="O26:P26"/>
    <mergeCell ref="Q26:R26"/>
    <mergeCell ref="O21:P21"/>
    <mergeCell ref="Q21:R21"/>
    <mergeCell ref="O22:P22"/>
    <mergeCell ref="Q22:R22"/>
    <mergeCell ref="B23:L23"/>
    <mergeCell ref="O23:P23"/>
    <mergeCell ref="Q23:R23"/>
    <mergeCell ref="O18:P18"/>
    <mergeCell ref="Q18:R18"/>
    <mergeCell ref="O19:P19"/>
    <mergeCell ref="Q19:R19"/>
    <mergeCell ref="O20:P20"/>
    <mergeCell ref="Q20:R20"/>
    <mergeCell ref="O15:P15"/>
    <mergeCell ref="Q15:R15"/>
    <mergeCell ref="O16:P16"/>
    <mergeCell ref="Q16:R16"/>
    <mergeCell ref="O17:P17"/>
    <mergeCell ref="Q17:R17"/>
    <mergeCell ref="O12:P12"/>
    <mergeCell ref="Q12:R12"/>
    <mergeCell ref="O13:P13"/>
    <mergeCell ref="Q13:R13"/>
    <mergeCell ref="O14:P14"/>
    <mergeCell ref="Q14:R14"/>
    <mergeCell ref="O10:P10"/>
    <mergeCell ref="Q10:R10"/>
    <mergeCell ref="O11:P11"/>
    <mergeCell ref="Q11:R11"/>
    <mergeCell ref="O6:P6"/>
    <mergeCell ref="Q6:R6"/>
    <mergeCell ref="O7:P7"/>
    <mergeCell ref="Q7:R7"/>
    <mergeCell ref="O8:P8"/>
    <mergeCell ref="Q8:R8"/>
    <mergeCell ref="A2:S2"/>
    <mergeCell ref="Q3:S3"/>
    <mergeCell ref="B4:E4"/>
    <mergeCell ref="O4:P4"/>
    <mergeCell ref="Q4:R4"/>
    <mergeCell ref="O5:P5"/>
    <mergeCell ref="Q5:R5"/>
    <mergeCell ref="O9:P9"/>
    <mergeCell ref="Q9:R9"/>
  </mergeCells>
  <phoneticPr fontId="2" type="noConversion"/>
  <pageMargins left="0.25" right="0.25" top="0.75" bottom="0.75" header="0.3" footer="0.3"/>
  <pageSetup paperSize="9" scale="53" fitToWidth="0" orientation="landscape" horizontalDpi="300" r:id="rId1"/>
  <headerFooter>
    <oddFooter>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5477F-5282-4E4C-8E6D-AB03D294305D}">
  <sheetPr>
    <tabColor rgb="FF00B0F0"/>
    <pageSetUpPr fitToPage="1"/>
  </sheetPr>
  <dimension ref="A1:Y85"/>
  <sheetViews>
    <sheetView zoomScale="85" zoomScaleNormal="85" zoomScaleSheetLayoutView="100" zoomScalePageLayoutView="85" workbookViewId="0">
      <selection activeCell="G23" sqref="G23"/>
    </sheetView>
  </sheetViews>
  <sheetFormatPr defaultRowHeight="16.5" x14ac:dyDescent="0.3"/>
  <cols>
    <col min="1" max="1" width="1.625" customWidth="1"/>
    <col min="2" max="5" width="3.375" style="2" customWidth="1"/>
    <col min="6" max="6" width="57.25" style="1114" customWidth="1"/>
    <col min="7" max="7" width="25.625" style="2" customWidth="1"/>
    <col min="8" max="9" width="16.625" style="1114" customWidth="1"/>
    <col min="10" max="10" width="6.625" style="1114" customWidth="1"/>
    <col min="11" max="13" width="16.625" style="1" customWidth="1"/>
    <col min="14" max="14" width="12.625" style="5" customWidth="1"/>
    <col min="15" max="15" width="9.625" style="1" customWidth="1"/>
    <col min="16" max="16" width="12.625" style="1" customWidth="1"/>
    <col min="17" max="18" width="22.375" customWidth="1"/>
    <col min="19" max="19" width="21.875" style="93" customWidth="1"/>
    <col min="21" max="21" width="11.5" bestFit="1" customWidth="1"/>
  </cols>
  <sheetData>
    <row r="1" spans="1:25" ht="9.9499999999999993" customHeight="1" x14ac:dyDescent="0.3"/>
    <row r="2" spans="1:25" ht="26.25" x14ac:dyDescent="0.3">
      <c r="A2" s="1445" t="s">
        <v>1056</v>
      </c>
      <c r="B2" s="1445"/>
      <c r="C2" s="1445"/>
      <c r="D2" s="1445"/>
      <c r="E2" s="1445"/>
      <c r="F2" s="1445"/>
      <c r="G2" s="1445"/>
      <c r="H2" s="1445"/>
      <c r="I2" s="1445"/>
      <c r="J2" s="1445"/>
      <c r="K2" s="1445"/>
      <c r="L2" s="1445"/>
      <c r="M2" s="1445"/>
      <c r="N2" s="1445"/>
      <c r="O2" s="1445"/>
      <c r="P2" s="1445"/>
      <c r="Q2" s="1445"/>
      <c r="R2" s="1445"/>
      <c r="S2" s="1445"/>
    </row>
    <row r="3" spans="1:25" ht="17.25" thickBot="1" x14ac:dyDescent="0.35">
      <c r="Q3" s="1446">
        <v>45488</v>
      </c>
      <c r="R3" s="1446"/>
      <c r="S3" s="1446"/>
    </row>
    <row r="4" spans="1:25" ht="18" thickBot="1" x14ac:dyDescent="0.35">
      <c r="B4" s="1318" t="s">
        <v>491</v>
      </c>
      <c r="C4" s="1319"/>
      <c r="D4" s="1319"/>
      <c r="E4" s="1320"/>
      <c r="F4" s="6" t="s">
        <v>56</v>
      </c>
      <c r="G4" s="973" t="s">
        <v>55</v>
      </c>
      <c r="H4" s="6" t="s">
        <v>0</v>
      </c>
      <c r="I4" s="6" t="s">
        <v>43</v>
      </c>
      <c r="J4" s="6" t="s">
        <v>4</v>
      </c>
      <c r="K4" s="7" t="s">
        <v>12</v>
      </c>
      <c r="L4" s="8" t="s">
        <v>39</v>
      </c>
      <c r="M4" s="8" t="s">
        <v>5</v>
      </c>
      <c r="N4" s="141" t="s">
        <v>13</v>
      </c>
      <c r="O4" s="1321" t="s">
        <v>6</v>
      </c>
      <c r="P4" s="1322"/>
      <c r="Q4" s="1319" t="s">
        <v>3</v>
      </c>
      <c r="R4" s="1323"/>
      <c r="S4" s="71" t="s">
        <v>59</v>
      </c>
    </row>
    <row r="5" spans="1:25" s="82" customFormat="1" ht="17.25" thickBot="1" x14ac:dyDescent="0.35">
      <c r="B5" s="122" t="s">
        <v>2</v>
      </c>
      <c r="C5" s="116"/>
      <c r="D5" s="116"/>
      <c r="E5" s="117"/>
      <c r="F5" s="118" t="s">
        <v>265</v>
      </c>
      <c r="G5" s="974"/>
      <c r="H5" s="119"/>
      <c r="I5" s="119"/>
      <c r="J5" s="119"/>
      <c r="K5" s="272"/>
      <c r="L5" s="120"/>
      <c r="M5" s="121"/>
      <c r="N5" s="135"/>
      <c r="O5" s="1447"/>
      <c r="P5" s="1448"/>
      <c r="Q5" s="1326"/>
      <c r="R5" s="1327"/>
      <c r="S5" s="115"/>
    </row>
    <row r="6" spans="1:25" s="413" customFormat="1" x14ac:dyDescent="0.3">
      <c r="A6" s="82"/>
      <c r="B6" s="960"/>
      <c r="C6" s="961" t="s">
        <v>2</v>
      </c>
      <c r="D6" s="964"/>
      <c r="E6" s="962"/>
      <c r="F6" s="993" t="s">
        <v>307</v>
      </c>
      <c r="G6" s="994" t="s">
        <v>433</v>
      </c>
      <c r="H6" s="961" t="s">
        <v>40</v>
      </c>
      <c r="I6" s="964" t="s">
        <v>131</v>
      </c>
      <c r="J6" s="964"/>
      <c r="K6" s="965">
        <f>(8210+3030+1140+2160+440)*0.6*1.071*1400</f>
        <v>13476607.199999999</v>
      </c>
      <c r="L6" s="965">
        <v>24756000</v>
      </c>
      <c r="M6" s="966">
        <f>J6*K6</f>
        <v>0</v>
      </c>
      <c r="N6" s="967">
        <v>0</v>
      </c>
      <c r="O6" s="1443">
        <f t="shared" ref="O6:O14" si="0">J6*L6/(1-N6)</f>
        <v>0</v>
      </c>
      <c r="P6" s="1444"/>
      <c r="Q6" s="968" t="s">
        <v>590</v>
      </c>
      <c r="R6" s="969"/>
      <c r="S6" s="970" t="s">
        <v>953</v>
      </c>
      <c r="U6" s="728"/>
    </row>
    <row r="7" spans="1:25" s="413" customFormat="1" x14ac:dyDescent="0.3">
      <c r="A7" s="82"/>
      <c r="B7" s="960"/>
      <c r="C7" s="961"/>
      <c r="D7" s="964" t="s">
        <v>2</v>
      </c>
      <c r="E7" s="962"/>
      <c r="F7" s="993" t="s">
        <v>372</v>
      </c>
      <c r="G7" s="994">
        <v>720268</v>
      </c>
      <c r="H7" s="961" t="s">
        <v>40</v>
      </c>
      <c r="I7" s="964" t="s">
        <v>131</v>
      </c>
      <c r="J7" s="964"/>
      <c r="K7" s="965">
        <f>(1190)*0.606*1.071*1400</f>
        <v>1081277.3159999999</v>
      </c>
      <c r="L7" s="965">
        <v>1806000</v>
      </c>
      <c r="M7" s="966">
        <f t="shared" ref="M7:M10" si="1">J7*K7</f>
        <v>0</v>
      </c>
      <c r="N7" s="967">
        <v>0</v>
      </c>
      <c r="O7" s="1443">
        <f t="shared" si="0"/>
        <v>0</v>
      </c>
      <c r="P7" s="1444"/>
      <c r="Q7" s="968" t="s">
        <v>595</v>
      </c>
      <c r="R7" s="969"/>
      <c r="S7" s="970" t="s">
        <v>953</v>
      </c>
      <c r="U7" s="728"/>
    </row>
    <row r="8" spans="1:25" s="413" customFormat="1" x14ac:dyDescent="0.3">
      <c r="A8" s="82"/>
      <c r="B8" s="960"/>
      <c r="C8" s="961"/>
      <c r="D8" s="964"/>
      <c r="E8" s="962" t="s">
        <v>73</v>
      </c>
      <c r="F8" s="993" t="s">
        <v>281</v>
      </c>
      <c r="G8" s="994">
        <v>758933</v>
      </c>
      <c r="H8" s="961" t="s">
        <v>40</v>
      </c>
      <c r="I8" s="964" t="s">
        <v>131</v>
      </c>
      <c r="J8" s="964"/>
      <c r="K8" s="965">
        <f>(35)*0.643*1.071*1400</f>
        <v>33743.996999999996</v>
      </c>
      <c r="L8" s="965">
        <v>62000</v>
      </c>
      <c r="M8" s="966">
        <f t="shared" si="1"/>
        <v>0</v>
      </c>
      <c r="N8" s="967">
        <v>0</v>
      </c>
      <c r="O8" s="1443">
        <f t="shared" si="0"/>
        <v>0</v>
      </c>
      <c r="P8" s="1444"/>
      <c r="Q8" s="968" t="s">
        <v>596</v>
      </c>
      <c r="R8" s="969"/>
      <c r="S8" s="970" t="s">
        <v>953</v>
      </c>
      <c r="U8" s="728"/>
    </row>
    <row r="9" spans="1:25" s="413" customFormat="1" x14ac:dyDescent="0.3">
      <c r="A9" s="82"/>
      <c r="B9" s="960"/>
      <c r="C9" s="961"/>
      <c r="D9" s="964"/>
      <c r="E9" s="962" t="s">
        <v>73</v>
      </c>
      <c r="F9" s="993" t="s">
        <v>283</v>
      </c>
      <c r="G9" s="994">
        <v>758921</v>
      </c>
      <c r="H9" s="961" t="s">
        <v>40</v>
      </c>
      <c r="I9" s="964" t="s">
        <v>131</v>
      </c>
      <c r="J9" s="964"/>
      <c r="K9" s="965">
        <f>(30)*0.643*1.071*1400</f>
        <v>28923.425999999996</v>
      </c>
      <c r="L9" s="965">
        <v>54000</v>
      </c>
      <c r="M9" s="966">
        <f t="shared" si="1"/>
        <v>0</v>
      </c>
      <c r="N9" s="967">
        <v>0</v>
      </c>
      <c r="O9" s="1443">
        <f t="shared" si="0"/>
        <v>0</v>
      </c>
      <c r="P9" s="1444"/>
      <c r="Q9" s="968" t="s">
        <v>597</v>
      </c>
      <c r="R9" s="969"/>
      <c r="S9" s="970" t="s">
        <v>952</v>
      </c>
      <c r="U9" s="728"/>
    </row>
    <row r="10" spans="1:25" s="413" customFormat="1" x14ac:dyDescent="0.3">
      <c r="A10" s="82"/>
      <c r="B10" s="960"/>
      <c r="C10" s="961"/>
      <c r="D10" s="964" t="s">
        <v>2</v>
      </c>
      <c r="E10" s="962"/>
      <c r="F10" s="993" t="s">
        <v>310</v>
      </c>
      <c r="G10" s="994">
        <v>701251</v>
      </c>
      <c r="H10" s="961" t="s">
        <v>40</v>
      </c>
      <c r="I10" s="964" t="s">
        <v>131</v>
      </c>
      <c r="J10" s="964"/>
      <c r="K10" s="965">
        <f>(1190)*0.606*1.071*1400</f>
        <v>1081277.3159999999</v>
      </c>
      <c r="L10" s="965">
        <v>1806000</v>
      </c>
      <c r="M10" s="966">
        <f t="shared" si="1"/>
        <v>0</v>
      </c>
      <c r="N10" s="967">
        <v>0</v>
      </c>
      <c r="O10" s="1443">
        <f t="shared" si="0"/>
        <v>0</v>
      </c>
      <c r="P10" s="1444"/>
      <c r="Q10" s="968" t="s">
        <v>599</v>
      </c>
      <c r="R10" s="969"/>
      <c r="S10" s="970" t="s">
        <v>953</v>
      </c>
      <c r="U10" s="728"/>
    </row>
    <row r="11" spans="1:25" s="413" customFormat="1" x14ac:dyDescent="0.3">
      <c r="A11" s="82"/>
      <c r="B11" s="960"/>
      <c r="C11" s="961"/>
      <c r="D11" s="964"/>
      <c r="E11" s="962" t="s">
        <v>73</v>
      </c>
      <c r="F11" s="993" t="s">
        <v>489</v>
      </c>
      <c r="G11" s="994">
        <v>702916</v>
      </c>
      <c r="H11" s="961" t="s">
        <v>40</v>
      </c>
      <c r="I11" s="964" t="s">
        <v>131</v>
      </c>
      <c r="J11" s="964"/>
      <c r="K11" s="965">
        <f>(6450)*0.6*1.071*1400</f>
        <v>5802677.9999999991</v>
      </c>
      <c r="L11" s="965">
        <v>8712000</v>
      </c>
      <c r="M11" s="966">
        <f>J11*K11</f>
        <v>0</v>
      </c>
      <c r="N11" s="967">
        <v>0</v>
      </c>
      <c r="O11" s="1443">
        <f>J11*L11/(1-N11)</f>
        <v>0</v>
      </c>
      <c r="P11" s="1444"/>
      <c r="Q11" s="968" t="s">
        <v>444</v>
      </c>
      <c r="R11" s="969"/>
      <c r="S11" s="970" t="s">
        <v>953</v>
      </c>
      <c r="U11" s="728"/>
    </row>
    <row r="12" spans="1:25" s="413" customFormat="1" x14ac:dyDescent="0.3">
      <c r="A12" s="82"/>
      <c r="B12" s="960"/>
      <c r="C12" s="961"/>
      <c r="D12" s="964" t="s">
        <v>2</v>
      </c>
      <c r="E12" s="962"/>
      <c r="F12" s="993" t="s">
        <v>368</v>
      </c>
      <c r="G12" s="994">
        <v>701265</v>
      </c>
      <c r="H12" s="961" t="s">
        <v>40</v>
      </c>
      <c r="I12" s="964" t="s">
        <v>131</v>
      </c>
      <c r="J12" s="964"/>
      <c r="K12" s="965">
        <f>(1140)*0.606*1.071*1400</f>
        <v>1035845.4959999999</v>
      </c>
      <c r="L12" s="965">
        <v>1723000</v>
      </c>
      <c r="M12" s="966">
        <f t="shared" ref="M12" si="2">J12*K12</f>
        <v>0</v>
      </c>
      <c r="N12" s="967">
        <v>0</v>
      </c>
      <c r="O12" s="1443">
        <f t="shared" si="0"/>
        <v>0</v>
      </c>
      <c r="P12" s="1444"/>
      <c r="Q12" s="968" t="s">
        <v>292</v>
      </c>
      <c r="R12" s="969"/>
      <c r="S12" s="970" t="s">
        <v>953</v>
      </c>
      <c r="U12" s="728"/>
    </row>
    <row r="13" spans="1:25" s="413" customFormat="1" x14ac:dyDescent="0.3">
      <c r="A13" s="82"/>
      <c r="B13" s="960"/>
      <c r="C13" s="961" t="s">
        <v>73</v>
      </c>
      <c r="D13" s="964"/>
      <c r="E13" s="962"/>
      <c r="F13" s="993" t="s">
        <v>399</v>
      </c>
      <c r="G13" s="994" t="s">
        <v>336</v>
      </c>
      <c r="H13" s="961" t="s">
        <v>337</v>
      </c>
      <c r="I13" s="964" t="s">
        <v>337</v>
      </c>
      <c r="J13" s="964"/>
      <c r="K13" s="965">
        <f>690000*8.7116</f>
        <v>6011004.0000000009</v>
      </c>
      <c r="L13" s="965">
        <v>11825000</v>
      </c>
      <c r="M13" s="966">
        <f>J13*K13</f>
        <v>0</v>
      </c>
      <c r="N13" s="967">
        <v>0</v>
      </c>
      <c r="O13" s="1443">
        <f t="shared" si="0"/>
        <v>0</v>
      </c>
      <c r="P13" s="1444"/>
      <c r="Q13" s="968" t="s">
        <v>586</v>
      </c>
      <c r="R13" s="969"/>
      <c r="S13" s="970" t="s">
        <v>954</v>
      </c>
      <c r="T13" s="413" t="s">
        <v>585</v>
      </c>
      <c r="U13" s="728"/>
    </row>
    <row r="14" spans="1:25" s="413" customFormat="1" x14ac:dyDescent="0.3">
      <c r="A14" s="82"/>
      <c r="B14" s="960"/>
      <c r="C14" s="961" t="s">
        <v>73</v>
      </c>
      <c r="D14" s="964"/>
      <c r="E14" s="962"/>
      <c r="F14" s="993" t="s">
        <v>759</v>
      </c>
      <c r="G14" s="994" t="s">
        <v>425</v>
      </c>
      <c r="H14" s="961" t="s">
        <v>142</v>
      </c>
      <c r="I14" s="964" t="s">
        <v>64</v>
      </c>
      <c r="J14" s="964"/>
      <c r="K14" s="965">
        <f>L14*0.75</f>
        <v>1731750</v>
      </c>
      <c r="L14" s="965">
        <v>2309000</v>
      </c>
      <c r="M14" s="966">
        <f>J14*K14</f>
        <v>0</v>
      </c>
      <c r="N14" s="967">
        <v>0</v>
      </c>
      <c r="O14" s="1443">
        <f t="shared" si="0"/>
        <v>0</v>
      </c>
      <c r="P14" s="1444"/>
      <c r="Q14" s="968" t="s">
        <v>403</v>
      </c>
      <c r="R14" s="969"/>
      <c r="S14" s="970" t="s">
        <v>653</v>
      </c>
      <c r="U14" s="728"/>
    </row>
    <row r="15" spans="1:25" s="413" customFormat="1" x14ac:dyDescent="0.3">
      <c r="A15" s="82"/>
      <c r="B15" s="960"/>
      <c r="C15" s="961" t="s">
        <v>2</v>
      </c>
      <c r="D15" s="964"/>
      <c r="E15" s="962"/>
      <c r="F15" s="993" t="s">
        <v>459</v>
      </c>
      <c r="G15" s="994" t="s">
        <v>195</v>
      </c>
      <c r="H15" s="961" t="s">
        <v>142</v>
      </c>
      <c r="I15" s="964" t="s">
        <v>64</v>
      </c>
      <c r="J15" s="964"/>
      <c r="K15" s="965">
        <f>L15*0.75</f>
        <v>14394750</v>
      </c>
      <c r="L15" s="965">
        <f>19193000</f>
        <v>19193000</v>
      </c>
      <c r="M15" s="966">
        <f t="shared" ref="M15:M16" si="3">J15*K15</f>
        <v>0</v>
      </c>
      <c r="N15" s="967">
        <v>0</v>
      </c>
      <c r="O15" s="1443">
        <f>L15*J15</f>
        <v>0</v>
      </c>
      <c r="P15" s="1444"/>
      <c r="Q15" s="968" t="s">
        <v>401</v>
      </c>
      <c r="R15" s="969"/>
      <c r="S15" s="970" t="s">
        <v>653</v>
      </c>
      <c r="U15" s="728"/>
      <c r="W15" s="413">
        <f>2^16</f>
        <v>65536</v>
      </c>
      <c r="Y15" s="413">
        <f>60/W15</f>
        <v>9.1552734375E-4</v>
      </c>
    </row>
    <row r="16" spans="1:25" s="413" customFormat="1" ht="17.25" thickBot="1" x14ac:dyDescent="0.35">
      <c r="A16" s="82"/>
      <c r="B16" s="960"/>
      <c r="C16" s="961"/>
      <c r="D16" s="964" t="s">
        <v>2</v>
      </c>
      <c r="E16" s="962"/>
      <c r="F16" s="993" t="s">
        <v>460</v>
      </c>
      <c r="G16" s="994" t="s">
        <v>461</v>
      </c>
      <c r="H16" s="961" t="s">
        <v>142</v>
      </c>
      <c r="I16" s="964" t="s">
        <v>64</v>
      </c>
      <c r="J16" s="964"/>
      <c r="K16" s="965">
        <f>L16*0.75</f>
        <v>14008500</v>
      </c>
      <c r="L16" s="965">
        <v>18678000</v>
      </c>
      <c r="M16" s="966">
        <f t="shared" si="3"/>
        <v>0</v>
      </c>
      <c r="N16" s="967">
        <v>0</v>
      </c>
      <c r="O16" s="1443">
        <f>L16*J16</f>
        <v>0</v>
      </c>
      <c r="P16" s="1444"/>
      <c r="Q16" s="968"/>
      <c r="R16" s="969"/>
      <c r="S16" s="970" t="s">
        <v>653</v>
      </c>
      <c r="U16" s="728"/>
      <c r="W16" s="413">
        <f>2^12</f>
        <v>4096</v>
      </c>
      <c r="Y16" s="413">
        <f>60/W16</f>
        <v>1.46484375E-2</v>
      </c>
    </row>
    <row r="17" spans="1:21" s="369" customFormat="1" ht="17.25" thickBot="1" x14ac:dyDescent="0.35">
      <c r="B17" s="587" t="s">
        <v>2</v>
      </c>
      <c r="C17" s="588"/>
      <c r="D17" s="588"/>
      <c r="E17" s="589"/>
      <c r="F17" s="270" t="s">
        <v>266</v>
      </c>
      <c r="G17" s="977"/>
      <c r="H17" s="590"/>
      <c r="I17" s="590"/>
      <c r="J17" s="590"/>
      <c r="K17" s="590"/>
      <c r="L17" s="591"/>
      <c r="M17" s="592"/>
      <c r="N17" s="593"/>
      <c r="O17" s="1324"/>
      <c r="P17" s="1325"/>
      <c r="Q17" s="1326"/>
      <c r="R17" s="1327"/>
      <c r="S17" s="115"/>
    </row>
    <row r="18" spans="1:21" s="413" customFormat="1" x14ac:dyDescent="0.3">
      <c r="A18" s="82"/>
      <c r="B18" s="960"/>
      <c r="C18" s="961" t="s">
        <v>2</v>
      </c>
      <c r="D18" s="964"/>
      <c r="E18" s="962"/>
      <c r="F18" s="993" t="s">
        <v>541</v>
      </c>
      <c r="G18" s="994" t="s">
        <v>278</v>
      </c>
      <c r="H18" s="961" t="s">
        <v>80</v>
      </c>
      <c r="I18" s="964" t="s">
        <v>240</v>
      </c>
      <c r="J18" s="964"/>
      <c r="K18" s="965">
        <f t="shared" ref="K18:K21" si="4">L18*0.95</f>
        <v>2422500</v>
      </c>
      <c r="L18" s="965">
        <v>2550000</v>
      </c>
      <c r="M18" s="966">
        <f>J18*K18</f>
        <v>0</v>
      </c>
      <c r="N18" s="967">
        <v>0</v>
      </c>
      <c r="O18" s="1443">
        <f t="shared" ref="O18:O21" si="5">J18*L18/(1-N18)</f>
        <v>0</v>
      </c>
      <c r="P18" s="1444"/>
      <c r="Q18" s="968"/>
      <c r="R18" s="969"/>
      <c r="S18" s="970" t="s">
        <v>645</v>
      </c>
      <c r="U18" s="728"/>
    </row>
    <row r="19" spans="1:21" s="413" customFormat="1" x14ac:dyDescent="0.3">
      <c r="A19" s="82"/>
      <c r="B19" s="960"/>
      <c r="C19" s="961"/>
      <c r="D19" s="964" t="s">
        <v>2</v>
      </c>
      <c r="E19" s="962"/>
      <c r="F19" s="993" t="s">
        <v>539</v>
      </c>
      <c r="G19" s="994" t="s">
        <v>311</v>
      </c>
      <c r="H19" s="961" t="s">
        <v>80</v>
      </c>
      <c r="I19" s="964" t="s">
        <v>430</v>
      </c>
      <c r="J19" s="964"/>
      <c r="K19" s="965">
        <f t="shared" si="4"/>
        <v>2242000</v>
      </c>
      <c r="L19" s="965">
        <v>2360000</v>
      </c>
      <c r="M19" s="966">
        <f t="shared" ref="M19:M21" si="6">J19*K19</f>
        <v>0</v>
      </c>
      <c r="N19" s="967">
        <v>0</v>
      </c>
      <c r="O19" s="1443">
        <f t="shared" si="5"/>
        <v>0</v>
      </c>
      <c r="P19" s="1444"/>
      <c r="Q19" s="968" t="s">
        <v>559</v>
      </c>
      <c r="R19" s="969"/>
      <c r="S19" s="970" t="s">
        <v>645</v>
      </c>
      <c r="T19" s="413" t="s">
        <v>552</v>
      </c>
      <c r="U19" s="728"/>
    </row>
    <row r="20" spans="1:21" s="413" customFormat="1" x14ac:dyDescent="0.3">
      <c r="A20" s="82"/>
      <c r="B20" s="960"/>
      <c r="C20" s="961"/>
      <c r="D20" s="964" t="s">
        <v>2</v>
      </c>
      <c r="E20" s="962"/>
      <c r="F20" s="993" t="s">
        <v>537</v>
      </c>
      <c r="G20" s="994" t="s">
        <v>316</v>
      </c>
      <c r="H20" s="961" t="s">
        <v>80</v>
      </c>
      <c r="I20" s="964" t="s">
        <v>430</v>
      </c>
      <c r="J20" s="964"/>
      <c r="K20" s="965">
        <f t="shared" si="4"/>
        <v>836000</v>
      </c>
      <c r="L20" s="965">
        <v>880000</v>
      </c>
      <c r="M20" s="966">
        <f t="shared" si="6"/>
        <v>0</v>
      </c>
      <c r="N20" s="967">
        <v>0</v>
      </c>
      <c r="O20" s="1443">
        <f t="shared" si="5"/>
        <v>0</v>
      </c>
      <c r="P20" s="1444"/>
      <c r="Q20" s="968" t="s">
        <v>580</v>
      </c>
      <c r="R20" s="969"/>
      <c r="S20" s="970" t="s">
        <v>645</v>
      </c>
      <c r="T20" s="413" t="s">
        <v>533</v>
      </c>
      <c r="U20" s="728"/>
    </row>
    <row r="21" spans="1:21" s="413" customFormat="1" x14ac:dyDescent="0.3">
      <c r="A21" s="82"/>
      <c r="B21" s="960"/>
      <c r="C21" s="961"/>
      <c r="D21" s="964" t="s">
        <v>2</v>
      </c>
      <c r="E21" s="962"/>
      <c r="F21" s="993" t="s">
        <v>535</v>
      </c>
      <c r="G21" s="994" t="s">
        <v>554</v>
      </c>
      <c r="H21" s="961" t="s">
        <v>80</v>
      </c>
      <c r="I21" s="964" t="s">
        <v>430</v>
      </c>
      <c r="J21" s="964"/>
      <c r="K21" s="965">
        <f t="shared" si="4"/>
        <v>1396500</v>
      </c>
      <c r="L21" s="965">
        <v>1470000</v>
      </c>
      <c r="M21" s="966">
        <f t="shared" si="6"/>
        <v>0</v>
      </c>
      <c r="N21" s="967">
        <v>0</v>
      </c>
      <c r="O21" s="1443">
        <f t="shared" si="5"/>
        <v>0</v>
      </c>
      <c r="P21" s="1444"/>
      <c r="Q21" s="968" t="s">
        <v>525</v>
      </c>
      <c r="R21" s="969"/>
      <c r="S21" s="970" t="s">
        <v>645</v>
      </c>
      <c r="T21" s="413" t="s">
        <v>555</v>
      </c>
      <c r="U21" s="728"/>
    </row>
    <row r="22" spans="1:21" s="695" customFormat="1" ht="17.25" thickBot="1" x14ac:dyDescent="0.35">
      <c r="B22" s="650"/>
      <c r="C22" s="676"/>
      <c r="D22" s="676" t="s">
        <v>2</v>
      </c>
      <c r="E22" s="652"/>
      <c r="F22" s="1117" t="s">
        <v>1044</v>
      </c>
      <c r="G22" s="1023" t="s">
        <v>311</v>
      </c>
      <c r="H22" s="651" t="s">
        <v>80</v>
      </c>
      <c r="I22" s="651" t="s">
        <v>430</v>
      </c>
      <c r="J22" s="651">
        <v>2</v>
      </c>
      <c r="K22" s="675">
        <f t="shared" ref="K22" si="7">L22*0.95</f>
        <v>2242000</v>
      </c>
      <c r="L22" s="675">
        <v>2360000</v>
      </c>
      <c r="M22" s="658">
        <f t="shared" ref="M22" si="8">J22*K22</f>
        <v>4484000</v>
      </c>
      <c r="N22" s="659">
        <v>0</v>
      </c>
      <c r="O22" s="1449">
        <f t="shared" ref="O22" si="9">J22*L22/(1-N22)</f>
        <v>4720000</v>
      </c>
      <c r="P22" s="1450"/>
      <c r="Q22" s="1451" t="s">
        <v>1046</v>
      </c>
      <c r="R22" s="1452"/>
      <c r="S22" s="1118" t="s">
        <v>646</v>
      </c>
      <c r="T22" s="1119" t="s">
        <v>552</v>
      </c>
      <c r="U22" s="670"/>
    </row>
    <row r="23" spans="1:21" ht="17.25" thickBot="1" x14ac:dyDescent="0.35">
      <c r="B23" s="587" t="s">
        <v>2</v>
      </c>
      <c r="C23" s="588"/>
      <c r="D23" s="588"/>
      <c r="E23" s="589"/>
      <c r="F23" s="270" t="s">
        <v>267</v>
      </c>
      <c r="G23" s="977"/>
      <c r="H23" s="590"/>
      <c r="I23" s="590"/>
      <c r="J23" s="590"/>
      <c r="K23" s="590"/>
      <c r="L23" s="591"/>
      <c r="M23" s="592"/>
      <c r="N23" s="593"/>
      <c r="O23" s="1324"/>
      <c r="P23" s="1325"/>
      <c r="Q23" s="1336"/>
      <c r="R23" s="1337"/>
      <c r="S23" s="115"/>
    </row>
    <row r="24" spans="1:21" s="413" customFormat="1" x14ac:dyDescent="0.3">
      <c r="A24" s="82"/>
      <c r="B24" s="960"/>
      <c r="C24" s="961" t="s">
        <v>2</v>
      </c>
      <c r="D24" s="964"/>
      <c r="E24" s="962"/>
      <c r="F24" s="993" t="s">
        <v>418</v>
      </c>
      <c r="G24" s="994" t="s">
        <v>60</v>
      </c>
      <c r="H24" s="961" t="s">
        <v>60</v>
      </c>
      <c r="I24" s="964" t="s">
        <v>116</v>
      </c>
      <c r="J24" s="964"/>
      <c r="K24" s="965">
        <v>4000000</v>
      </c>
      <c r="L24" s="965">
        <v>4000000</v>
      </c>
      <c r="M24" s="966">
        <f>J24*K24</f>
        <v>0</v>
      </c>
      <c r="N24" s="967">
        <v>0.3</v>
      </c>
      <c r="O24" s="1443">
        <f t="shared" ref="O24:O42" si="10">J24*L24*(1+N24)</f>
        <v>0</v>
      </c>
      <c r="P24" s="1444"/>
      <c r="Q24" s="968"/>
      <c r="R24" s="969"/>
      <c r="S24" s="970"/>
      <c r="T24" s="413" t="s">
        <v>628</v>
      </c>
      <c r="U24" s="728">
        <f>(2000000+(300000*4))*1.2</f>
        <v>3840000</v>
      </c>
    </row>
    <row r="25" spans="1:21" s="695" customFormat="1" x14ac:dyDescent="0.3">
      <c r="B25" s="650"/>
      <c r="C25" s="676" t="s">
        <v>2</v>
      </c>
      <c r="D25" s="676"/>
      <c r="E25" s="652"/>
      <c r="F25" s="1117" t="s">
        <v>1050</v>
      </c>
      <c r="G25" s="1023" t="s">
        <v>60</v>
      </c>
      <c r="H25" s="651" t="s">
        <v>60</v>
      </c>
      <c r="I25" s="651" t="s">
        <v>116</v>
      </c>
      <c r="J25" s="651">
        <v>2</v>
      </c>
      <c r="K25" s="675">
        <v>500000</v>
      </c>
      <c r="L25" s="675">
        <v>500000</v>
      </c>
      <c r="M25" s="658">
        <f>J25*K25</f>
        <v>1000000</v>
      </c>
      <c r="N25" s="659">
        <v>0.3</v>
      </c>
      <c r="O25" s="1449">
        <f t="shared" ref="O25" si="11">J25*L25*(1+N25)</f>
        <v>1300000</v>
      </c>
      <c r="P25" s="1450"/>
      <c r="Q25" s="1451"/>
      <c r="R25" s="1452"/>
      <c r="S25" s="1118"/>
      <c r="T25" s="1119" t="s">
        <v>628</v>
      </c>
      <c r="U25" s="670">
        <f>(2000000+(300000*4))*1.2</f>
        <v>3840000</v>
      </c>
    </row>
    <row r="26" spans="1:21" s="413" customFormat="1" x14ac:dyDescent="0.3">
      <c r="A26" s="82"/>
      <c r="B26" s="960"/>
      <c r="C26" s="961"/>
      <c r="D26" s="964" t="s">
        <v>2</v>
      </c>
      <c r="E26" s="962"/>
      <c r="F26" s="993" t="s">
        <v>245</v>
      </c>
      <c r="G26" s="994" t="s">
        <v>246</v>
      </c>
      <c r="H26" s="961" t="s">
        <v>183</v>
      </c>
      <c r="I26" s="964" t="s">
        <v>725</v>
      </c>
      <c r="J26" s="964"/>
      <c r="K26" s="965">
        <v>200000</v>
      </c>
      <c r="L26" s="965">
        <v>200000</v>
      </c>
      <c r="M26" s="966">
        <f t="shared" ref="M26" si="12">J26*K26</f>
        <v>0</v>
      </c>
      <c r="N26" s="967">
        <v>0.3</v>
      </c>
      <c r="O26" s="1443">
        <f t="shared" si="10"/>
        <v>0</v>
      </c>
      <c r="P26" s="1444"/>
      <c r="Q26" s="968"/>
      <c r="R26" s="969"/>
      <c r="S26" s="970"/>
      <c r="U26" s="728"/>
    </row>
    <row r="27" spans="1:21" s="413" customFormat="1" x14ac:dyDescent="0.3">
      <c r="A27" s="82"/>
      <c r="B27" s="960"/>
      <c r="C27" s="961"/>
      <c r="D27" s="964" t="s">
        <v>2</v>
      </c>
      <c r="E27" s="962"/>
      <c r="F27" s="993" t="s">
        <v>343</v>
      </c>
      <c r="G27" s="994" t="s">
        <v>334</v>
      </c>
      <c r="H27" s="961" t="s">
        <v>328</v>
      </c>
      <c r="I27" s="964" t="s">
        <v>725</v>
      </c>
      <c r="J27" s="964"/>
      <c r="K27" s="965">
        <v>450000</v>
      </c>
      <c r="L27" s="965">
        <v>500000</v>
      </c>
      <c r="M27" s="966">
        <f>J27*K27</f>
        <v>0</v>
      </c>
      <c r="N27" s="967">
        <v>0</v>
      </c>
      <c r="O27" s="1443">
        <f t="shared" si="10"/>
        <v>0</v>
      </c>
      <c r="P27" s="1444"/>
      <c r="Q27" s="968" t="s">
        <v>522</v>
      </c>
      <c r="R27" s="969"/>
      <c r="S27" s="970"/>
      <c r="U27" s="728"/>
    </row>
    <row r="28" spans="1:21" s="413" customFormat="1" x14ac:dyDescent="0.3">
      <c r="A28" s="82"/>
      <c r="B28" s="960"/>
      <c r="C28" s="961" t="s">
        <v>2</v>
      </c>
      <c r="D28" s="964"/>
      <c r="E28" s="962"/>
      <c r="F28" s="993" t="s">
        <v>268</v>
      </c>
      <c r="G28" s="994" t="s">
        <v>60</v>
      </c>
      <c r="H28" s="961" t="s">
        <v>60</v>
      </c>
      <c r="I28" s="964" t="s">
        <v>725</v>
      </c>
      <c r="J28" s="964"/>
      <c r="K28" s="965">
        <v>1000000</v>
      </c>
      <c r="L28" s="965">
        <v>1000000</v>
      </c>
      <c r="M28" s="966">
        <f>J28*K28</f>
        <v>0</v>
      </c>
      <c r="N28" s="967">
        <v>0.3</v>
      </c>
      <c r="O28" s="1443">
        <f t="shared" si="10"/>
        <v>0</v>
      </c>
      <c r="P28" s="1444"/>
      <c r="Q28" s="968"/>
      <c r="R28" s="969"/>
      <c r="S28" s="970"/>
      <c r="T28" s="413" t="s">
        <v>630</v>
      </c>
      <c r="U28" s="728">
        <f>(500000+(300000*1))*1.2</f>
        <v>960000</v>
      </c>
    </row>
    <row r="29" spans="1:21" s="413" customFormat="1" x14ac:dyDescent="0.3">
      <c r="A29" s="82"/>
      <c r="B29" s="960"/>
      <c r="C29" s="961"/>
      <c r="D29" s="964" t="s">
        <v>2</v>
      </c>
      <c r="E29" s="962"/>
      <c r="F29" s="993" t="s">
        <v>519</v>
      </c>
      <c r="G29" s="994" t="s">
        <v>520</v>
      </c>
      <c r="H29" s="961" t="s">
        <v>521</v>
      </c>
      <c r="I29" s="964" t="s">
        <v>116</v>
      </c>
      <c r="J29" s="964"/>
      <c r="K29" s="965">
        <v>20000</v>
      </c>
      <c r="L29" s="965">
        <v>20000</v>
      </c>
      <c r="M29" s="966">
        <f t="shared" ref="M29:M40" si="13">J29*K29</f>
        <v>0</v>
      </c>
      <c r="N29" s="967">
        <v>0.3</v>
      </c>
      <c r="O29" s="1443">
        <f t="shared" si="10"/>
        <v>0</v>
      </c>
      <c r="P29" s="1444"/>
      <c r="Q29" s="968"/>
      <c r="R29" s="969"/>
      <c r="S29" s="970"/>
      <c r="U29" s="728"/>
    </row>
    <row r="30" spans="1:21" s="695" customFormat="1" x14ac:dyDescent="0.3">
      <c r="B30" s="650"/>
      <c r="C30" s="676"/>
      <c r="D30" s="676" t="s">
        <v>2</v>
      </c>
      <c r="E30" s="652"/>
      <c r="F30" s="1117" t="s">
        <v>1047</v>
      </c>
      <c r="G30" s="1023" t="s">
        <v>520</v>
      </c>
      <c r="H30" s="651" t="s">
        <v>521</v>
      </c>
      <c r="I30" s="651" t="s">
        <v>725</v>
      </c>
      <c r="J30" s="651">
        <v>6</v>
      </c>
      <c r="K30" s="675">
        <v>20000</v>
      </c>
      <c r="L30" s="675">
        <v>20000</v>
      </c>
      <c r="M30" s="658">
        <f t="shared" ref="M30" si="14">J30*K30</f>
        <v>120000</v>
      </c>
      <c r="N30" s="659">
        <v>0.3</v>
      </c>
      <c r="O30" s="1449">
        <f t="shared" ref="O30" si="15">J30*L30*(1+N30)</f>
        <v>156000</v>
      </c>
      <c r="P30" s="1450"/>
      <c r="Q30" s="1451" t="s">
        <v>1045</v>
      </c>
      <c r="R30" s="1452"/>
      <c r="S30" s="1118"/>
      <c r="T30" s="1119"/>
      <c r="U30" s="670"/>
    </row>
    <row r="31" spans="1:21" s="413" customFormat="1" x14ac:dyDescent="0.3">
      <c r="A31" s="82"/>
      <c r="B31" s="960"/>
      <c r="C31" s="961"/>
      <c r="D31" s="964" t="s">
        <v>2</v>
      </c>
      <c r="E31" s="962"/>
      <c r="F31" s="993" t="s">
        <v>909</v>
      </c>
      <c r="G31" s="994" t="s">
        <v>907</v>
      </c>
      <c r="H31" s="961" t="s">
        <v>518</v>
      </c>
      <c r="I31" s="964" t="s">
        <v>116</v>
      </c>
      <c r="J31" s="964"/>
      <c r="K31" s="965">
        <v>50000</v>
      </c>
      <c r="L31" s="965">
        <v>50000</v>
      </c>
      <c r="M31" s="966">
        <f t="shared" si="13"/>
        <v>0</v>
      </c>
      <c r="N31" s="967">
        <v>0.3</v>
      </c>
      <c r="O31" s="1443">
        <f t="shared" si="10"/>
        <v>0</v>
      </c>
      <c r="P31" s="1444"/>
      <c r="Q31" s="968"/>
      <c r="R31" s="969"/>
      <c r="S31" s="970"/>
      <c r="U31" s="728"/>
    </row>
    <row r="32" spans="1:21" s="695" customFormat="1" x14ac:dyDescent="0.3">
      <c r="B32" s="650"/>
      <c r="C32" s="676"/>
      <c r="D32" s="676" t="s">
        <v>2</v>
      </c>
      <c r="E32" s="652"/>
      <c r="F32" s="1117" t="s">
        <v>1048</v>
      </c>
      <c r="G32" s="1023" t="s">
        <v>907</v>
      </c>
      <c r="H32" s="651" t="s">
        <v>518</v>
      </c>
      <c r="I32" s="651" t="s">
        <v>725</v>
      </c>
      <c r="J32" s="651">
        <v>6</v>
      </c>
      <c r="K32" s="675">
        <v>50000</v>
      </c>
      <c r="L32" s="675">
        <v>50000</v>
      </c>
      <c r="M32" s="658">
        <f t="shared" ref="M32" si="16">J32*K32</f>
        <v>300000</v>
      </c>
      <c r="N32" s="659">
        <v>0.3</v>
      </c>
      <c r="O32" s="1449">
        <f t="shared" ref="O32" si="17">J32*L32*(1+N32)</f>
        <v>390000</v>
      </c>
      <c r="P32" s="1450"/>
      <c r="Q32" s="1451" t="s">
        <v>1049</v>
      </c>
      <c r="R32" s="1452"/>
      <c r="S32" s="1118"/>
      <c r="T32" s="1119"/>
      <c r="U32" s="670"/>
    </row>
    <row r="33" spans="1:21" s="413" customFormat="1" x14ac:dyDescent="0.3">
      <c r="A33" s="82"/>
      <c r="B33" s="960"/>
      <c r="C33" s="961"/>
      <c r="D33" s="964" t="s">
        <v>2</v>
      </c>
      <c r="E33" s="962"/>
      <c r="F33" s="993" t="s">
        <v>269</v>
      </c>
      <c r="G33" s="994" t="s">
        <v>270</v>
      </c>
      <c r="H33" s="961" t="s">
        <v>271</v>
      </c>
      <c r="I33" s="964" t="s">
        <v>725</v>
      </c>
      <c r="J33" s="964">
        <v>0</v>
      </c>
      <c r="K33" s="965">
        <v>120000</v>
      </c>
      <c r="L33" s="965">
        <v>120000</v>
      </c>
      <c r="M33" s="966">
        <f t="shared" si="13"/>
        <v>0</v>
      </c>
      <c r="N33" s="967">
        <v>0.3</v>
      </c>
      <c r="O33" s="1443">
        <f t="shared" si="10"/>
        <v>0</v>
      </c>
      <c r="P33" s="1444"/>
      <c r="Q33" s="968"/>
      <c r="R33" s="969"/>
      <c r="S33" s="970" t="s">
        <v>947</v>
      </c>
      <c r="U33" s="728"/>
    </row>
    <row r="34" spans="1:21" s="413" customFormat="1" x14ac:dyDescent="0.3">
      <c r="A34" s="82"/>
      <c r="B34" s="960"/>
      <c r="C34" s="961"/>
      <c r="D34" s="964" t="s">
        <v>2</v>
      </c>
      <c r="E34" s="962"/>
      <c r="F34" s="993" t="s">
        <v>272</v>
      </c>
      <c r="G34" s="994" t="s">
        <v>757</v>
      </c>
      <c r="H34" s="961" t="s">
        <v>626</v>
      </c>
      <c r="I34" s="964" t="s">
        <v>116</v>
      </c>
      <c r="J34" s="964"/>
      <c r="K34" s="965">
        <v>250000</v>
      </c>
      <c r="L34" s="965">
        <v>250000</v>
      </c>
      <c r="M34" s="966">
        <f t="shared" si="13"/>
        <v>0</v>
      </c>
      <c r="N34" s="967">
        <v>0.3</v>
      </c>
      <c r="O34" s="1443">
        <f t="shared" si="10"/>
        <v>0</v>
      </c>
      <c r="P34" s="1444"/>
      <c r="Q34" s="968" t="s">
        <v>572</v>
      </c>
      <c r="R34" s="969"/>
      <c r="S34" s="970"/>
      <c r="U34" s="728"/>
    </row>
    <row r="35" spans="1:21" s="413" customFormat="1" x14ac:dyDescent="0.3">
      <c r="A35" s="82"/>
      <c r="B35" s="960"/>
      <c r="C35" s="961" t="s">
        <v>2</v>
      </c>
      <c r="D35" s="964"/>
      <c r="E35" s="962"/>
      <c r="F35" s="993" t="s">
        <v>419</v>
      </c>
      <c r="G35" s="994" t="s">
        <v>60</v>
      </c>
      <c r="H35" s="961" t="s">
        <v>60</v>
      </c>
      <c r="I35" s="964" t="s">
        <v>116</v>
      </c>
      <c r="J35" s="964"/>
      <c r="K35" s="965">
        <v>3500000</v>
      </c>
      <c r="L35" s="965">
        <v>3500000</v>
      </c>
      <c r="M35" s="966">
        <f t="shared" si="13"/>
        <v>0</v>
      </c>
      <c r="N35" s="967">
        <v>0.3</v>
      </c>
      <c r="O35" s="1443">
        <f>J35*L35*(1+N35)</f>
        <v>0</v>
      </c>
      <c r="P35" s="1444"/>
      <c r="Q35" s="968"/>
      <c r="R35" s="969"/>
      <c r="S35" s="970"/>
      <c r="T35" s="413" t="s">
        <v>629</v>
      </c>
      <c r="U35" s="728">
        <f>(2000000+(300000*3))*1.2</f>
        <v>3480000</v>
      </c>
    </row>
    <row r="36" spans="1:21" s="413" customFormat="1" x14ac:dyDescent="0.3">
      <c r="A36" s="82"/>
      <c r="B36" s="960"/>
      <c r="C36" s="961" t="s">
        <v>2</v>
      </c>
      <c r="D36" s="964"/>
      <c r="E36" s="962"/>
      <c r="F36" s="993" t="s">
        <v>247</v>
      </c>
      <c r="G36" s="994" t="s">
        <v>732</v>
      </c>
      <c r="H36" s="961" t="s">
        <v>756</v>
      </c>
      <c r="I36" s="964" t="s">
        <v>249</v>
      </c>
      <c r="J36" s="964"/>
      <c r="K36" s="965">
        <v>530000</v>
      </c>
      <c r="L36" s="965">
        <v>530000</v>
      </c>
      <c r="M36" s="966">
        <f t="shared" si="13"/>
        <v>0</v>
      </c>
      <c r="N36" s="967">
        <v>0.3</v>
      </c>
      <c r="O36" s="1443">
        <f>J36*L36*(1+N36)</f>
        <v>0</v>
      </c>
      <c r="P36" s="1444"/>
      <c r="Q36" s="968"/>
      <c r="R36" s="969"/>
      <c r="S36" s="970" t="s">
        <v>734</v>
      </c>
      <c r="U36" s="728"/>
    </row>
    <row r="37" spans="1:21" s="413" customFormat="1" x14ac:dyDescent="0.3">
      <c r="A37" s="82"/>
      <c r="B37" s="960"/>
      <c r="C37" s="961" t="s">
        <v>2</v>
      </c>
      <c r="D37" s="964"/>
      <c r="E37" s="962"/>
      <c r="F37" s="993" t="s">
        <v>727</v>
      </c>
      <c r="G37" s="994" t="s">
        <v>758</v>
      </c>
      <c r="H37" s="961" t="s">
        <v>726</v>
      </c>
      <c r="I37" s="964" t="s">
        <v>251</v>
      </c>
      <c r="J37" s="964"/>
      <c r="K37" s="965">
        <v>140000</v>
      </c>
      <c r="L37" s="965">
        <v>200000</v>
      </c>
      <c r="M37" s="966">
        <f t="shared" si="13"/>
        <v>0</v>
      </c>
      <c r="N37" s="967">
        <v>0.3</v>
      </c>
      <c r="O37" s="1443">
        <f>J37*L37*(1+N37)</f>
        <v>0</v>
      </c>
      <c r="P37" s="1444"/>
      <c r="Q37" s="968"/>
      <c r="R37" s="969"/>
      <c r="S37" s="970" t="s">
        <v>735</v>
      </c>
      <c r="U37" s="728"/>
    </row>
    <row r="38" spans="1:21" s="413" customFormat="1" x14ac:dyDescent="0.3">
      <c r="A38" s="82"/>
      <c r="B38" s="960"/>
      <c r="C38" s="961" t="s">
        <v>2</v>
      </c>
      <c r="D38" s="964"/>
      <c r="E38" s="962"/>
      <c r="F38" s="993" t="s">
        <v>252</v>
      </c>
      <c r="G38" s="994" t="s">
        <v>729</v>
      </c>
      <c r="H38" s="961" t="s">
        <v>254</v>
      </c>
      <c r="I38" s="964" t="s">
        <v>254</v>
      </c>
      <c r="J38" s="964"/>
      <c r="K38" s="965">
        <v>2630000</v>
      </c>
      <c r="L38" s="965">
        <v>3000000</v>
      </c>
      <c r="M38" s="966">
        <f t="shared" si="13"/>
        <v>0</v>
      </c>
      <c r="N38" s="967">
        <v>0.3</v>
      </c>
      <c r="O38" s="1443">
        <f>J38*L38*(1+N38)</f>
        <v>0</v>
      </c>
      <c r="P38" s="1444"/>
      <c r="Q38" s="968"/>
      <c r="R38" s="969"/>
      <c r="S38" s="970" t="s">
        <v>760</v>
      </c>
      <c r="U38" s="728"/>
    </row>
    <row r="39" spans="1:21" s="413" customFormat="1" x14ac:dyDescent="0.3">
      <c r="A39" s="82"/>
      <c r="B39" s="960"/>
      <c r="C39" s="961" t="s">
        <v>2</v>
      </c>
      <c r="D39" s="964"/>
      <c r="E39" s="962"/>
      <c r="F39" s="993" t="s">
        <v>355</v>
      </c>
      <c r="G39" s="994" t="s">
        <v>721</v>
      </c>
      <c r="H39" s="961" t="s">
        <v>636</v>
      </c>
      <c r="I39" s="964" t="s">
        <v>636</v>
      </c>
      <c r="J39" s="964"/>
      <c r="K39" s="965">
        <v>65000</v>
      </c>
      <c r="L39" s="965">
        <v>70000</v>
      </c>
      <c r="M39" s="966">
        <f t="shared" si="13"/>
        <v>0</v>
      </c>
      <c r="N39" s="967">
        <v>0.3</v>
      </c>
      <c r="O39" s="1443">
        <f t="shared" si="10"/>
        <v>0</v>
      </c>
      <c r="P39" s="1444"/>
      <c r="Q39" s="968" t="s">
        <v>571</v>
      </c>
      <c r="R39" s="969"/>
      <c r="S39" s="970" t="s">
        <v>733</v>
      </c>
      <c r="U39" s="728"/>
    </row>
    <row r="40" spans="1:21" s="413" customFormat="1" x14ac:dyDescent="0.3">
      <c r="A40" s="82"/>
      <c r="B40" s="960"/>
      <c r="C40" s="961"/>
      <c r="D40" s="964" t="s">
        <v>2</v>
      </c>
      <c r="E40" s="962"/>
      <c r="F40" s="993" t="s">
        <v>354</v>
      </c>
      <c r="G40" s="994" t="s">
        <v>724</v>
      </c>
      <c r="H40" s="961" t="s">
        <v>636</v>
      </c>
      <c r="I40" s="964" t="s">
        <v>636</v>
      </c>
      <c r="J40" s="964"/>
      <c r="K40" s="965">
        <v>65000</v>
      </c>
      <c r="L40" s="965">
        <v>70000</v>
      </c>
      <c r="M40" s="966">
        <f t="shared" si="13"/>
        <v>0</v>
      </c>
      <c r="N40" s="967">
        <v>0.3</v>
      </c>
      <c r="O40" s="1443">
        <f t="shared" si="10"/>
        <v>0</v>
      </c>
      <c r="P40" s="1444"/>
      <c r="Q40" s="968" t="s">
        <v>561</v>
      </c>
      <c r="R40" s="969"/>
      <c r="S40" s="970"/>
      <c r="U40" s="728"/>
    </row>
    <row r="41" spans="1:21" s="413" customFormat="1" x14ac:dyDescent="0.3">
      <c r="A41" s="82"/>
      <c r="B41" s="960"/>
      <c r="C41" s="961"/>
      <c r="D41" s="964" t="s">
        <v>2</v>
      </c>
      <c r="E41" s="962"/>
      <c r="F41" s="993" t="s">
        <v>357</v>
      </c>
      <c r="G41" s="994" t="s">
        <v>721</v>
      </c>
      <c r="H41" s="961" t="s">
        <v>636</v>
      </c>
      <c r="I41" s="964" t="s">
        <v>636</v>
      </c>
      <c r="J41" s="964"/>
      <c r="K41" s="965">
        <v>65000</v>
      </c>
      <c r="L41" s="965">
        <v>70000</v>
      </c>
      <c r="M41" s="966">
        <v>70000</v>
      </c>
      <c r="N41" s="967">
        <v>0.3</v>
      </c>
      <c r="O41" s="1443">
        <f t="shared" si="10"/>
        <v>0</v>
      </c>
      <c r="P41" s="1444"/>
      <c r="Q41" s="968" t="s">
        <v>361</v>
      </c>
      <c r="R41" s="969"/>
      <c r="S41" s="970"/>
      <c r="U41" s="728"/>
    </row>
    <row r="42" spans="1:21" s="413" customFormat="1" ht="17.25" thickBot="1" x14ac:dyDescent="0.35">
      <c r="A42" s="82"/>
      <c r="B42" s="960"/>
      <c r="C42" s="961"/>
      <c r="D42" s="964" t="s">
        <v>2</v>
      </c>
      <c r="E42" s="962"/>
      <c r="F42" s="993" t="s">
        <v>587</v>
      </c>
      <c r="G42" s="994" t="s">
        <v>728</v>
      </c>
      <c r="H42" s="961" t="s">
        <v>636</v>
      </c>
      <c r="I42" s="964" t="s">
        <v>636</v>
      </c>
      <c r="J42" s="964"/>
      <c r="K42" s="965">
        <v>10000</v>
      </c>
      <c r="L42" s="965">
        <v>20000</v>
      </c>
      <c r="M42" s="966">
        <f t="shared" ref="M42" si="18">J42*K42</f>
        <v>0</v>
      </c>
      <c r="N42" s="967">
        <v>0.3</v>
      </c>
      <c r="O42" s="1443">
        <f t="shared" si="10"/>
        <v>0</v>
      </c>
      <c r="P42" s="1444"/>
      <c r="Q42" s="968" t="s">
        <v>589</v>
      </c>
      <c r="R42" s="969"/>
      <c r="S42" s="970"/>
      <c r="U42" s="728"/>
    </row>
    <row r="43" spans="1:21" s="82" customFormat="1" ht="17.25" thickBot="1" x14ac:dyDescent="0.35">
      <c r="B43" s="122" t="s">
        <v>2</v>
      </c>
      <c r="C43" s="116"/>
      <c r="D43" s="116"/>
      <c r="E43" s="117"/>
      <c r="F43" s="118" t="s">
        <v>321</v>
      </c>
      <c r="G43" s="974"/>
      <c r="H43" s="119"/>
      <c r="I43" s="119"/>
      <c r="J43" s="119"/>
      <c r="K43" s="119"/>
      <c r="L43" s="120"/>
      <c r="M43" s="121"/>
      <c r="N43" s="135"/>
      <c r="O43" s="1447"/>
      <c r="P43" s="1448"/>
      <c r="Q43" s="1326"/>
      <c r="R43" s="1327"/>
      <c r="S43" s="115"/>
    </row>
    <row r="44" spans="1:21" s="413" customFormat="1" ht="17.25" thickBot="1" x14ac:dyDescent="0.35">
      <c r="A44" s="82"/>
      <c r="B44" s="960"/>
      <c r="C44" s="961" t="s">
        <v>73</v>
      </c>
      <c r="D44" s="964"/>
      <c r="E44" s="962"/>
      <c r="F44" s="993" t="s">
        <v>902</v>
      </c>
      <c r="G44" s="994" t="s">
        <v>42</v>
      </c>
      <c r="H44" s="961" t="s">
        <v>60</v>
      </c>
      <c r="I44" s="964" t="s">
        <v>900</v>
      </c>
      <c r="J44" s="964"/>
      <c r="K44" s="965">
        <v>19000000</v>
      </c>
      <c r="L44" s="965">
        <v>19000000</v>
      </c>
      <c r="M44" s="966">
        <f t="shared" ref="M44" si="19">J44*K44</f>
        <v>0</v>
      </c>
      <c r="N44" s="967">
        <v>0</v>
      </c>
      <c r="O44" s="1443">
        <f t="shared" ref="O44" si="20">J44*L44*(1+N44)</f>
        <v>0</v>
      </c>
      <c r="P44" s="1444"/>
      <c r="Q44" s="968"/>
      <c r="R44" s="969"/>
      <c r="S44" s="970"/>
      <c r="U44" s="728"/>
    </row>
    <row r="45" spans="1:21" s="82" customFormat="1" ht="18" thickBot="1" x14ac:dyDescent="0.35">
      <c r="B45" s="1338" t="s">
        <v>53</v>
      </c>
      <c r="C45" s="1339"/>
      <c r="D45" s="1339"/>
      <c r="E45" s="1339"/>
      <c r="F45" s="1339"/>
      <c r="G45" s="1339"/>
      <c r="H45" s="1339"/>
      <c r="I45" s="1339"/>
      <c r="J45" s="1339"/>
      <c r="K45" s="1339"/>
      <c r="L45" s="1340"/>
      <c r="M45" s="123">
        <f>SUM(M5:M44)</f>
        <v>5974000</v>
      </c>
      <c r="N45" s="136"/>
      <c r="O45" s="1341">
        <f>SUM(O5:P44)</f>
        <v>6566000</v>
      </c>
      <c r="P45" s="1342"/>
      <c r="Q45" s="1343"/>
      <c r="R45" s="1344"/>
      <c r="S45" s="130"/>
    </row>
    <row r="46" spans="1:21" s="82" customFormat="1" ht="17.25" thickBot="1" x14ac:dyDescent="0.35">
      <c r="B46" s="122" t="s">
        <v>2</v>
      </c>
      <c r="C46" s="116"/>
      <c r="D46" s="116"/>
      <c r="E46" s="117"/>
      <c r="F46" s="118" t="s">
        <v>940</v>
      </c>
      <c r="G46" s="974"/>
      <c r="H46" s="119"/>
      <c r="I46" s="119"/>
      <c r="J46" s="119"/>
      <c r="K46" s="119"/>
      <c r="L46" s="120"/>
      <c r="M46" s="121"/>
      <c r="N46" s="135"/>
      <c r="O46" s="1447"/>
      <c r="P46" s="1448"/>
      <c r="Q46" s="1326"/>
      <c r="R46" s="1327"/>
      <c r="S46" s="115"/>
    </row>
    <row r="47" spans="1:21" s="413" customFormat="1" x14ac:dyDescent="0.3">
      <c r="A47" s="82"/>
      <c r="B47" s="960"/>
      <c r="C47" s="961" t="s">
        <v>73</v>
      </c>
      <c r="D47" s="964"/>
      <c r="E47" s="962"/>
      <c r="F47" s="993" t="s">
        <v>1052</v>
      </c>
      <c r="G47" s="994" t="s">
        <v>42</v>
      </c>
      <c r="H47" s="961" t="s">
        <v>60</v>
      </c>
      <c r="I47" s="964" t="s">
        <v>40</v>
      </c>
      <c r="J47" s="964"/>
      <c r="K47" s="965">
        <v>307000</v>
      </c>
      <c r="L47" s="965">
        <v>307000</v>
      </c>
      <c r="M47" s="966">
        <f t="shared" ref="M47:M48" si="21">J47*K47</f>
        <v>0</v>
      </c>
      <c r="N47" s="967"/>
      <c r="O47" s="1443">
        <f t="shared" ref="O47:O48" si="22">L47*J47</f>
        <v>0</v>
      </c>
      <c r="P47" s="1444"/>
      <c r="Q47" s="968"/>
      <c r="R47" s="969"/>
      <c r="S47" s="970"/>
      <c r="U47" s="728"/>
    </row>
    <row r="48" spans="1:21" s="413" customFormat="1" x14ac:dyDescent="0.3">
      <c r="A48" s="82"/>
      <c r="B48" s="960"/>
      <c r="C48" s="961" t="s">
        <v>73</v>
      </c>
      <c r="D48" s="964"/>
      <c r="E48" s="962"/>
      <c r="F48" s="993" t="s">
        <v>1051</v>
      </c>
      <c r="G48" s="994" t="s">
        <v>42</v>
      </c>
      <c r="H48" s="961" t="s">
        <v>60</v>
      </c>
      <c r="I48" s="964" t="s">
        <v>40</v>
      </c>
      <c r="J48" s="964"/>
      <c r="K48" s="965">
        <v>307000</v>
      </c>
      <c r="L48" s="965">
        <v>307000</v>
      </c>
      <c r="M48" s="966">
        <f t="shared" si="21"/>
        <v>0</v>
      </c>
      <c r="N48" s="967"/>
      <c r="O48" s="1443">
        <f t="shared" si="22"/>
        <v>0</v>
      </c>
      <c r="P48" s="1444"/>
      <c r="Q48" s="968"/>
      <c r="R48" s="969"/>
      <c r="S48" s="970"/>
      <c r="U48" s="728"/>
    </row>
    <row r="49" spans="2:21" s="695" customFormat="1" x14ac:dyDescent="0.3">
      <c r="B49" s="650"/>
      <c r="C49" s="676" t="s">
        <v>73</v>
      </c>
      <c r="D49" s="676"/>
      <c r="E49" s="652"/>
      <c r="F49" s="1117" t="s">
        <v>1053</v>
      </c>
      <c r="G49" s="1023" t="s">
        <v>42</v>
      </c>
      <c r="H49" s="651" t="s">
        <v>60</v>
      </c>
      <c r="I49" s="651" t="s">
        <v>40</v>
      </c>
      <c r="J49" s="651">
        <v>25</v>
      </c>
      <c r="K49" s="675">
        <v>307000</v>
      </c>
      <c r="L49" s="675">
        <v>307000</v>
      </c>
      <c r="M49" s="658">
        <f t="shared" ref="M49" si="23">J49*K49</f>
        <v>7675000</v>
      </c>
      <c r="N49" s="659"/>
      <c r="O49" s="1449">
        <f t="shared" ref="O49" si="24">L49*J49</f>
        <v>7675000</v>
      </c>
      <c r="P49" s="1450"/>
      <c r="Q49" s="1451"/>
      <c r="R49" s="1452"/>
      <c r="S49" s="1118"/>
      <c r="T49" s="1119"/>
      <c r="U49" s="670"/>
    </row>
    <row r="50" spans="2:21" s="695" customFormat="1" x14ac:dyDescent="0.3">
      <c r="B50" s="650"/>
      <c r="C50" s="676" t="s">
        <v>73</v>
      </c>
      <c r="D50" s="676"/>
      <c r="E50" s="652"/>
      <c r="F50" s="1117" t="s">
        <v>1054</v>
      </c>
      <c r="G50" s="1023" t="s">
        <v>42</v>
      </c>
      <c r="H50" s="651" t="s">
        <v>60</v>
      </c>
      <c r="I50" s="651" t="s">
        <v>40</v>
      </c>
      <c r="J50" s="651">
        <v>15</v>
      </c>
      <c r="K50" s="675">
        <v>307000</v>
      </c>
      <c r="L50" s="675">
        <v>307000</v>
      </c>
      <c r="M50" s="658">
        <f t="shared" ref="M50" si="25">J50*K50</f>
        <v>4605000</v>
      </c>
      <c r="N50" s="659"/>
      <c r="O50" s="1449">
        <f t="shared" ref="O50" si="26">L50*J50</f>
        <v>4605000</v>
      </c>
      <c r="P50" s="1450"/>
      <c r="Q50" s="1451"/>
      <c r="R50" s="1452"/>
      <c r="S50" s="1118"/>
      <c r="T50" s="1119"/>
      <c r="U50" s="670"/>
    </row>
    <row r="51" spans="2:21" s="84" customFormat="1" ht="17.25" thickBot="1" x14ac:dyDescent="0.35">
      <c r="B51" s="57"/>
      <c r="C51" s="58"/>
      <c r="D51" s="59"/>
      <c r="E51" s="828"/>
      <c r="F51" s="829"/>
      <c r="G51" s="981"/>
      <c r="H51" s="830"/>
      <c r="I51" s="830"/>
      <c r="J51" s="831"/>
      <c r="K51" s="832"/>
      <c r="L51" s="832"/>
      <c r="M51" s="833"/>
      <c r="N51" s="162"/>
      <c r="O51" s="1328">
        <f t="shared" ref="O51" si="27">L51</f>
        <v>0</v>
      </c>
      <c r="P51" s="1329"/>
      <c r="Q51" s="1453"/>
      <c r="R51" s="1454"/>
      <c r="S51" s="217"/>
    </row>
    <row r="52" spans="2:21" s="84" customFormat="1" ht="17.25" thickBot="1" x14ac:dyDescent="0.35">
      <c r="B52" s="122" t="s">
        <v>2</v>
      </c>
      <c r="C52" s="116"/>
      <c r="D52" s="116"/>
      <c r="E52" s="117"/>
      <c r="F52" s="218" t="s">
        <v>941</v>
      </c>
      <c r="G52" s="982"/>
      <c r="H52" s="219"/>
      <c r="I52" s="219"/>
      <c r="J52" s="219"/>
      <c r="K52" s="220"/>
      <c r="L52" s="220"/>
      <c r="M52" s="221"/>
      <c r="N52" s="135"/>
      <c r="O52" s="1447"/>
      <c r="P52" s="1448"/>
      <c r="Q52" s="1447"/>
      <c r="R52" s="1448"/>
      <c r="S52" s="115"/>
    </row>
    <row r="53" spans="2:21" s="84" customFormat="1" x14ac:dyDescent="0.3">
      <c r="B53" s="64"/>
      <c r="C53" s="65" t="s">
        <v>2</v>
      </c>
      <c r="D53" s="65"/>
      <c r="E53" s="66"/>
      <c r="F53" s="88" t="s">
        <v>7</v>
      </c>
      <c r="G53" s="975"/>
      <c r="H53" s="223" t="s">
        <v>130</v>
      </c>
      <c r="I53" s="223" t="s">
        <v>131</v>
      </c>
      <c r="J53" s="80"/>
      <c r="K53" s="55">
        <v>307000</v>
      </c>
      <c r="L53" s="55">
        <v>307000</v>
      </c>
      <c r="M53" s="112">
        <f>K53*J53</f>
        <v>0</v>
      </c>
      <c r="N53" s="137"/>
      <c r="O53" s="1365">
        <f t="shared" ref="O53:O59" si="28">L53*J53</f>
        <v>0</v>
      </c>
      <c r="P53" s="1366"/>
      <c r="Q53" s="1359" t="s">
        <v>62</v>
      </c>
      <c r="R53" s="1360"/>
      <c r="S53" s="94"/>
    </row>
    <row r="54" spans="2:21" s="695" customFormat="1" x14ac:dyDescent="0.3">
      <c r="B54" s="683"/>
      <c r="C54" s="684" t="s">
        <v>2</v>
      </c>
      <c r="D54" s="684"/>
      <c r="E54" s="685"/>
      <c r="F54" s="1120" t="s">
        <v>11</v>
      </c>
      <c r="G54" s="1121"/>
      <c r="H54" s="692" t="s">
        <v>130</v>
      </c>
      <c r="I54" s="692" t="s">
        <v>131</v>
      </c>
      <c r="J54" s="679">
        <v>1</v>
      </c>
      <c r="K54" s="657">
        <v>307000</v>
      </c>
      <c r="L54" s="657">
        <v>307000</v>
      </c>
      <c r="M54" s="1122">
        <f t="shared" ref="M54:M59" si="29">K54*J54</f>
        <v>307000</v>
      </c>
      <c r="N54" s="1123"/>
      <c r="O54" s="1449">
        <f t="shared" si="28"/>
        <v>307000</v>
      </c>
      <c r="P54" s="1450"/>
      <c r="Q54" s="1361"/>
      <c r="R54" s="1362"/>
      <c r="S54" s="1124"/>
    </row>
    <row r="55" spans="2:21" s="695" customFormat="1" x14ac:dyDescent="0.3">
      <c r="B55" s="683"/>
      <c r="C55" s="684" t="s">
        <v>2</v>
      </c>
      <c r="D55" s="684"/>
      <c r="E55" s="685"/>
      <c r="F55" s="1120" t="s">
        <v>41</v>
      </c>
      <c r="G55" s="1121"/>
      <c r="H55" s="692" t="s">
        <v>130</v>
      </c>
      <c r="I55" s="692" t="s">
        <v>131</v>
      </c>
      <c r="J55" s="679">
        <v>4</v>
      </c>
      <c r="K55" s="657">
        <v>307000</v>
      </c>
      <c r="L55" s="657">
        <v>307000</v>
      </c>
      <c r="M55" s="1122">
        <f t="shared" si="29"/>
        <v>1228000</v>
      </c>
      <c r="N55" s="1123"/>
      <c r="O55" s="1449">
        <f t="shared" si="28"/>
        <v>1228000</v>
      </c>
      <c r="P55" s="1450"/>
      <c r="Q55" s="1361"/>
      <c r="R55" s="1362"/>
      <c r="S55" s="1124"/>
    </row>
    <row r="56" spans="2:21" s="670" customFormat="1" x14ac:dyDescent="0.3">
      <c r="B56" s="683"/>
      <c r="C56" s="684" t="s">
        <v>2</v>
      </c>
      <c r="D56" s="684"/>
      <c r="E56" s="685"/>
      <c r="F56" s="1120" t="s">
        <v>10</v>
      </c>
      <c r="G56" s="1121"/>
      <c r="H56" s="692" t="s">
        <v>130</v>
      </c>
      <c r="I56" s="692" t="s">
        <v>131</v>
      </c>
      <c r="J56" s="679">
        <v>1</v>
      </c>
      <c r="K56" s="657">
        <v>307000</v>
      </c>
      <c r="L56" s="657">
        <v>307000</v>
      </c>
      <c r="M56" s="1122">
        <f t="shared" si="29"/>
        <v>307000</v>
      </c>
      <c r="N56" s="1123"/>
      <c r="O56" s="1449">
        <f t="shared" si="28"/>
        <v>307000</v>
      </c>
      <c r="P56" s="1450"/>
      <c r="Q56" s="1361"/>
      <c r="R56" s="1362"/>
      <c r="S56" s="1124"/>
    </row>
    <row r="57" spans="2:21" x14ac:dyDescent="0.3">
      <c r="B57" s="62"/>
      <c r="C57" s="63" t="s">
        <v>2</v>
      </c>
      <c r="D57" s="63"/>
      <c r="E57" s="61"/>
      <c r="F57" s="89" t="s">
        <v>61</v>
      </c>
      <c r="G57" s="821"/>
      <c r="H57" s="223" t="s">
        <v>130</v>
      </c>
      <c r="I57" s="223" t="s">
        <v>131</v>
      </c>
      <c r="J57" s="56"/>
      <c r="K57" s="55">
        <v>307000</v>
      </c>
      <c r="L57" s="55">
        <v>307000</v>
      </c>
      <c r="M57" s="113">
        <f t="shared" si="29"/>
        <v>0</v>
      </c>
      <c r="N57" s="138"/>
      <c r="O57" s="1365">
        <f t="shared" si="28"/>
        <v>0</v>
      </c>
      <c r="P57" s="1366"/>
      <c r="Q57" s="1361"/>
      <c r="R57" s="1362"/>
      <c r="S57" s="95"/>
    </row>
    <row r="58" spans="2:21" x14ac:dyDescent="0.3">
      <c r="B58" s="67"/>
      <c r="C58" s="63" t="s">
        <v>2</v>
      </c>
      <c r="D58" s="68"/>
      <c r="E58" s="69"/>
      <c r="F58" s="90" t="s">
        <v>9</v>
      </c>
      <c r="G58" s="821"/>
      <c r="H58" s="223" t="s">
        <v>130</v>
      </c>
      <c r="I58" s="223" t="s">
        <v>131</v>
      </c>
      <c r="J58" s="56"/>
      <c r="K58" s="55">
        <v>307000</v>
      </c>
      <c r="L58" s="55">
        <v>307000</v>
      </c>
      <c r="M58" s="113">
        <f t="shared" si="29"/>
        <v>0</v>
      </c>
      <c r="N58" s="138"/>
      <c r="O58" s="1365">
        <f t="shared" si="28"/>
        <v>0</v>
      </c>
      <c r="P58" s="1366"/>
      <c r="Q58" s="1361"/>
      <c r="R58" s="1362"/>
      <c r="S58" s="95"/>
    </row>
    <row r="59" spans="2:21" ht="17.25" thickBot="1" x14ac:dyDescent="0.35">
      <c r="B59" s="57"/>
      <c r="C59" s="58" t="s">
        <v>2</v>
      </c>
      <c r="D59" s="58"/>
      <c r="E59" s="60"/>
      <c r="F59" s="91" t="s">
        <v>8</v>
      </c>
      <c r="G59" s="983"/>
      <c r="H59" s="223" t="s">
        <v>130</v>
      </c>
      <c r="I59" s="223" t="s">
        <v>131</v>
      </c>
      <c r="J59" s="59"/>
      <c r="K59" s="55">
        <v>307000</v>
      </c>
      <c r="L59" s="55">
        <v>307000</v>
      </c>
      <c r="M59" s="114">
        <f t="shared" si="29"/>
        <v>0</v>
      </c>
      <c r="N59" s="139"/>
      <c r="O59" s="1365">
        <f t="shared" si="28"/>
        <v>0</v>
      </c>
      <c r="P59" s="1366"/>
      <c r="Q59" s="1363"/>
      <c r="R59" s="1364"/>
      <c r="S59" s="96"/>
    </row>
    <row r="60" spans="2:21" ht="18" thickBot="1" x14ac:dyDescent="0.35">
      <c r="B60" s="1345" t="s">
        <v>46</v>
      </c>
      <c r="C60" s="1346"/>
      <c r="D60" s="1346"/>
      <c r="E60" s="1346"/>
      <c r="F60" s="1346"/>
      <c r="G60" s="1346"/>
      <c r="H60" s="1346"/>
      <c r="I60" s="1346"/>
      <c r="J60" s="1346"/>
      <c r="K60" s="1346"/>
      <c r="L60" s="1347"/>
      <c r="M60" s="124">
        <f>SUM(M46:M59)</f>
        <v>14122000</v>
      </c>
      <c r="N60" s="140"/>
      <c r="O60" s="1348">
        <f>SUM(O46:P59)</f>
        <v>14122000</v>
      </c>
      <c r="P60" s="1349"/>
      <c r="Q60" s="1350"/>
      <c r="R60" s="1350"/>
      <c r="S60" s="1351"/>
    </row>
    <row r="61" spans="2:21" ht="20.25" thickBot="1" x14ac:dyDescent="0.35">
      <c r="B61" s="1352" t="s">
        <v>52</v>
      </c>
      <c r="C61" s="1353"/>
      <c r="D61" s="1353"/>
      <c r="E61" s="1353"/>
      <c r="F61" s="1353"/>
      <c r="G61" s="1353"/>
      <c r="H61" s="1353"/>
      <c r="I61" s="1353"/>
      <c r="J61" s="1353"/>
      <c r="K61" s="1353"/>
      <c r="L61" s="1353"/>
      <c r="M61" s="125"/>
      <c r="N61" s="134">
        <v>0.03</v>
      </c>
      <c r="O61" s="1354">
        <f>ROUNDDOWN(O45*N61,-3)</f>
        <v>196000</v>
      </c>
      <c r="P61" s="1355"/>
      <c r="Q61" s="1356"/>
      <c r="R61" s="1357"/>
      <c r="S61" s="1358"/>
    </row>
    <row r="62" spans="2:21" ht="20.25" thickBot="1" x14ac:dyDescent="0.35">
      <c r="B62" s="1352" t="s">
        <v>54</v>
      </c>
      <c r="C62" s="1353"/>
      <c r="D62" s="1353"/>
      <c r="E62" s="1353"/>
      <c r="F62" s="1353"/>
      <c r="G62" s="1353"/>
      <c r="H62" s="1353"/>
      <c r="I62" s="1353"/>
      <c r="J62" s="1353"/>
      <c r="K62" s="1353"/>
      <c r="L62" s="1353"/>
      <c r="M62" s="127"/>
      <c r="N62" s="128"/>
      <c r="O62" s="1354">
        <f>SUM(O61,O60,O45)</f>
        <v>20884000</v>
      </c>
      <c r="P62" s="1355"/>
      <c r="Q62" s="1374"/>
      <c r="R62" s="1375"/>
      <c r="S62" s="1376"/>
    </row>
    <row r="63" spans="2:21" ht="20.25" thickBot="1" x14ac:dyDescent="0.35">
      <c r="B63" s="1352" t="s">
        <v>51</v>
      </c>
      <c r="C63" s="1353"/>
      <c r="D63" s="1353"/>
      <c r="E63" s="1353"/>
      <c r="F63" s="1353"/>
      <c r="G63" s="1353"/>
      <c r="H63" s="1353"/>
      <c r="I63" s="1353"/>
      <c r="J63" s="1353"/>
      <c r="K63" s="1353"/>
      <c r="L63" s="1353"/>
      <c r="M63" s="129"/>
      <c r="N63" s="126">
        <v>0.1</v>
      </c>
      <c r="O63" s="1381">
        <f>ROUNDDOWN(O62*N63,-3)</f>
        <v>2088000</v>
      </c>
      <c r="P63" s="1382"/>
      <c r="Q63" s="1383"/>
      <c r="R63" s="1384"/>
      <c r="S63" s="1385"/>
    </row>
    <row r="64" spans="2:21" ht="21" thickBot="1" x14ac:dyDescent="0.35">
      <c r="B64" s="1367" t="s">
        <v>44</v>
      </c>
      <c r="C64" s="1368"/>
      <c r="D64" s="1368"/>
      <c r="E64" s="1368"/>
      <c r="F64" s="1368"/>
      <c r="G64" s="1368"/>
      <c r="H64" s="1368"/>
      <c r="I64" s="1368"/>
      <c r="J64" s="1368"/>
      <c r="K64" s="1368"/>
      <c r="L64" s="1368"/>
      <c r="M64" s="92"/>
      <c r="N64" s="111"/>
      <c r="O64" s="1369">
        <f>ROUNDDOWN(SUM(O62:P63), -6)</f>
        <v>22000000</v>
      </c>
      <c r="P64" s="1370"/>
      <c r="Q64" s="1371"/>
      <c r="R64" s="1372"/>
      <c r="S64" s="1373"/>
    </row>
    <row r="65" spans="2:19" ht="21" thickBot="1" x14ac:dyDescent="0.35">
      <c r="B65" s="104"/>
      <c r="C65" s="104"/>
      <c r="D65" s="104"/>
      <c r="E65" s="104"/>
      <c r="F65" s="105"/>
      <c r="G65" s="984"/>
      <c r="H65" s="105"/>
      <c r="I65" s="105"/>
      <c r="J65" s="105"/>
      <c r="K65" s="105"/>
      <c r="L65" s="105"/>
      <c r="M65" s="106"/>
      <c r="N65" s="107"/>
      <c r="O65" s="107"/>
      <c r="P65" s="107"/>
      <c r="Q65" s="108"/>
      <c r="R65" s="108"/>
      <c r="S65" s="108"/>
    </row>
    <row r="66" spans="2:19" ht="18" thickBot="1" x14ac:dyDescent="0.35">
      <c r="B66" s="1374" t="s">
        <v>50</v>
      </c>
      <c r="C66" s="1375"/>
      <c r="D66" s="1375"/>
      <c r="E66" s="1376"/>
      <c r="F66" s="109"/>
      <c r="G66" s="771"/>
      <c r="H66" s="109"/>
      <c r="I66" s="109"/>
      <c r="J66" s="109"/>
      <c r="K66" s="110"/>
      <c r="L66" s="110"/>
      <c r="M66" s="110"/>
      <c r="N66" s="77" t="s">
        <v>14</v>
      </c>
      <c r="O66" s="1377" t="s">
        <v>15</v>
      </c>
      <c r="P66" s="1378"/>
      <c r="Q66" s="1379" t="s">
        <v>17</v>
      </c>
      <c r="R66" s="1380"/>
      <c r="S66" s="166" t="s">
        <v>16</v>
      </c>
    </row>
    <row r="67" spans="2:19" x14ac:dyDescent="0.3">
      <c r="B67" s="102">
        <v>1</v>
      </c>
      <c r="C67" s="1400" t="s">
        <v>1055</v>
      </c>
      <c r="D67" s="1401"/>
      <c r="E67" s="1401"/>
      <c r="F67" s="1401"/>
      <c r="G67" s="1401"/>
      <c r="H67" s="1401"/>
      <c r="I67" s="1401"/>
      <c r="J67" s="1402"/>
      <c r="N67" s="11">
        <v>0</v>
      </c>
      <c r="O67" s="1403">
        <f>$O$64/(1+N67)</f>
        <v>22000000</v>
      </c>
      <c r="P67" s="1404"/>
      <c r="Q67" s="1405">
        <f>O67-$M$45</f>
        <v>16026000</v>
      </c>
      <c r="R67" s="1406"/>
      <c r="S67" s="160">
        <f>Q67/O67</f>
        <v>0.72845454545454547</v>
      </c>
    </row>
    <row r="68" spans="2:19" x14ac:dyDescent="0.3">
      <c r="B68" s="100">
        <v>2</v>
      </c>
      <c r="C68" s="1458"/>
      <c r="D68" s="1456"/>
      <c r="E68" s="1456"/>
      <c r="F68" s="1456"/>
      <c r="G68" s="1456"/>
      <c r="H68" s="1456"/>
      <c r="I68" s="1456"/>
      <c r="J68" s="1457"/>
      <c r="N68" s="9">
        <v>0.1</v>
      </c>
      <c r="O68" s="1389">
        <f>$O$64/(1+N68)</f>
        <v>20000000</v>
      </c>
      <c r="P68" s="1390"/>
      <c r="Q68" s="1391">
        <f t="shared" ref="Q68:Q71" si="30">O68-$M$45</f>
        <v>14026000</v>
      </c>
      <c r="R68" s="1392"/>
      <c r="S68" s="161">
        <f t="shared" ref="S68:S71" si="31">Q68/O68</f>
        <v>0.70130000000000003</v>
      </c>
    </row>
    <row r="69" spans="2:19" x14ac:dyDescent="0.3">
      <c r="B69" s="100">
        <v>3</v>
      </c>
      <c r="C69" s="1455"/>
      <c r="D69" s="1456"/>
      <c r="E69" s="1456"/>
      <c r="F69" s="1456"/>
      <c r="G69" s="1456"/>
      <c r="H69" s="1456"/>
      <c r="I69" s="1456"/>
      <c r="J69" s="1457"/>
      <c r="N69" s="10">
        <v>0.15</v>
      </c>
      <c r="O69" s="1389">
        <f t="shared" ref="O69:O70" si="32">$O$64/(1+N69)</f>
        <v>19130434.782608695</v>
      </c>
      <c r="P69" s="1390"/>
      <c r="Q69" s="1391">
        <f t="shared" si="30"/>
        <v>13156434.782608695</v>
      </c>
      <c r="R69" s="1392"/>
      <c r="S69" s="161">
        <f t="shared" si="31"/>
        <v>0.68772272727272732</v>
      </c>
    </row>
    <row r="70" spans="2:19" ht="18" customHeight="1" x14ac:dyDescent="0.3">
      <c r="B70" s="100">
        <v>4</v>
      </c>
      <c r="C70" s="1455"/>
      <c r="D70" s="1456"/>
      <c r="E70" s="1456"/>
      <c r="F70" s="1456"/>
      <c r="G70" s="1456"/>
      <c r="H70" s="1456"/>
      <c r="I70" s="1456"/>
      <c r="J70" s="1457"/>
      <c r="N70" s="10">
        <v>0.2</v>
      </c>
      <c r="O70" s="1389">
        <f t="shared" si="32"/>
        <v>18333333.333333336</v>
      </c>
      <c r="P70" s="1390"/>
      <c r="Q70" s="1391">
        <f t="shared" si="30"/>
        <v>12359333.333333336</v>
      </c>
      <c r="R70" s="1392"/>
      <c r="S70" s="161">
        <f t="shared" si="31"/>
        <v>0.6741454545454546</v>
      </c>
    </row>
    <row r="71" spans="2:19" ht="18" customHeight="1" thickBot="1" x14ac:dyDescent="0.35">
      <c r="B71" s="100">
        <v>5</v>
      </c>
      <c r="C71" s="1393"/>
      <c r="D71" s="1394"/>
      <c r="E71" s="1394"/>
      <c r="F71" s="1394"/>
      <c r="G71" s="1394"/>
      <c r="H71" s="1394"/>
      <c r="I71" s="1394"/>
      <c r="J71" s="1395"/>
      <c r="N71" s="12" t="s">
        <v>45</v>
      </c>
      <c r="O71" s="1396">
        <v>0</v>
      </c>
      <c r="P71" s="1397"/>
      <c r="Q71" s="1398">
        <f t="shared" si="30"/>
        <v>-5974000</v>
      </c>
      <c r="R71" s="1399"/>
      <c r="S71" s="99" t="e">
        <f t="shared" si="31"/>
        <v>#DIV/0!</v>
      </c>
    </row>
    <row r="72" spans="2:19" ht="18" customHeight="1" thickBot="1" x14ac:dyDescent="0.35">
      <c r="B72" s="100">
        <v>6</v>
      </c>
      <c r="C72" s="1393"/>
      <c r="D72" s="1394"/>
      <c r="E72" s="1394"/>
      <c r="F72" s="1394"/>
      <c r="G72" s="1394"/>
      <c r="H72" s="1394"/>
      <c r="I72" s="1394"/>
      <c r="J72" s="1395"/>
    </row>
    <row r="73" spans="2:19" s="103" customFormat="1" ht="18" customHeight="1" thickBot="1" x14ac:dyDescent="0.35">
      <c r="B73" s="100">
        <v>7</v>
      </c>
      <c r="C73" s="1111"/>
      <c r="D73" s="1112"/>
      <c r="E73" s="1112"/>
      <c r="F73" s="1112"/>
      <c r="G73" s="1112"/>
      <c r="H73" s="1112"/>
      <c r="I73" s="1112"/>
      <c r="J73" s="1113"/>
      <c r="K73" s="1"/>
      <c r="L73" s="1"/>
      <c r="M73" s="1"/>
      <c r="N73" s="1410" t="s">
        <v>47</v>
      </c>
      <c r="O73" s="1411"/>
      <c r="P73" s="1412" t="s">
        <v>48</v>
      </c>
      <c r="Q73" s="1413"/>
      <c r="R73" s="1414" t="s">
        <v>49</v>
      </c>
      <c r="S73" s="1415"/>
    </row>
    <row r="74" spans="2:19" ht="18" customHeight="1" x14ac:dyDescent="0.3">
      <c r="B74" s="100">
        <v>8</v>
      </c>
      <c r="C74" s="1393"/>
      <c r="D74" s="1394"/>
      <c r="E74" s="1394"/>
      <c r="F74" s="1394"/>
      <c r="G74" s="1394"/>
      <c r="H74" s="1394"/>
      <c r="I74" s="1394"/>
      <c r="J74" s="1395"/>
      <c r="N74" s="1416"/>
      <c r="O74" s="1417"/>
      <c r="P74" s="1422"/>
      <c r="Q74" s="1423"/>
      <c r="R74" s="1428"/>
      <c r="S74" s="1429"/>
    </row>
    <row r="75" spans="2:19" ht="18" customHeight="1" x14ac:dyDescent="0.3">
      <c r="B75" s="100"/>
      <c r="C75" s="1434"/>
      <c r="D75" s="1435"/>
      <c r="E75" s="1435"/>
      <c r="F75" s="1435"/>
      <c r="G75" s="1435"/>
      <c r="H75" s="1435"/>
      <c r="I75" s="1435"/>
      <c r="J75" s="1436"/>
      <c r="N75" s="1418"/>
      <c r="O75" s="1419"/>
      <c r="P75" s="1424"/>
      <c r="Q75" s="1425"/>
      <c r="R75" s="1430"/>
      <c r="S75" s="1431"/>
    </row>
    <row r="76" spans="2:19" ht="18" customHeight="1" x14ac:dyDescent="0.3">
      <c r="B76" s="100"/>
      <c r="C76" s="1434"/>
      <c r="D76" s="1435"/>
      <c r="E76" s="1435"/>
      <c r="F76" s="1435"/>
      <c r="G76" s="1435"/>
      <c r="H76" s="1435"/>
      <c r="I76" s="1435"/>
      <c r="J76" s="1436"/>
      <c r="N76" s="1418"/>
      <c r="O76" s="1419"/>
      <c r="P76" s="1424"/>
      <c r="Q76" s="1425"/>
      <c r="R76" s="1430"/>
      <c r="S76" s="1431"/>
    </row>
    <row r="77" spans="2:19" ht="18" customHeight="1" thickBot="1" x14ac:dyDescent="0.35">
      <c r="B77" s="101"/>
      <c r="C77" s="1407"/>
      <c r="D77" s="1408"/>
      <c r="E77" s="1408"/>
      <c r="F77" s="1408"/>
      <c r="G77" s="1408"/>
      <c r="H77" s="1408"/>
      <c r="I77" s="1408"/>
      <c r="J77" s="1409"/>
      <c r="N77" s="1420"/>
      <c r="O77" s="1421"/>
      <c r="P77" s="1426"/>
      <c r="Q77" s="1427"/>
      <c r="R77" s="1432"/>
      <c r="S77" s="1433"/>
    </row>
    <row r="78" spans="2:19" ht="18" customHeight="1" x14ac:dyDescent="0.3"/>
    <row r="79" spans="2:19" ht="18" customHeight="1" x14ac:dyDescent="0.3"/>
    <row r="80" spans="2:19" ht="18" customHeight="1" x14ac:dyDescent="0.3"/>
    <row r="81" spans="1:19" s="1114" customFormat="1" x14ac:dyDescent="0.3">
      <c r="A81"/>
      <c r="B81" s="2"/>
      <c r="C81" s="2"/>
      <c r="D81" s="2"/>
      <c r="E81" s="2"/>
      <c r="G81" s="2"/>
      <c r="K81" s="1"/>
      <c r="L81" s="1"/>
      <c r="M81" s="1"/>
      <c r="N81" s="5"/>
      <c r="O81" s="1"/>
      <c r="P81" s="1"/>
      <c r="Q81"/>
      <c r="R81"/>
      <c r="S81" s="93"/>
    </row>
    <row r="82" spans="1:19" s="1114" customFormat="1" x14ac:dyDescent="0.3">
      <c r="A82"/>
      <c r="B82" s="2"/>
      <c r="C82" s="2"/>
      <c r="D82" s="2"/>
      <c r="E82" s="2"/>
      <c r="G82" s="2"/>
      <c r="K82" s="1"/>
      <c r="L82" s="1"/>
      <c r="M82" s="1"/>
      <c r="N82" s="5"/>
      <c r="O82" s="1"/>
      <c r="P82" s="1"/>
      <c r="Q82"/>
      <c r="R82"/>
      <c r="S82" s="93"/>
    </row>
    <row r="83" spans="1:19" s="1114" customFormat="1" x14ac:dyDescent="0.3">
      <c r="A83"/>
      <c r="B83" s="2"/>
      <c r="C83" s="2"/>
      <c r="D83" s="2"/>
      <c r="E83" s="2"/>
      <c r="G83" s="2"/>
      <c r="K83" s="1"/>
      <c r="L83" s="1"/>
      <c r="M83" s="1"/>
      <c r="N83" s="5"/>
      <c r="O83" s="1"/>
      <c r="P83" s="1"/>
      <c r="Q83"/>
      <c r="R83"/>
      <c r="S83" s="93"/>
    </row>
    <row r="84" spans="1:19" s="1114" customFormat="1" x14ac:dyDescent="0.3">
      <c r="A84"/>
      <c r="B84" s="2"/>
      <c r="C84" s="2"/>
      <c r="D84" s="2"/>
      <c r="E84" s="2"/>
      <c r="G84" s="2"/>
      <c r="K84" s="1"/>
      <c r="L84" s="1"/>
      <c r="M84" s="1"/>
      <c r="N84" s="5"/>
      <c r="O84" s="1"/>
      <c r="P84" s="1"/>
      <c r="Q84"/>
      <c r="R84"/>
      <c r="S84" s="93"/>
    </row>
    <row r="85" spans="1:19" s="1114" customFormat="1" x14ac:dyDescent="0.3">
      <c r="A85"/>
      <c r="B85" s="2"/>
      <c r="C85" s="2"/>
      <c r="D85" s="2"/>
      <c r="E85" s="2"/>
      <c r="G85" s="2"/>
      <c r="K85" s="1"/>
      <c r="L85" s="1"/>
      <c r="M85" s="1"/>
      <c r="N85" s="5"/>
      <c r="O85" s="1"/>
      <c r="P85" s="1"/>
      <c r="Q85"/>
      <c r="R85"/>
      <c r="S85" s="93"/>
    </row>
  </sheetData>
  <mergeCells count="120">
    <mergeCell ref="C74:J74"/>
    <mergeCell ref="N74:O77"/>
    <mergeCell ref="P74:Q77"/>
    <mergeCell ref="R74:S77"/>
    <mergeCell ref="C75:J75"/>
    <mergeCell ref="C76:J76"/>
    <mergeCell ref="C77:J77"/>
    <mergeCell ref="C71:J71"/>
    <mergeCell ref="O71:P71"/>
    <mergeCell ref="Q71:R71"/>
    <mergeCell ref="C72:J72"/>
    <mergeCell ref="N73:O73"/>
    <mergeCell ref="P73:Q73"/>
    <mergeCell ref="R73:S73"/>
    <mergeCell ref="C69:J69"/>
    <mergeCell ref="O69:P69"/>
    <mergeCell ref="Q69:R69"/>
    <mergeCell ref="C70:J70"/>
    <mergeCell ref="O70:P70"/>
    <mergeCell ref="Q70:R70"/>
    <mergeCell ref="C67:J67"/>
    <mergeCell ref="O67:P67"/>
    <mergeCell ref="Q67:R67"/>
    <mergeCell ref="C68:J68"/>
    <mergeCell ref="O68:P68"/>
    <mergeCell ref="Q68:R68"/>
    <mergeCell ref="B64:L64"/>
    <mergeCell ref="O64:P64"/>
    <mergeCell ref="Q64:S64"/>
    <mergeCell ref="B66:E66"/>
    <mergeCell ref="O66:P66"/>
    <mergeCell ref="Q66:R66"/>
    <mergeCell ref="B62:L62"/>
    <mergeCell ref="O62:P62"/>
    <mergeCell ref="Q62:S62"/>
    <mergeCell ref="B63:L63"/>
    <mergeCell ref="O63:P63"/>
    <mergeCell ref="Q63:S63"/>
    <mergeCell ref="B60:L60"/>
    <mergeCell ref="O60:P60"/>
    <mergeCell ref="Q60:S60"/>
    <mergeCell ref="B61:L61"/>
    <mergeCell ref="O61:P61"/>
    <mergeCell ref="Q61:S61"/>
    <mergeCell ref="O51:P51"/>
    <mergeCell ref="Q51:R51"/>
    <mergeCell ref="O52:P52"/>
    <mergeCell ref="Q52:R52"/>
    <mergeCell ref="O53:P53"/>
    <mergeCell ref="Q53:R59"/>
    <mergeCell ref="O54:P54"/>
    <mergeCell ref="O55:P55"/>
    <mergeCell ref="O56:P56"/>
    <mergeCell ref="O57:P57"/>
    <mergeCell ref="O46:P46"/>
    <mergeCell ref="Q46:R46"/>
    <mergeCell ref="O47:P47"/>
    <mergeCell ref="O48:P48"/>
    <mergeCell ref="O43:P43"/>
    <mergeCell ref="Q43:R43"/>
    <mergeCell ref="O44:P44"/>
    <mergeCell ref="O58:P58"/>
    <mergeCell ref="O59:P59"/>
    <mergeCell ref="O50:P50"/>
    <mergeCell ref="Q50:R50"/>
    <mergeCell ref="O49:P49"/>
    <mergeCell ref="Q49:R49"/>
    <mergeCell ref="B45:L45"/>
    <mergeCell ref="O45:P45"/>
    <mergeCell ref="Q45:R45"/>
    <mergeCell ref="O40:P40"/>
    <mergeCell ref="O41:P41"/>
    <mergeCell ref="O42:P42"/>
    <mergeCell ref="O35:P35"/>
    <mergeCell ref="O36:P36"/>
    <mergeCell ref="O37:P37"/>
    <mergeCell ref="O38:P38"/>
    <mergeCell ref="O39:P39"/>
    <mergeCell ref="O28:P28"/>
    <mergeCell ref="O29:P29"/>
    <mergeCell ref="O31:P31"/>
    <mergeCell ref="O33:P33"/>
    <mergeCell ref="O34:P34"/>
    <mergeCell ref="O30:P30"/>
    <mergeCell ref="Q30:R30"/>
    <mergeCell ref="O32:P32"/>
    <mergeCell ref="Q32:R32"/>
    <mergeCell ref="O27:P27"/>
    <mergeCell ref="O21:P21"/>
    <mergeCell ref="O23:P23"/>
    <mergeCell ref="Q23:R23"/>
    <mergeCell ref="O22:P22"/>
    <mergeCell ref="Q22:R22"/>
    <mergeCell ref="O18:P18"/>
    <mergeCell ref="O19:P19"/>
    <mergeCell ref="O20:P20"/>
    <mergeCell ref="O25:P25"/>
    <mergeCell ref="Q25:R25"/>
    <mergeCell ref="O24:P24"/>
    <mergeCell ref="O26:P26"/>
    <mergeCell ref="O6:P6"/>
    <mergeCell ref="O7:P7"/>
    <mergeCell ref="O8:P8"/>
    <mergeCell ref="A2:S2"/>
    <mergeCell ref="Q3:S3"/>
    <mergeCell ref="B4:E4"/>
    <mergeCell ref="O4:P4"/>
    <mergeCell ref="Q4:R4"/>
    <mergeCell ref="O5:P5"/>
    <mergeCell ref="Q5:R5"/>
    <mergeCell ref="O15:P15"/>
    <mergeCell ref="O16:P16"/>
    <mergeCell ref="O17:P17"/>
    <mergeCell ref="Q17:R17"/>
    <mergeCell ref="O12:P12"/>
    <mergeCell ref="O13:P13"/>
    <mergeCell ref="O14:P14"/>
    <mergeCell ref="O9:P9"/>
    <mergeCell ref="O10:P10"/>
    <mergeCell ref="O11:P11"/>
  </mergeCells>
  <phoneticPr fontId="2" type="noConversion"/>
  <pageMargins left="0.25" right="0.25" top="0.75" bottom="0.75" header="0.3" footer="0.3"/>
  <pageSetup paperSize="9" scale="48" fitToWidth="0" orientation="landscape" horizontalDpi="300" r:id="rId1"/>
  <headerFooter>
    <oddFooter>&amp;R&amp;D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99A8-A936-446C-A22F-2FAD4CE70345}">
  <sheetPr>
    <tabColor rgb="FFC00000"/>
    <pageSetUpPr fitToPage="1"/>
  </sheetPr>
  <dimension ref="B1:L60"/>
  <sheetViews>
    <sheetView view="pageBreakPreview" zoomScale="85" zoomScaleNormal="100" zoomScaleSheetLayoutView="85" workbookViewId="0">
      <selection activeCell="J28" sqref="J28"/>
    </sheetView>
  </sheetViews>
  <sheetFormatPr defaultRowHeight="16.5" x14ac:dyDescent="0.3"/>
  <cols>
    <col min="1" max="1" width="4.25" customWidth="1"/>
    <col min="2" max="2" width="19.75" customWidth="1"/>
    <col min="3" max="3" width="17.75" customWidth="1"/>
    <col min="4" max="4" width="57.75" customWidth="1"/>
    <col min="5" max="5" width="76.125" style="2" bestFit="1" customWidth="1"/>
    <col min="6" max="6" width="5.5" bestFit="1" customWidth="1"/>
    <col min="7" max="7" width="25.875" hidden="1" customWidth="1"/>
    <col min="8" max="8" width="35.625" customWidth="1"/>
    <col min="9" max="9" width="19.25" bestFit="1" customWidth="1"/>
    <col min="10" max="10" width="11.625" bestFit="1" customWidth="1"/>
    <col min="11" max="11" width="15.375" bestFit="1" customWidth="1"/>
    <col min="12" max="12" width="37.75" bestFit="1" customWidth="1"/>
  </cols>
  <sheetData>
    <row r="1" spans="2:12" ht="17.25" thickBot="1" x14ac:dyDescent="0.35">
      <c r="B1" t="s">
        <v>898</v>
      </c>
    </row>
    <row r="2" spans="2:12" x14ac:dyDescent="0.3">
      <c r="B2" s="1011" t="s">
        <v>797</v>
      </c>
      <c r="C2" s="997"/>
      <c r="D2" s="997"/>
      <c r="E2" s="998"/>
      <c r="F2" s="1012"/>
      <c r="G2" s="1459" t="s">
        <v>1167</v>
      </c>
      <c r="H2" s="1459" t="s">
        <v>1174</v>
      </c>
    </row>
    <row r="3" spans="2:12" ht="17.25" thickBot="1" x14ac:dyDescent="0.35">
      <c r="B3" s="1015" t="s">
        <v>808</v>
      </c>
      <c r="C3" s="1016" t="s">
        <v>809</v>
      </c>
      <c r="D3" s="1016" t="s">
        <v>812</v>
      </c>
      <c r="E3" s="1017" t="s">
        <v>810</v>
      </c>
      <c r="F3" s="1018" t="s">
        <v>811</v>
      </c>
      <c r="G3" s="1460"/>
      <c r="H3" s="1460"/>
    </row>
    <row r="4" spans="2:12" ht="17.25" thickBot="1" x14ac:dyDescent="0.35">
      <c r="B4" s="1013" t="s">
        <v>770</v>
      </c>
      <c r="C4" s="1005" t="s">
        <v>770</v>
      </c>
      <c r="D4" s="1005" t="s">
        <v>256</v>
      </c>
      <c r="E4" s="1006" t="s">
        <v>776</v>
      </c>
      <c r="F4" s="1014">
        <v>4</v>
      </c>
      <c r="G4" s="1014" t="s">
        <v>1168</v>
      </c>
      <c r="H4" s="1014" t="s">
        <v>1183</v>
      </c>
    </row>
    <row r="5" spans="2:12" x14ac:dyDescent="0.3">
      <c r="B5" s="996" t="s">
        <v>131</v>
      </c>
      <c r="C5" s="997" t="s">
        <v>131</v>
      </c>
      <c r="D5" s="997" t="s">
        <v>813</v>
      </c>
      <c r="E5" s="998">
        <v>702916</v>
      </c>
      <c r="F5" s="999">
        <v>4</v>
      </c>
      <c r="G5" s="999"/>
      <c r="H5" s="999" t="s">
        <v>1182</v>
      </c>
    </row>
    <row r="6" spans="2:12" x14ac:dyDescent="0.3">
      <c r="B6" s="1000"/>
      <c r="C6" s="704"/>
      <c r="D6" s="704" t="s">
        <v>814</v>
      </c>
      <c r="E6" s="296">
        <v>701930</v>
      </c>
      <c r="F6" s="1001">
        <v>1</v>
      </c>
      <c r="G6" s="1001"/>
      <c r="H6" s="1001" t="s">
        <v>1181</v>
      </c>
    </row>
    <row r="7" spans="2:12" x14ac:dyDescent="0.3">
      <c r="B7" s="1000"/>
      <c r="C7" s="704"/>
      <c r="D7" s="704" t="s">
        <v>815</v>
      </c>
      <c r="E7" s="296">
        <v>701978</v>
      </c>
      <c r="F7" s="1001">
        <v>2</v>
      </c>
      <c r="G7" s="1001"/>
      <c r="H7" s="1001" t="s">
        <v>1181</v>
      </c>
    </row>
    <row r="8" spans="2:12" x14ac:dyDescent="0.3">
      <c r="B8" s="1000"/>
      <c r="C8" s="704"/>
      <c r="D8" s="704" t="s">
        <v>816</v>
      </c>
      <c r="E8" s="296">
        <v>758921</v>
      </c>
      <c r="F8" s="1001">
        <v>12</v>
      </c>
      <c r="G8" s="1001"/>
      <c r="H8" s="1001" t="s">
        <v>1181</v>
      </c>
    </row>
    <row r="9" spans="2:12" x14ac:dyDescent="0.3">
      <c r="B9" s="1000"/>
      <c r="C9" s="704"/>
      <c r="D9" s="704" t="s">
        <v>817</v>
      </c>
      <c r="E9" s="296">
        <v>720268</v>
      </c>
      <c r="F9" s="1001">
        <v>6</v>
      </c>
      <c r="G9" s="1001"/>
      <c r="H9" s="1001" t="s">
        <v>1181</v>
      </c>
    </row>
    <row r="10" spans="2:12" x14ac:dyDescent="0.3">
      <c r="B10" s="1000"/>
      <c r="C10" s="704"/>
      <c r="D10" s="704" t="s">
        <v>818</v>
      </c>
      <c r="E10" s="296">
        <v>701251</v>
      </c>
      <c r="F10" s="1001">
        <v>4</v>
      </c>
      <c r="G10" s="1001"/>
      <c r="H10" s="1001" t="s">
        <v>1181</v>
      </c>
    </row>
    <row r="11" spans="2:12" x14ac:dyDescent="0.3">
      <c r="B11" s="1000"/>
      <c r="C11" s="704"/>
      <c r="D11" s="704" t="s">
        <v>819</v>
      </c>
      <c r="E11" s="296">
        <v>758933</v>
      </c>
      <c r="F11" s="1001">
        <v>12</v>
      </c>
      <c r="G11" s="1001"/>
      <c r="H11" s="1001" t="s">
        <v>1181</v>
      </c>
    </row>
    <row r="12" spans="2:12" x14ac:dyDescent="0.3">
      <c r="B12" s="1000"/>
      <c r="C12" s="704"/>
      <c r="D12" s="704" t="s">
        <v>820</v>
      </c>
      <c r="E12" s="296" t="s">
        <v>778</v>
      </c>
      <c r="F12" s="1001">
        <v>1</v>
      </c>
      <c r="G12" s="1001"/>
      <c r="H12" s="1001" t="s">
        <v>1181</v>
      </c>
    </row>
    <row r="13" spans="2:12" x14ac:dyDescent="0.3">
      <c r="B13" s="1000"/>
      <c r="C13" s="704"/>
      <c r="D13" s="704" t="s">
        <v>821</v>
      </c>
      <c r="E13" s="296">
        <v>701937</v>
      </c>
      <c r="F13" s="1001">
        <v>1</v>
      </c>
      <c r="G13" s="1001"/>
      <c r="H13" s="1001" t="s">
        <v>1181</v>
      </c>
    </row>
    <row r="14" spans="2:12" x14ac:dyDescent="0.3">
      <c r="B14" s="1000"/>
      <c r="C14" s="704"/>
      <c r="D14" s="704" t="s">
        <v>822</v>
      </c>
      <c r="E14" s="296" t="s">
        <v>777</v>
      </c>
      <c r="F14" s="1001">
        <v>3</v>
      </c>
      <c r="G14" s="1001"/>
      <c r="H14" s="1001" t="s">
        <v>1181</v>
      </c>
    </row>
    <row r="15" spans="2:12" ht="17.25" thickBot="1" x14ac:dyDescent="0.35">
      <c r="B15" s="1002"/>
      <c r="C15" s="793"/>
      <c r="D15" s="793" t="s">
        <v>823</v>
      </c>
      <c r="E15" s="1003">
        <v>701265</v>
      </c>
      <c r="F15" s="1004">
        <v>7</v>
      </c>
      <c r="G15" s="1004"/>
      <c r="H15" s="1004" t="s">
        <v>1181</v>
      </c>
    </row>
    <row r="16" spans="2:12" x14ac:dyDescent="0.3">
      <c r="B16" s="996" t="s">
        <v>725</v>
      </c>
      <c r="C16" s="997" t="s">
        <v>799</v>
      </c>
      <c r="D16" s="997" t="s">
        <v>824</v>
      </c>
      <c r="E16" s="998" t="s">
        <v>625</v>
      </c>
      <c r="F16" s="999">
        <v>4</v>
      </c>
      <c r="G16" s="999" t="s">
        <v>1168</v>
      </c>
      <c r="H16" s="999" t="s">
        <v>1183</v>
      </c>
      <c r="I16" s="947" t="s">
        <v>116</v>
      </c>
      <c r="J16" s="947" t="s">
        <v>893</v>
      </c>
      <c r="K16" s="947" t="s">
        <v>897</v>
      </c>
      <c r="L16" s="948" t="s">
        <v>896</v>
      </c>
    </row>
    <row r="17" spans="2:12" hidden="1" x14ac:dyDescent="0.3">
      <c r="B17" s="1000"/>
      <c r="C17" s="704" t="s">
        <v>800</v>
      </c>
      <c r="D17" s="704" t="s">
        <v>825</v>
      </c>
      <c r="E17" s="296" t="s">
        <v>1190</v>
      </c>
      <c r="F17" s="1001">
        <v>1</v>
      </c>
      <c r="G17" s="1001"/>
      <c r="H17" s="1001" t="s">
        <v>1181</v>
      </c>
    </row>
    <row r="18" spans="2:12" hidden="1" x14ac:dyDescent="0.3">
      <c r="B18" s="1000"/>
      <c r="C18" s="704"/>
      <c r="D18" s="704" t="s">
        <v>826</v>
      </c>
      <c r="E18" s="296" t="s">
        <v>1189</v>
      </c>
      <c r="F18" s="1001">
        <v>1</v>
      </c>
      <c r="G18" s="1001"/>
      <c r="H18" s="1001" t="s">
        <v>1181</v>
      </c>
      <c r="I18" s="649"/>
      <c r="J18" s="649"/>
      <c r="K18" s="649"/>
      <c r="L18" s="649"/>
    </row>
    <row r="19" spans="2:12" x14ac:dyDescent="0.3">
      <c r="B19" s="1000"/>
      <c r="C19" s="704" t="s">
        <v>801</v>
      </c>
      <c r="D19" s="704" t="s">
        <v>827</v>
      </c>
      <c r="E19" s="296" t="s">
        <v>781</v>
      </c>
      <c r="F19" s="1001">
        <v>4</v>
      </c>
      <c r="G19" s="1001" t="s">
        <v>1168</v>
      </c>
      <c r="H19" s="1001" t="s">
        <v>1183</v>
      </c>
      <c r="I19" s="649"/>
      <c r="J19" s="649"/>
      <c r="K19" s="649"/>
      <c r="L19" s="649"/>
    </row>
    <row r="20" spans="2:12" x14ac:dyDescent="0.3">
      <c r="B20" s="1000"/>
      <c r="C20" s="704" t="s">
        <v>802</v>
      </c>
      <c r="D20" s="704" t="s">
        <v>828</v>
      </c>
      <c r="E20" s="296" t="s">
        <v>782</v>
      </c>
      <c r="F20" s="1001">
        <v>13</v>
      </c>
      <c r="G20" s="1001" t="s">
        <v>1169</v>
      </c>
      <c r="H20" s="1001" t="s">
        <v>1184</v>
      </c>
      <c r="I20" s="649"/>
      <c r="J20" s="649"/>
      <c r="K20" s="649"/>
      <c r="L20" s="649"/>
    </row>
    <row r="21" spans="2:12" x14ac:dyDescent="0.3">
      <c r="B21" s="1000"/>
      <c r="C21" s="704" t="s">
        <v>803</v>
      </c>
      <c r="D21" s="704" t="s">
        <v>829</v>
      </c>
      <c r="E21" s="296" t="s">
        <v>780</v>
      </c>
      <c r="F21" s="1001">
        <v>6</v>
      </c>
      <c r="G21" s="1001" t="s">
        <v>1170</v>
      </c>
      <c r="H21" s="1001" t="s">
        <v>1177</v>
      </c>
      <c r="I21" s="649"/>
      <c r="J21" s="649"/>
      <c r="K21" s="649"/>
      <c r="L21" s="649"/>
    </row>
    <row r="22" spans="2:12" x14ac:dyDescent="0.3">
      <c r="B22" s="1000"/>
      <c r="C22" s="704"/>
      <c r="D22" s="704" t="s">
        <v>908</v>
      </c>
      <c r="E22" s="296" t="s">
        <v>906</v>
      </c>
      <c r="F22" s="1001">
        <v>10</v>
      </c>
      <c r="G22" s="1001" t="s">
        <v>1171</v>
      </c>
      <c r="H22" s="1001" t="s">
        <v>1178</v>
      </c>
      <c r="I22" s="649"/>
      <c r="J22" s="649"/>
      <c r="K22" s="649"/>
      <c r="L22" s="649"/>
    </row>
    <row r="23" spans="2:12" x14ac:dyDescent="0.3">
      <c r="B23" s="1000"/>
      <c r="C23" s="704" t="s">
        <v>804</v>
      </c>
      <c r="D23" s="704" t="s">
        <v>830</v>
      </c>
      <c r="E23" s="296" t="s">
        <v>779</v>
      </c>
      <c r="F23" s="1001">
        <v>4</v>
      </c>
      <c r="G23" s="1001"/>
      <c r="H23" s="1001" t="s">
        <v>1180</v>
      </c>
      <c r="I23" s="1024" t="s">
        <v>948</v>
      </c>
      <c r="J23" s="649"/>
      <c r="K23" s="649"/>
      <c r="L23" s="649"/>
    </row>
    <row r="24" spans="2:12" x14ac:dyDescent="0.3">
      <c r="B24" s="1000"/>
      <c r="C24" s="704" t="s">
        <v>130</v>
      </c>
      <c r="D24" s="704" t="s">
        <v>852</v>
      </c>
      <c r="E24" s="296" t="s">
        <v>833</v>
      </c>
      <c r="F24" s="1001">
        <v>1</v>
      </c>
      <c r="G24" s="1001"/>
      <c r="H24" s="1001" t="s">
        <v>1186</v>
      </c>
      <c r="I24" s="649"/>
      <c r="J24" s="649"/>
      <c r="K24" s="649"/>
      <c r="L24" s="649"/>
    </row>
    <row r="25" spans="2:12" x14ac:dyDescent="0.3">
      <c r="B25" s="1000"/>
      <c r="C25" s="704"/>
      <c r="D25" s="704" t="s">
        <v>856</v>
      </c>
      <c r="E25" s="296" t="s">
        <v>831</v>
      </c>
      <c r="F25" s="1001">
        <v>1</v>
      </c>
      <c r="G25" s="1001"/>
      <c r="H25" s="1001" t="s">
        <v>1185</v>
      </c>
      <c r="I25" s="649"/>
      <c r="J25" s="649"/>
      <c r="K25" s="649"/>
      <c r="L25" s="649"/>
    </row>
    <row r="26" spans="2:12" x14ac:dyDescent="0.3">
      <c r="B26" s="1000"/>
      <c r="C26" s="704"/>
      <c r="D26" s="704" t="s">
        <v>854</v>
      </c>
      <c r="E26" s="296" t="s">
        <v>835</v>
      </c>
      <c r="F26" s="1001">
        <v>1</v>
      </c>
      <c r="G26" s="1001"/>
      <c r="H26" s="1001" t="s">
        <v>1185</v>
      </c>
      <c r="I26" s="649"/>
      <c r="J26" s="649"/>
      <c r="K26" s="649"/>
      <c r="L26" s="649"/>
    </row>
    <row r="27" spans="2:12" x14ac:dyDescent="0.3">
      <c r="B27" s="1000"/>
      <c r="C27" s="704"/>
      <c r="D27" s="704" t="s">
        <v>858</v>
      </c>
      <c r="E27" s="296" t="s">
        <v>832</v>
      </c>
      <c r="F27" s="1001">
        <v>1</v>
      </c>
      <c r="G27" s="1001"/>
      <c r="H27" s="1001" t="s">
        <v>1185</v>
      </c>
      <c r="I27" s="649"/>
      <c r="J27" s="649"/>
      <c r="K27" s="649"/>
      <c r="L27" s="649"/>
    </row>
    <row r="28" spans="2:12" x14ac:dyDescent="0.3">
      <c r="B28" s="1000"/>
      <c r="C28" s="704"/>
      <c r="D28" s="704" t="s">
        <v>860</v>
      </c>
      <c r="E28" s="296" t="s">
        <v>831</v>
      </c>
      <c r="F28" s="1001">
        <v>1</v>
      </c>
      <c r="G28" s="1001"/>
      <c r="H28" s="1001" t="s">
        <v>1185</v>
      </c>
      <c r="I28" s="649"/>
      <c r="J28" s="649"/>
      <c r="K28" s="649"/>
      <c r="L28" s="649"/>
    </row>
    <row r="29" spans="2:12" x14ac:dyDescent="0.3">
      <c r="B29" s="1000"/>
      <c r="C29" s="704"/>
      <c r="D29" s="704" t="s">
        <v>862</v>
      </c>
      <c r="E29" s="296" t="s">
        <v>834</v>
      </c>
      <c r="F29" s="1001">
        <v>1</v>
      </c>
      <c r="G29" s="1001"/>
      <c r="H29" s="1001" t="s">
        <v>1185</v>
      </c>
      <c r="I29" s="649"/>
      <c r="J29" s="649"/>
      <c r="K29" s="649"/>
      <c r="L29" s="649"/>
    </row>
    <row r="30" spans="2:12" x14ac:dyDescent="0.3">
      <c r="B30" s="1000"/>
      <c r="C30" s="704"/>
      <c r="D30" s="704" t="s">
        <v>864</v>
      </c>
      <c r="E30" s="296" t="s">
        <v>832</v>
      </c>
      <c r="F30" s="1001">
        <v>1</v>
      </c>
      <c r="G30" s="1001"/>
      <c r="H30" s="1001" t="s">
        <v>1185</v>
      </c>
      <c r="I30" s="649"/>
      <c r="J30" s="649"/>
      <c r="K30" s="649"/>
      <c r="L30" s="649"/>
    </row>
    <row r="31" spans="2:12" x14ac:dyDescent="0.3">
      <c r="B31" s="1000"/>
      <c r="C31" s="704"/>
      <c r="D31" s="704" t="s">
        <v>868</v>
      </c>
      <c r="E31" s="296" t="s">
        <v>831</v>
      </c>
      <c r="F31" s="1001">
        <v>1</v>
      </c>
      <c r="G31" s="1001"/>
      <c r="H31" s="1001" t="s">
        <v>1185</v>
      </c>
      <c r="I31" s="649"/>
      <c r="J31" s="649"/>
      <c r="K31" s="649"/>
      <c r="L31" s="649"/>
    </row>
    <row r="32" spans="2:12" x14ac:dyDescent="0.3">
      <c r="B32" s="1000"/>
      <c r="C32" s="704"/>
      <c r="D32" s="704" t="s">
        <v>866</v>
      </c>
      <c r="E32" s="296" t="s">
        <v>834</v>
      </c>
      <c r="F32" s="1001">
        <v>1</v>
      </c>
      <c r="G32" s="1001"/>
      <c r="H32" s="1001" t="s">
        <v>1185</v>
      </c>
      <c r="I32" s="649"/>
      <c r="J32" s="649"/>
      <c r="K32" s="649"/>
      <c r="L32" s="649"/>
    </row>
    <row r="33" spans="2:12" x14ac:dyDescent="0.3">
      <c r="B33" s="1000"/>
      <c r="C33" s="704"/>
      <c r="D33" s="704" t="s">
        <v>870</v>
      </c>
      <c r="E33" s="296" t="s">
        <v>832</v>
      </c>
      <c r="F33" s="1001">
        <v>1</v>
      </c>
      <c r="G33" s="1001"/>
      <c r="H33" s="1001" t="s">
        <v>1185</v>
      </c>
      <c r="I33" s="649"/>
      <c r="J33" s="649"/>
      <c r="K33" s="649"/>
      <c r="L33" s="649"/>
    </row>
    <row r="34" spans="2:12" x14ac:dyDescent="0.3">
      <c r="B34" s="1000"/>
      <c r="C34" s="704"/>
      <c r="D34" s="704" t="s">
        <v>872</v>
      </c>
      <c r="E34" s="296" t="s">
        <v>831</v>
      </c>
      <c r="F34" s="1001">
        <v>1</v>
      </c>
      <c r="G34" s="1001"/>
      <c r="H34" s="1001" t="s">
        <v>1185</v>
      </c>
      <c r="I34" s="649"/>
      <c r="J34" s="649"/>
      <c r="K34" s="649"/>
      <c r="L34" s="649"/>
    </row>
    <row r="35" spans="2:12" ht="17.25" thickBot="1" x14ac:dyDescent="0.35">
      <c r="B35" s="1002"/>
      <c r="C35" s="793"/>
      <c r="D35" s="793" t="s">
        <v>874</v>
      </c>
      <c r="E35" s="1003" t="s">
        <v>834</v>
      </c>
      <c r="F35" s="1004">
        <v>1</v>
      </c>
      <c r="G35" s="1004"/>
      <c r="H35" s="1004" t="s">
        <v>1185</v>
      </c>
      <c r="I35" s="649"/>
      <c r="J35" s="649"/>
      <c r="K35" s="649"/>
      <c r="L35" s="649"/>
    </row>
    <row r="36" spans="2:12" x14ac:dyDescent="0.3">
      <c r="B36" s="996" t="s">
        <v>91</v>
      </c>
      <c r="C36" s="997" t="s">
        <v>805</v>
      </c>
      <c r="D36" s="997" t="s">
        <v>836</v>
      </c>
      <c r="E36" s="998" t="s">
        <v>783</v>
      </c>
      <c r="F36" s="999">
        <v>3</v>
      </c>
      <c r="G36" s="999"/>
      <c r="H36" s="999" t="s">
        <v>1175</v>
      </c>
      <c r="I36" s="947" t="s">
        <v>64</v>
      </c>
      <c r="J36" s="947" t="s">
        <v>892</v>
      </c>
      <c r="K36" s="947" t="s">
        <v>895</v>
      </c>
      <c r="L36" s="649" t="s">
        <v>894</v>
      </c>
    </row>
    <row r="37" spans="2:12" x14ac:dyDescent="0.3">
      <c r="B37" s="1000"/>
      <c r="C37" s="704"/>
      <c r="D37" s="704" t="s">
        <v>837</v>
      </c>
      <c r="E37" s="296" t="s">
        <v>785</v>
      </c>
      <c r="F37" s="1001">
        <v>4</v>
      </c>
      <c r="G37" s="1001"/>
      <c r="H37" s="1001" t="s">
        <v>1210</v>
      </c>
      <c r="I37" s="649"/>
      <c r="J37" s="649"/>
      <c r="K37" s="649"/>
      <c r="L37" s="649"/>
    </row>
    <row r="38" spans="2:12" ht="17.25" thickBot="1" x14ac:dyDescent="0.35">
      <c r="B38" s="1002"/>
      <c r="C38" s="793"/>
      <c r="D38" s="793" t="s">
        <v>838</v>
      </c>
      <c r="E38" s="1003" t="s">
        <v>784</v>
      </c>
      <c r="F38" s="1004">
        <v>5</v>
      </c>
      <c r="G38" s="1004"/>
      <c r="H38" s="1004" t="s">
        <v>1211</v>
      </c>
      <c r="I38" s="649"/>
      <c r="J38" s="649"/>
      <c r="K38" s="649"/>
      <c r="L38" s="649"/>
    </row>
    <row r="39" spans="2:12" x14ac:dyDescent="0.3">
      <c r="B39" s="996" t="s">
        <v>430</v>
      </c>
      <c r="C39" s="997" t="s">
        <v>112</v>
      </c>
      <c r="D39" s="997" t="s">
        <v>540</v>
      </c>
      <c r="E39" s="998" t="s">
        <v>786</v>
      </c>
      <c r="F39" s="999">
        <v>4</v>
      </c>
      <c r="G39" s="999" t="s">
        <v>1168</v>
      </c>
      <c r="H39" s="999" t="s">
        <v>1183</v>
      </c>
      <c r="I39" s="947" t="s">
        <v>240</v>
      </c>
      <c r="J39" s="947" t="s">
        <v>876</v>
      </c>
      <c r="K39" s="649" t="s">
        <v>877</v>
      </c>
      <c r="L39" s="948" t="s">
        <v>881</v>
      </c>
    </row>
    <row r="40" spans="2:12" x14ac:dyDescent="0.3">
      <c r="B40" s="1000"/>
      <c r="C40" s="704"/>
      <c r="D40" s="704" t="s">
        <v>534</v>
      </c>
      <c r="E40" s="296" t="s">
        <v>554</v>
      </c>
      <c r="F40" s="1001">
        <v>4</v>
      </c>
      <c r="G40" s="1001" t="s">
        <v>1168</v>
      </c>
      <c r="H40" s="1001" t="s">
        <v>1183</v>
      </c>
      <c r="I40" s="649"/>
      <c r="J40" s="649"/>
      <c r="K40" s="649"/>
      <c r="L40" s="649"/>
    </row>
    <row r="41" spans="2:12" x14ac:dyDescent="0.3">
      <c r="B41" s="1000"/>
      <c r="C41" s="704"/>
      <c r="D41" s="704" t="s">
        <v>538</v>
      </c>
      <c r="E41" s="296" t="s">
        <v>787</v>
      </c>
      <c r="F41" s="1001">
        <v>5</v>
      </c>
      <c r="G41" s="1001" t="s">
        <v>1172</v>
      </c>
      <c r="H41" s="1001" t="s">
        <v>1187</v>
      </c>
      <c r="I41" s="649"/>
      <c r="J41" s="649"/>
      <c r="K41" s="649"/>
      <c r="L41" s="649"/>
    </row>
    <row r="42" spans="2:12" ht="17.25" thickBot="1" x14ac:dyDescent="0.35">
      <c r="B42" s="1002"/>
      <c r="C42" s="793"/>
      <c r="D42" s="793" t="s">
        <v>536</v>
      </c>
      <c r="E42" s="1003" t="s">
        <v>788</v>
      </c>
      <c r="F42" s="1004">
        <v>4</v>
      </c>
      <c r="G42" s="1004" t="s">
        <v>1168</v>
      </c>
      <c r="H42" s="1004" t="s">
        <v>1183</v>
      </c>
      <c r="I42" s="649"/>
      <c r="J42" s="649"/>
      <c r="K42" s="649"/>
      <c r="L42" s="649"/>
    </row>
    <row r="43" spans="2:12" ht="17.25" thickBot="1" x14ac:dyDescent="0.35">
      <c r="B43" s="1013" t="s">
        <v>771</v>
      </c>
      <c r="C43" s="1005" t="s">
        <v>806</v>
      </c>
      <c r="D43" s="1005" t="s">
        <v>839</v>
      </c>
      <c r="E43" s="1006" t="s">
        <v>789</v>
      </c>
      <c r="F43" s="1014">
        <v>3</v>
      </c>
      <c r="G43" s="1014" t="s">
        <v>1168</v>
      </c>
      <c r="H43" s="1014" t="s">
        <v>1176</v>
      </c>
      <c r="I43" s="947" t="s">
        <v>249</v>
      </c>
      <c r="J43" s="947" t="s">
        <v>878</v>
      </c>
      <c r="K43" s="947" t="s">
        <v>879</v>
      </c>
      <c r="L43" s="949" t="s">
        <v>880</v>
      </c>
    </row>
    <row r="44" spans="2:12" ht="17.25" thickBot="1" x14ac:dyDescent="0.35">
      <c r="B44" s="1007" t="s">
        <v>772</v>
      </c>
      <c r="C44" s="1008" t="s">
        <v>772</v>
      </c>
      <c r="D44" s="1008" t="s">
        <v>840</v>
      </c>
      <c r="E44" s="1009" t="s">
        <v>790</v>
      </c>
      <c r="F44" s="1010">
        <v>4</v>
      </c>
      <c r="G44" s="1010" t="s">
        <v>1173</v>
      </c>
      <c r="H44" s="1010" t="s">
        <v>1188</v>
      </c>
      <c r="I44" s="947" t="s">
        <v>884</v>
      </c>
      <c r="J44" s="649" t="s">
        <v>883</v>
      </c>
      <c r="K44" s="649" t="s">
        <v>885</v>
      </c>
      <c r="L44" s="649" t="s">
        <v>882</v>
      </c>
    </row>
    <row r="45" spans="2:12" ht="17.25" thickBot="1" x14ac:dyDescent="0.35">
      <c r="B45" s="1013" t="s">
        <v>773</v>
      </c>
      <c r="C45" s="1005" t="s">
        <v>807</v>
      </c>
      <c r="D45" s="1005" t="s">
        <v>841</v>
      </c>
      <c r="E45" s="1006" t="s">
        <v>754</v>
      </c>
      <c r="F45" s="1014">
        <v>4</v>
      </c>
      <c r="G45" s="1014" t="s">
        <v>1173</v>
      </c>
      <c r="H45" s="1014" t="s">
        <v>1188</v>
      </c>
      <c r="I45" s="947" t="s">
        <v>251</v>
      </c>
      <c r="J45" s="947" t="s">
        <v>889</v>
      </c>
      <c r="K45" s="947" t="s">
        <v>891</v>
      </c>
      <c r="L45" s="948" t="s">
        <v>890</v>
      </c>
    </row>
    <row r="46" spans="2:12" x14ac:dyDescent="0.3">
      <c r="B46" s="996" t="s">
        <v>774</v>
      </c>
      <c r="C46" s="997" t="s">
        <v>774</v>
      </c>
      <c r="D46" s="997" t="s">
        <v>842</v>
      </c>
      <c r="E46" s="998" t="s">
        <v>1070</v>
      </c>
      <c r="F46" s="999">
        <v>3</v>
      </c>
      <c r="G46" s="999"/>
      <c r="H46" s="999" t="s">
        <v>1181</v>
      </c>
      <c r="I46" s="947" t="s">
        <v>636</v>
      </c>
      <c r="J46" s="947" t="s">
        <v>886</v>
      </c>
      <c r="K46" s="947" t="s">
        <v>887</v>
      </c>
      <c r="L46" s="948" t="s">
        <v>888</v>
      </c>
    </row>
    <row r="47" spans="2:12" x14ac:dyDescent="0.3">
      <c r="B47" s="1000"/>
      <c r="C47" s="704"/>
      <c r="D47" s="704" t="s">
        <v>843</v>
      </c>
      <c r="E47" s="296" t="s">
        <v>1191</v>
      </c>
      <c r="F47" s="1001">
        <v>1</v>
      </c>
      <c r="G47" s="1001"/>
      <c r="H47" s="1001" t="s">
        <v>1181</v>
      </c>
      <c r="I47" s="649"/>
      <c r="J47" s="649"/>
      <c r="K47" s="649"/>
      <c r="L47" s="649"/>
    </row>
    <row r="48" spans="2:12" x14ac:dyDescent="0.3">
      <c r="B48" s="1000"/>
      <c r="C48" s="704"/>
      <c r="D48" s="704" t="s">
        <v>844</v>
      </c>
      <c r="E48" s="296" t="s">
        <v>1058</v>
      </c>
      <c r="F48" s="1001">
        <v>4</v>
      </c>
      <c r="G48" s="1001"/>
      <c r="H48" s="1001" t="s">
        <v>1181</v>
      </c>
      <c r="I48" s="649"/>
      <c r="J48" s="649"/>
      <c r="K48" s="649"/>
      <c r="L48" s="649"/>
    </row>
    <row r="49" spans="2:12" x14ac:dyDescent="0.3">
      <c r="B49" s="1000"/>
      <c r="C49" s="704"/>
      <c r="D49" s="704" t="s">
        <v>845</v>
      </c>
      <c r="E49" s="296" t="s">
        <v>1058</v>
      </c>
      <c r="F49" s="1001">
        <v>4</v>
      </c>
      <c r="G49" s="1001" t="s">
        <v>1172</v>
      </c>
      <c r="H49" s="1001" t="s">
        <v>1179</v>
      </c>
      <c r="I49" s="82"/>
      <c r="J49" s="82"/>
      <c r="K49" s="82"/>
      <c r="L49" s="82"/>
    </row>
    <row r="50" spans="2:12" x14ac:dyDescent="0.3">
      <c r="B50" s="1000"/>
      <c r="C50" s="704"/>
      <c r="D50" s="704" t="s">
        <v>846</v>
      </c>
      <c r="E50" s="296" t="s">
        <v>793</v>
      </c>
      <c r="F50" s="1001">
        <v>1</v>
      </c>
      <c r="G50" s="1001"/>
      <c r="H50" s="1001" t="s">
        <v>1182</v>
      </c>
      <c r="I50" s="82"/>
      <c r="J50" s="82"/>
      <c r="K50" s="82"/>
      <c r="L50" s="82"/>
    </row>
    <row r="51" spans="2:12" x14ac:dyDescent="0.3">
      <c r="B51" s="1000"/>
      <c r="C51" s="704"/>
      <c r="D51" s="704" t="s">
        <v>847</v>
      </c>
      <c r="E51" s="296" t="s">
        <v>793</v>
      </c>
      <c r="F51" s="1001">
        <v>1</v>
      </c>
      <c r="G51" s="1001"/>
      <c r="H51" s="1001" t="s">
        <v>1182</v>
      </c>
    </row>
    <row r="52" spans="2:12" x14ac:dyDescent="0.3">
      <c r="B52" s="1000"/>
      <c r="C52" s="704"/>
      <c r="D52" s="704" t="s">
        <v>848</v>
      </c>
      <c r="E52" s="296" t="s">
        <v>791</v>
      </c>
      <c r="F52" s="1001">
        <v>1</v>
      </c>
      <c r="G52" s="1001"/>
      <c r="H52" s="1001" t="s">
        <v>1182</v>
      </c>
    </row>
    <row r="53" spans="2:12" x14ac:dyDescent="0.3">
      <c r="B53" s="1000"/>
      <c r="C53" s="704"/>
      <c r="D53" s="704" t="s">
        <v>849</v>
      </c>
      <c r="E53" s="296" t="s">
        <v>791</v>
      </c>
      <c r="F53" s="1001">
        <v>1</v>
      </c>
      <c r="G53" s="1001"/>
      <c r="H53" s="1001" t="s">
        <v>1182</v>
      </c>
    </row>
    <row r="54" spans="2:12" x14ac:dyDescent="0.3">
      <c r="B54" s="1000"/>
      <c r="C54" s="704"/>
      <c r="D54" s="704" t="s">
        <v>850</v>
      </c>
      <c r="E54" s="296" t="s">
        <v>1192</v>
      </c>
      <c r="F54" s="1001">
        <v>1</v>
      </c>
      <c r="G54" s="1001"/>
      <c r="H54" s="1001" t="s">
        <v>1182</v>
      </c>
    </row>
    <row r="55" spans="2:12" ht="17.25" thickBot="1" x14ac:dyDescent="0.35">
      <c r="B55" s="1002"/>
      <c r="C55" s="793"/>
      <c r="D55" s="793" t="s">
        <v>851</v>
      </c>
      <c r="E55" s="1003" t="s">
        <v>792</v>
      </c>
      <c r="F55" s="1004">
        <v>4</v>
      </c>
      <c r="G55" s="1004" t="s">
        <v>1172</v>
      </c>
      <c r="H55" s="1004" t="s">
        <v>1179</v>
      </c>
    </row>
    <row r="56" spans="2:12" ht="17.25" thickBot="1" x14ac:dyDescent="0.35">
      <c r="B56" s="1013" t="s">
        <v>94</v>
      </c>
      <c r="C56" s="1005" t="s">
        <v>260</v>
      </c>
      <c r="D56" s="1005" t="s">
        <v>684</v>
      </c>
      <c r="E56" s="1006">
        <v>3153</v>
      </c>
      <c r="F56" s="1014">
        <v>1</v>
      </c>
      <c r="G56" s="1014"/>
      <c r="H56" s="1014" t="s">
        <v>1181</v>
      </c>
    </row>
    <row r="57" spans="2:12" x14ac:dyDescent="0.3">
      <c r="B57" s="996"/>
      <c r="C57" s="997" t="s">
        <v>258</v>
      </c>
      <c r="D57" s="997" t="s">
        <v>259</v>
      </c>
      <c r="E57" s="998" t="s">
        <v>658</v>
      </c>
      <c r="F57" s="999">
        <v>1</v>
      </c>
      <c r="G57" s="999"/>
      <c r="H57" s="999" t="s">
        <v>1181</v>
      </c>
    </row>
    <row r="58" spans="2:12" ht="17.25" thickBot="1" x14ac:dyDescent="0.35">
      <c r="B58" s="1002"/>
      <c r="C58" s="793"/>
      <c r="D58" s="793" t="s">
        <v>683</v>
      </c>
      <c r="E58" s="1003">
        <v>2470</v>
      </c>
      <c r="F58" s="1004">
        <v>1</v>
      </c>
      <c r="G58" s="1004"/>
      <c r="H58" s="1004" t="s">
        <v>1181</v>
      </c>
    </row>
    <row r="59" spans="2:12" ht="17.25" thickBot="1" x14ac:dyDescent="0.35">
      <c r="B59" s="1007" t="s">
        <v>899</v>
      </c>
      <c r="C59" s="1008" t="s">
        <v>130</v>
      </c>
      <c r="D59" s="1008" t="s">
        <v>901</v>
      </c>
      <c r="E59" s="1009" t="s">
        <v>901</v>
      </c>
      <c r="F59" s="1010">
        <v>1</v>
      </c>
      <c r="G59" s="1010"/>
      <c r="H59" s="1010"/>
      <c r="I59" s="947" t="s">
        <v>900</v>
      </c>
      <c r="J59" s="947" t="s">
        <v>903</v>
      </c>
      <c r="K59" s="947" t="s">
        <v>904</v>
      </c>
      <c r="L59" s="948" t="s">
        <v>905</v>
      </c>
    </row>
    <row r="60" spans="2:12" ht="17.25" thickBot="1" x14ac:dyDescent="0.35">
      <c r="B60" s="1019" t="s">
        <v>775</v>
      </c>
      <c r="C60" s="1020"/>
      <c r="D60" s="1020"/>
      <c r="E60" s="1021"/>
      <c r="F60" s="1022">
        <v>177</v>
      </c>
      <c r="G60" s="1022"/>
      <c r="H60" s="1022"/>
    </row>
  </sheetData>
  <mergeCells count="2">
    <mergeCell ref="G2:G3"/>
    <mergeCell ref="H2:H3"/>
  </mergeCells>
  <phoneticPr fontId="2" type="noConversion"/>
  <hyperlinks>
    <hyperlink ref="L43" r:id="rId2" xr:uid="{25D41543-AE4A-4A89-979D-E39578EFABA7}"/>
    <hyperlink ref="L39" r:id="rId3" xr:uid="{25A6573A-8983-4180-9A51-0218C7A5D942}"/>
    <hyperlink ref="L46" r:id="rId4" xr:uid="{D0899169-BE9C-49BC-81F5-4ED199CFC61C}"/>
    <hyperlink ref="L45" r:id="rId5" xr:uid="{9508FC99-A666-43D4-8E95-614A4689BB36}"/>
    <hyperlink ref="L16" r:id="rId6" xr:uid="{A9FA6278-497B-40A2-B4FD-35DE195FA6A4}"/>
    <hyperlink ref="L59" r:id="rId7" display="mailto:ybbaek@wego-robotics.com" xr:uid="{5A113F9B-40F5-46F5-8A89-3D338E2C4298}"/>
  </hyperlinks>
  <pageMargins left="0.23622047244094491" right="0.23622047244094491" top="0" bottom="0" header="0.31496062992125984" footer="0.31496062992125984"/>
  <pageSetup paperSize="9" scale="60" orientation="landscape" horizontalDpi="1200" verticalDpi="12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1D3B-75B2-48B4-894F-B69062CA0B8B}">
  <dimension ref="B2:AC30"/>
  <sheetViews>
    <sheetView workbookViewId="0">
      <selection activeCell="L17" sqref="L17"/>
    </sheetView>
  </sheetViews>
  <sheetFormatPr defaultRowHeight="16.5" x14ac:dyDescent="0.3"/>
  <cols>
    <col min="3" max="3" width="18.375" bestFit="1" customWidth="1"/>
    <col min="4" max="27" width="5.875" customWidth="1"/>
    <col min="28" max="28" width="3" customWidth="1"/>
    <col min="29" max="29" width="5.875" customWidth="1"/>
  </cols>
  <sheetData>
    <row r="2" spans="2:29" x14ac:dyDescent="0.3">
      <c r="C2" s="4" t="s">
        <v>685</v>
      </c>
    </row>
    <row r="4" spans="2:29" x14ac:dyDescent="0.3">
      <c r="C4" s="784"/>
      <c r="D4" s="1461" t="s">
        <v>657</v>
      </c>
      <c r="E4" s="1462"/>
      <c r="F4" s="1462"/>
      <c r="G4" s="1462"/>
      <c r="H4" s="1462"/>
      <c r="I4" s="1462"/>
      <c r="J4" s="1462"/>
      <c r="K4" s="1462"/>
      <c r="L4" s="1462"/>
      <c r="M4" s="1462"/>
      <c r="N4" s="1462"/>
      <c r="O4" s="1462"/>
      <c r="P4" s="1462"/>
      <c r="Q4" s="1462"/>
      <c r="R4" s="1462"/>
      <c r="S4" s="1463"/>
      <c r="T4" s="1461"/>
      <c r="U4" s="1462"/>
      <c r="V4" s="1462"/>
      <c r="W4" s="1462"/>
      <c r="X4" s="1462"/>
      <c r="Y4" s="1462"/>
      <c r="Z4" s="1462"/>
      <c r="AA4" s="1463"/>
      <c r="AB4" s="103"/>
      <c r="AC4" s="759"/>
    </row>
    <row r="5" spans="2:29" x14ac:dyDescent="0.3">
      <c r="C5" s="759" t="s">
        <v>654</v>
      </c>
      <c r="D5" s="759">
        <v>1</v>
      </c>
      <c r="E5" s="759">
        <v>2</v>
      </c>
      <c r="F5" s="759">
        <v>3</v>
      </c>
      <c r="G5" s="759">
        <v>4</v>
      </c>
      <c r="H5" s="759">
        <v>5</v>
      </c>
      <c r="I5" s="759">
        <v>6</v>
      </c>
      <c r="J5" s="759">
        <v>7</v>
      </c>
      <c r="K5" s="759">
        <v>8</v>
      </c>
      <c r="L5" s="759">
        <v>9</v>
      </c>
      <c r="M5" s="759">
        <v>10</v>
      </c>
      <c r="N5" s="759">
        <v>11</v>
      </c>
      <c r="O5" s="759">
        <v>12</v>
      </c>
      <c r="P5" s="759">
        <v>13</v>
      </c>
      <c r="Q5" s="759">
        <v>14</v>
      </c>
      <c r="R5" s="759">
        <v>15</v>
      </c>
      <c r="S5" s="759">
        <v>16</v>
      </c>
      <c r="T5" s="759">
        <v>17</v>
      </c>
      <c r="U5" s="759">
        <v>18</v>
      </c>
      <c r="V5" s="759">
        <v>19</v>
      </c>
      <c r="W5" s="759">
        <v>20</v>
      </c>
      <c r="X5" s="759">
        <v>21</v>
      </c>
      <c r="Y5" s="759">
        <v>22</v>
      </c>
      <c r="Z5" s="759">
        <v>23</v>
      </c>
      <c r="AA5" s="759">
        <v>24</v>
      </c>
      <c r="AB5" s="103"/>
      <c r="AC5" s="759"/>
    </row>
    <row r="6" spans="2:29" x14ac:dyDescent="0.3">
      <c r="C6" s="704" t="s">
        <v>80</v>
      </c>
      <c r="D6" s="782"/>
      <c r="E6" s="782"/>
      <c r="F6" s="782"/>
      <c r="G6" s="782"/>
      <c r="H6" s="704"/>
      <c r="I6" s="704"/>
      <c r="J6" s="704"/>
      <c r="K6" s="704"/>
      <c r="L6" s="704"/>
      <c r="M6" s="704"/>
      <c r="N6" s="704"/>
      <c r="O6" s="704"/>
      <c r="P6" s="704"/>
      <c r="Q6" s="704"/>
      <c r="R6" s="704"/>
      <c r="S6" s="704"/>
      <c r="T6" s="704"/>
      <c r="U6" s="704"/>
      <c r="V6" s="704"/>
      <c r="W6" s="704"/>
      <c r="X6" s="704"/>
      <c r="Y6" s="704"/>
      <c r="Z6" s="704"/>
      <c r="AA6" s="704"/>
      <c r="AB6" s="103"/>
      <c r="AC6" s="704"/>
    </row>
    <row r="7" spans="2:29" x14ac:dyDescent="0.3">
      <c r="C7" s="704" t="s">
        <v>656</v>
      </c>
      <c r="D7" s="782"/>
      <c r="E7" s="782"/>
      <c r="F7" s="782"/>
      <c r="G7" s="782"/>
      <c r="H7" s="704"/>
      <c r="I7" s="704"/>
      <c r="J7" s="704"/>
      <c r="K7" s="704"/>
      <c r="L7" s="704"/>
      <c r="M7" s="704"/>
      <c r="N7" s="704"/>
      <c r="O7" s="704"/>
      <c r="P7" s="704"/>
      <c r="Q7" s="704"/>
      <c r="R7" s="704"/>
      <c r="S7" s="704"/>
      <c r="T7" s="704"/>
      <c r="U7" s="704"/>
      <c r="V7" s="704"/>
      <c r="W7" s="704"/>
      <c r="X7" s="704"/>
      <c r="Y7" s="704"/>
      <c r="Z7" s="704"/>
      <c r="AA7" s="704"/>
      <c r="AB7" s="103"/>
      <c r="AC7" s="704"/>
    </row>
    <row r="8" spans="2:29" x14ac:dyDescent="0.3">
      <c r="C8" s="704" t="s">
        <v>649</v>
      </c>
      <c r="D8" s="782"/>
      <c r="E8" s="782"/>
      <c r="F8" s="782"/>
      <c r="G8" s="782"/>
      <c r="H8" s="782"/>
      <c r="I8" s="704"/>
      <c r="J8" s="704"/>
      <c r="K8" s="704"/>
      <c r="L8" s="704"/>
      <c r="M8" s="704"/>
      <c r="N8" s="704"/>
      <c r="O8" s="704"/>
      <c r="P8" s="704"/>
      <c r="Q8" s="704"/>
      <c r="R8" s="704"/>
      <c r="S8" s="704"/>
      <c r="T8" s="704"/>
      <c r="U8" s="704"/>
      <c r="V8" s="704"/>
      <c r="W8" s="704"/>
      <c r="X8" s="704"/>
      <c r="Y8" s="704"/>
      <c r="Z8" s="704"/>
      <c r="AA8" s="704"/>
      <c r="AB8" s="103"/>
      <c r="AC8" s="704"/>
    </row>
    <row r="9" spans="2:29" x14ac:dyDescent="0.3">
      <c r="C9" s="704" t="s">
        <v>671</v>
      </c>
      <c r="D9" s="782"/>
      <c r="E9" s="704"/>
      <c r="F9" s="704"/>
      <c r="G9" s="704"/>
      <c r="H9" s="782"/>
      <c r="I9" s="782"/>
      <c r="J9" s="782"/>
      <c r="K9" s="704"/>
      <c r="L9" s="704"/>
      <c r="M9" s="704"/>
      <c r="N9" s="704"/>
      <c r="O9" s="704"/>
      <c r="P9" s="704"/>
      <c r="Q9" s="704"/>
      <c r="R9" s="704"/>
      <c r="S9" s="704"/>
      <c r="T9" s="704"/>
      <c r="U9" s="704"/>
      <c r="V9" s="704"/>
      <c r="W9" s="704"/>
      <c r="X9" s="704"/>
      <c r="Y9" s="704"/>
      <c r="Z9" s="704"/>
      <c r="AA9" s="704"/>
      <c r="AB9" s="103"/>
      <c r="AC9" s="704"/>
    </row>
    <row r="10" spans="2:29" x14ac:dyDescent="0.3">
      <c r="C10" s="704" t="s">
        <v>670</v>
      </c>
      <c r="D10" s="782"/>
      <c r="E10" s="704"/>
      <c r="F10" s="704"/>
      <c r="G10" s="704"/>
      <c r="H10" s="782"/>
      <c r="I10" s="782"/>
      <c r="J10" s="782"/>
      <c r="K10" s="704"/>
      <c r="L10" s="704"/>
      <c r="M10" s="704"/>
      <c r="N10" s="704"/>
      <c r="O10" s="704"/>
      <c r="P10" s="704"/>
      <c r="Q10" s="704"/>
      <c r="R10" s="704"/>
      <c r="S10" s="704"/>
      <c r="T10" s="704"/>
      <c r="U10" s="704"/>
      <c r="V10" s="704"/>
      <c r="W10" s="704"/>
      <c r="X10" s="704"/>
      <c r="Y10" s="704"/>
      <c r="Z10" s="704"/>
      <c r="AA10" s="704"/>
      <c r="AB10" s="103"/>
      <c r="AC10" s="704"/>
    </row>
    <row r="11" spans="2:29" x14ac:dyDescent="0.3">
      <c r="C11" s="704" t="s">
        <v>669</v>
      </c>
      <c r="D11" s="782"/>
      <c r="E11" s="704"/>
      <c r="F11" s="704"/>
      <c r="G11" s="704"/>
      <c r="H11" s="704"/>
      <c r="I11" s="704"/>
      <c r="J11" s="704"/>
      <c r="K11" s="782"/>
      <c r="L11" s="782"/>
      <c r="M11" s="782"/>
      <c r="N11" s="704"/>
      <c r="O11" s="704"/>
      <c r="P11" s="704"/>
      <c r="Q11" s="704"/>
      <c r="R11" s="704"/>
      <c r="S11" s="704"/>
      <c r="T11" s="704"/>
      <c r="U11" s="704"/>
      <c r="V11" s="704"/>
      <c r="W11" s="704"/>
      <c r="X11" s="704"/>
      <c r="Y11" s="704"/>
      <c r="Z11" s="704"/>
      <c r="AA11" s="704"/>
      <c r="AB11" s="103"/>
      <c r="AC11" s="704"/>
    </row>
    <row r="12" spans="2:29" x14ac:dyDescent="0.3">
      <c r="C12" s="704" t="s">
        <v>652</v>
      </c>
      <c r="D12" s="782" t="s">
        <v>664</v>
      </c>
      <c r="E12" s="782"/>
      <c r="F12" s="782"/>
      <c r="G12" s="782"/>
      <c r="H12" s="782"/>
      <c r="I12" s="782"/>
      <c r="J12" s="782"/>
      <c r="K12" s="782"/>
      <c r="L12" s="782"/>
      <c r="M12" s="782"/>
      <c r="N12" s="782"/>
      <c r="O12" s="785" t="s">
        <v>660</v>
      </c>
      <c r="P12" s="704"/>
      <c r="Q12" s="704"/>
      <c r="R12" s="704"/>
      <c r="S12" s="704"/>
      <c r="T12" s="704"/>
      <c r="U12" s="704"/>
      <c r="V12" s="704"/>
      <c r="W12" s="704"/>
      <c r="X12" s="704"/>
      <c r="Y12" s="704"/>
      <c r="Z12" s="704"/>
      <c r="AA12" s="704"/>
      <c r="AB12" s="103"/>
      <c r="AC12" s="704"/>
    </row>
    <row r="13" spans="2:29" x14ac:dyDescent="0.3">
      <c r="C13" s="704" t="s">
        <v>336</v>
      </c>
      <c r="D13" s="704" t="s">
        <v>663</v>
      </c>
      <c r="E13" s="704"/>
      <c r="F13" s="704"/>
      <c r="G13" s="704"/>
      <c r="H13" s="704"/>
      <c r="I13" s="704"/>
      <c r="J13" s="704"/>
      <c r="K13" s="704"/>
      <c r="L13" s="704"/>
      <c r="M13" s="704"/>
      <c r="N13" s="704"/>
      <c r="O13" s="704"/>
      <c r="P13" s="704"/>
      <c r="Q13" s="704"/>
      <c r="R13" s="704"/>
      <c r="S13" s="704"/>
      <c r="T13" s="704"/>
      <c r="U13" s="704"/>
      <c r="V13" s="704"/>
      <c r="W13" s="704"/>
      <c r="X13" s="704"/>
      <c r="Y13" s="704"/>
      <c r="Z13" s="704"/>
      <c r="AA13" s="704"/>
      <c r="AB13" s="103"/>
      <c r="AC13" s="704"/>
    </row>
    <row r="14" spans="2:29" x14ac:dyDescent="0.3">
      <c r="C14" s="704" t="s">
        <v>650</v>
      </c>
      <c r="D14" s="704" t="s">
        <v>655</v>
      </c>
      <c r="E14" s="704"/>
      <c r="F14" s="704"/>
      <c r="G14" s="704"/>
      <c r="H14" s="704"/>
      <c r="I14" s="704"/>
      <c r="J14" s="704"/>
      <c r="K14" s="704"/>
      <c r="L14" s="704"/>
      <c r="M14" s="704"/>
      <c r="N14" s="704"/>
      <c r="O14" s="704"/>
      <c r="P14" s="704"/>
      <c r="Q14" s="704"/>
      <c r="R14" s="704"/>
      <c r="S14" s="704"/>
      <c r="T14" s="704"/>
      <c r="U14" s="704"/>
      <c r="V14" s="704"/>
      <c r="W14" s="704"/>
      <c r="X14" s="704"/>
      <c r="Y14" s="704"/>
      <c r="Z14" s="704"/>
      <c r="AA14" s="704"/>
      <c r="AB14" s="103"/>
      <c r="AC14" s="704"/>
    </row>
    <row r="15" spans="2:29" x14ac:dyDescent="0.3">
      <c r="C15" s="704" t="s">
        <v>651</v>
      </c>
      <c r="D15" s="704" t="s">
        <v>655</v>
      </c>
      <c r="E15" s="704"/>
      <c r="F15" s="704"/>
      <c r="G15" s="704"/>
      <c r="H15" s="704"/>
      <c r="I15" s="704"/>
      <c r="J15" s="704"/>
      <c r="K15" s="704"/>
      <c r="L15" s="704"/>
      <c r="M15" s="704"/>
      <c r="N15" s="704"/>
      <c r="O15" s="704"/>
      <c r="P15" s="704"/>
      <c r="Q15" s="704"/>
      <c r="R15" s="704"/>
      <c r="S15" s="704"/>
      <c r="T15" s="704"/>
      <c r="U15" s="704"/>
      <c r="V15" s="704"/>
      <c r="W15" s="704"/>
      <c r="X15" s="704"/>
      <c r="Y15" s="704"/>
      <c r="Z15" s="704"/>
      <c r="AA15" s="704"/>
      <c r="AB15" s="103"/>
      <c r="AC15" s="704"/>
    </row>
    <row r="16" spans="2:29" x14ac:dyDescent="0.3">
      <c r="B16" t="s">
        <v>681</v>
      </c>
      <c r="C16" s="786">
        <v>2470</v>
      </c>
      <c r="D16" s="787" t="s">
        <v>659</v>
      </c>
      <c r="E16" s="787"/>
      <c r="F16" s="787"/>
      <c r="G16" s="787"/>
      <c r="H16" s="787"/>
      <c r="I16" s="787"/>
      <c r="J16" s="787"/>
      <c r="K16" s="787"/>
      <c r="L16" s="787"/>
      <c r="M16" s="787"/>
      <c r="N16" s="787"/>
      <c r="O16" s="787"/>
      <c r="P16" s="787"/>
      <c r="Q16" s="787"/>
      <c r="R16" s="787"/>
      <c r="S16" s="787"/>
      <c r="T16" s="787"/>
      <c r="U16" s="787"/>
      <c r="V16" s="787"/>
      <c r="W16" s="787"/>
      <c r="X16" s="787"/>
      <c r="Y16" s="787"/>
      <c r="Z16" s="787"/>
      <c r="AA16" s="787"/>
      <c r="AB16" s="103"/>
      <c r="AC16" s="787"/>
    </row>
    <row r="17" spans="2:29" x14ac:dyDescent="0.3">
      <c r="B17" t="s">
        <v>681</v>
      </c>
      <c r="C17" s="786" t="s">
        <v>658</v>
      </c>
      <c r="D17" s="787" t="s">
        <v>659</v>
      </c>
      <c r="E17" s="787"/>
      <c r="F17" s="787"/>
      <c r="G17" s="787"/>
      <c r="H17" s="787"/>
      <c r="I17" s="787"/>
      <c r="J17" s="787"/>
      <c r="K17" s="787"/>
      <c r="L17" s="787"/>
      <c r="M17" s="787"/>
      <c r="N17" s="787"/>
      <c r="O17" s="787"/>
      <c r="P17" s="787"/>
      <c r="Q17" s="787"/>
      <c r="R17" s="787"/>
      <c r="S17" s="787"/>
      <c r="T17" s="787"/>
      <c r="U17" s="787"/>
      <c r="V17" s="787"/>
      <c r="W17" s="787"/>
      <c r="X17" s="787"/>
      <c r="Y17" s="787"/>
      <c r="Z17" s="787"/>
      <c r="AA17" s="787"/>
      <c r="AB17" s="103"/>
      <c r="AC17" s="787"/>
    </row>
    <row r="18" spans="2:29" x14ac:dyDescent="0.3">
      <c r="B18" t="s">
        <v>682</v>
      </c>
      <c r="C18" s="786">
        <v>3153</v>
      </c>
      <c r="D18" s="787" t="s">
        <v>659</v>
      </c>
      <c r="E18" s="787"/>
      <c r="F18" s="787"/>
      <c r="G18" s="787"/>
      <c r="H18" s="787"/>
      <c r="I18" s="787"/>
      <c r="J18" s="787"/>
      <c r="K18" s="787"/>
      <c r="L18" s="787"/>
      <c r="M18" s="787"/>
      <c r="N18" s="787"/>
      <c r="O18" s="787"/>
      <c r="P18" s="787"/>
      <c r="Q18" s="787"/>
      <c r="R18" s="787"/>
      <c r="S18" s="787"/>
      <c r="T18" s="787"/>
      <c r="U18" s="787"/>
      <c r="V18" s="787"/>
      <c r="W18" s="787"/>
      <c r="X18" s="787"/>
      <c r="Y18" s="787"/>
      <c r="Z18" s="787"/>
      <c r="AA18" s="787"/>
      <c r="AB18" s="103"/>
      <c r="AC18" s="787"/>
    </row>
    <row r="19" spans="2:29" x14ac:dyDescent="0.3">
      <c r="C19" s="704" t="s">
        <v>666</v>
      </c>
      <c r="D19" s="704"/>
      <c r="E19" s="704"/>
      <c r="F19" s="704"/>
      <c r="G19" s="704"/>
      <c r="H19" s="704"/>
      <c r="I19" s="704"/>
      <c r="J19" s="704"/>
      <c r="K19" s="782"/>
      <c r="L19" s="782"/>
      <c r="M19" s="782"/>
      <c r="N19" s="782"/>
      <c r="O19" s="782"/>
      <c r="P19" s="782"/>
      <c r="Q19" s="782"/>
      <c r="R19" s="785" t="s">
        <v>661</v>
      </c>
      <c r="S19" s="704"/>
      <c r="T19" s="704"/>
      <c r="U19" s="704"/>
      <c r="V19" s="704"/>
      <c r="W19" s="704"/>
      <c r="X19" s="704"/>
      <c r="Y19" s="704"/>
      <c r="Z19" s="704"/>
      <c r="AA19" s="704"/>
      <c r="AB19" s="103"/>
      <c r="AC19" s="704"/>
    </row>
    <row r="20" spans="2:29" x14ac:dyDescent="0.3">
      <c r="C20" s="704" t="s">
        <v>667</v>
      </c>
      <c r="D20" s="704"/>
      <c r="E20" s="704"/>
      <c r="F20" s="704"/>
      <c r="G20" s="704"/>
      <c r="H20" s="704"/>
      <c r="I20" s="704"/>
      <c r="J20" s="704"/>
      <c r="K20" s="704"/>
      <c r="L20" s="704"/>
      <c r="M20" s="704"/>
      <c r="N20" s="704"/>
      <c r="O20" s="704"/>
      <c r="P20" s="704"/>
      <c r="Q20" s="704"/>
      <c r="R20" s="704"/>
      <c r="S20" s="704"/>
      <c r="T20" s="782"/>
      <c r="U20" s="782"/>
      <c r="V20" s="782"/>
      <c r="W20" s="782"/>
      <c r="X20" s="782"/>
      <c r="Y20" s="782"/>
      <c r="Z20" s="782"/>
      <c r="AA20" s="785" t="s">
        <v>662</v>
      </c>
      <c r="AB20" s="103"/>
      <c r="AC20" s="704"/>
    </row>
    <row r="21" spans="2:29" x14ac:dyDescent="0.3">
      <c r="C21" s="704" t="s">
        <v>668</v>
      </c>
      <c r="D21" s="704"/>
      <c r="E21" s="704"/>
      <c r="F21" s="704"/>
      <c r="G21" s="704"/>
      <c r="H21" s="704"/>
      <c r="I21" s="704"/>
      <c r="J21" s="704"/>
      <c r="K21" s="704"/>
      <c r="L21" s="704"/>
      <c r="M21" s="704"/>
      <c r="N21" s="704"/>
      <c r="O21" s="704"/>
      <c r="P21" s="704"/>
      <c r="Q21" s="704"/>
      <c r="R21" s="704"/>
      <c r="S21" s="704"/>
      <c r="T21" s="704"/>
      <c r="U21" s="704"/>
      <c r="V21" s="704"/>
      <c r="W21" s="704"/>
      <c r="X21" s="704"/>
      <c r="Y21" s="704"/>
      <c r="Z21" s="704"/>
      <c r="AA21" s="704"/>
      <c r="AB21" s="103"/>
      <c r="AC21" s="785" t="s">
        <v>674</v>
      </c>
    </row>
    <row r="22" spans="2:29" x14ac:dyDescent="0.3">
      <c r="C22" s="704" t="s">
        <v>665</v>
      </c>
      <c r="D22" s="704"/>
      <c r="E22" s="704"/>
      <c r="F22" s="704"/>
      <c r="G22" s="704"/>
      <c r="H22" s="704"/>
      <c r="I22" s="704"/>
      <c r="J22" s="704"/>
      <c r="K22" s="704"/>
      <c r="L22" s="704"/>
      <c r="M22" s="704"/>
      <c r="N22" s="704"/>
      <c r="O22" s="704"/>
      <c r="P22" s="704"/>
      <c r="Q22" s="704"/>
      <c r="R22" s="782"/>
      <c r="S22" s="782"/>
      <c r="T22" s="704"/>
      <c r="U22" s="704"/>
      <c r="V22" s="704"/>
      <c r="W22" s="704"/>
      <c r="X22" s="704"/>
      <c r="Y22" s="704"/>
      <c r="Z22" s="704"/>
      <c r="AA22" s="704"/>
      <c r="AB22" s="103"/>
      <c r="AC22" s="704"/>
    </row>
    <row r="23" spans="2:29" x14ac:dyDescent="0.3">
      <c r="C23" s="704" t="s">
        <v>672</v>
      </c>
      <c r="D23" s="704"/>
      <c r="E23" s="704"/>
      <c r="F23" s="704"/>
      <c r="G23" s="704"/>
      <c r="H23" s="704"/>
      <c r="I23" s="704"/>
      <c r="J23" s="704"/>
      <c r="K23" s="704"/>
      <c r="L23" s="704"/>
      <c r="M23" s="704"/>
      <c r="N23" s="704"/>
      <c r="O23" s="704"/>
      <c r="P23" s="704"/>
      <c r="Q23" s="704"/>
      <c r="R23" s="704"/>
      <c r="S23" s="704"/>
      <c r="T23" s="704"/>
      <c r="U23" s="704"/>
      <c r="V23" s="704"/>
      <c r="W23" s="704"/>
      <c r="X23" s="704"/>
      <c r="Y23" s="704"/>
      <c r="Z23" s="782"/>
      <c r="AA23" s="782"/>
      <c r="AB23" s="103"/>
      <c r="AC23" s="704"/>
    </row>
    <row r="24" spans="2:29" x14ac:dyDescent="0.3">
      <c r="C24" s="704" t="s">
        <v>673</v>
      </c>
      <c r="D24" s="704"/>
      <c r="E24" s="704"/>
      <c r="F24" s="704"/>
      <c r="G24" s="704"/>
      <c r="H24" s="704"/>
      <c r="I24" s="704"/>
      <c r="J24" s="704"/>
      <c r="K24" s="704"/>
      <c r="L24" s="704"/>
      <c r="M24" s="704"/>
      <c r="N24" s="704"/>
      <c r="O24" s="704"/>
      <c r="P24" s="704"/>
      <c r="Q24" s="704"/>
      <c r="R24" s="704"/>
      <c r="S24" s="704"/>
      <c r="T24" s="704"/>
      <c r="U24" s="704"/>
      <c r="V24" s="704"/>
      <c r="W24" s="704"/>
      <c r="X24" s="704"/>
      <c r="Y24" s="704"/>
      <c r="Z24" s="704"/>
      <c r="AA24" s="704"/>
      <c r="AB24" s="103"/>
      <c r="AC24" s="782"/>
    </row>
    <row r="28" spans="2:29" x14ac:dyDescent="0.3">
      <c r="C28" s="704" t="s">
        <v>683</v>
      </c>
      <c r="D28" s="704">
        <v>2470</v>
      </c>
      <c r="E28" s="704" t="s">
        <v>258</v>
      </c>
      <c r="F28" s="704">
        <v>1</v>
      </c>
    </row>
    <row r="29" spans="2:29" x14ac:dyDescent="0.3">
      <c r="C29" s="704" t="s">
        <v>259</v>
      </c>
      <c r="D29" s="704" t="s">
        <v>658</v>
      </c>
      <c r="E29" s="704" t="s">
        <v>258</v>
      </c>
      <c r="F29" s="704">
        <v>1</v>
      </c>
    </row>
    <row r="30" spans="2:29" x14ac:dyDescent="0.3">
      <c r="C30" s="704" t="s">
        <v>684</v>
      </c>
      <c r="D30" s="704">
        <v>3153</v>
      </c>
      <c r="E30" s="704" t="s">
        <v>260</v>
      </c>
      <c r="F30" s="704">
        <v>1</v>
      </c>
    </row>
  </sheetData>
  <mergeCells count="2">
    <mergeCell ref="D4:S4"/>
    <mergeCell ref="T4:AA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D4F5-80DF-4842-81E4-663D49C9B1A3}">
  <dimension ref="C2:Z30"/>
  <sheetViews>
    <sheetView workbookViewId="0">
      <selection activeCell="L17" sqref="L17"/>
    </sheetView>
  </sheetViews>
  <sheetFormatPr defaultRowHeight="16.5" x14ac:dyDescent="0.3"/>
  <cols>
    <col min="3" max="3" width="26.125" customWidth="1"/>
    <col min="4" max="26" width="6.375" customWidth="1"/>
  </cols>
  <sheetData>
    <row r="2" spans="3:26" ht="17.25" thickBot="1" x14ac:dyDescent="0.35">
      <c r="C2" s="4" t="s">
        <v>685</v>
      </c>
      <c r="D2">
        <v>26</v>
      </c>
      <c r="E2">
        <v>27</v>
      </c>
      <c r="F2">
        <v>28</v>
      </c>
      <c r="G2">
        <v>29</v>
      </c>
      <c r="H2">
        <v>30</v>
      </c>
      <c r="I2">
        <v>31</v>
      </c>
      <c r="J2">
        <v>32</v>
      </c>
      <c r="K2">
        <v>33</v>
      </c>
      <c r="L2">
        <v>34</v>
      </c>
      <c r="M2">
        <v>35</v>
      </c>
      <c r="N2">
        <v>36</v>
      </c>
      <c r="O2">
        <v>37</v>
      </c>
      <c r="P2">
        <v>38</v>
      </c>
      <c r="Q2">
        <v>39</v>
      </c>
      <c r="R2">
        <v>40</v>
      </c>
      <c r="S2">
        <v>41</v>
      </c>
      <c r="T2">
        <v>42</v>
      </c>
      <c r="U2">
        <v>43</v>
      </c>
      <c r="V2">
        <v>44</v>
      </c>
      <c r="W2">
        <v>45</v>
      </c>
      <c r="X2">
        <v>46</v>
      </c>
      <c r="Y2">
        <v>47</v>
      </c>
      <c r="Z2">
        <v>48</v>
      </c>
    </row>
    <row r="3" spans="3:26" x14ac:dyDescent="0.3">
      <c r="C3" s="798"/>
      <c r="D3" s="803" t="s">
        <v>687</v>
      </c>
      <c r="E3" s="799" t="s">
        <v>688</v>
      </c>
      <c r="F3" s="799" t="s">
        <v>689</v>
      </c>
      <c r="G3" s="799" t="s">
        <v>690</v>
      </c>
      <c r="H3" s="799" t="s">
        <v>691</v>
      </c>
      <c r="I3" s="799" t="s">
        <v>718</v>
      </c>
      <c r="J3" s="799" t="s">
        <v>692</v>
      </c>
      <c r="K3" s="799" t="s">
        <v>693</v>
      </c>
      <c r="L3" s="799" t="s">
        <v>694</v>
      </c>
      <c r="M3" s="799" t="s">
        <v>695</v>
      </c>
      <c r="N3" s="799" t="s">
        <v>696</v>
      </c>
      <c r="O3" s="799" t="s">
        <v>697</v>
      </c>
      <c r="P3" s="799" t="s">
        <v>698</v>
      </c>
      <c r="Q3" s="799" t="s">
        <v>699</v>
      </c>
      <c r="R3" s="799" t="s">
        <v>700</v>
      </c>
      <c r="S3" s="799" t="s">
        <v>701</v>
      </c>
      <c r="T3" s="799" t="s">
        <v>702</v>
      </c>
      <c r="U3" s="799" t="s">
        <v>703</v>
      </c>
      <c r="V3" s="799" t="s">
        <v>719</v>
      </c>
      <c r="W3" s="799" t="s">
        <v>704</v>
      </c>
      <c r="X3" s="799" t="s">
        <v>705</v>
      </c>
      <c r="Y3" s="799" t="s">
        <v>706</v>
      </c>
      <c r="Z3" s="800" t="s">
        <v>707</v>
      </c>
    </row>
    <row r="4" spans="3:26" ht="17.25" thickBot="1" x14ac:dyDescent="0.35">
      <c r="C4" s="814" t="s">
        <v>654</v>
      </c>
      <c r="D4" s="804">
        <v>1</v>
      </c>
      <c r="E4" s="801">
        <v>2</v>
      </c>
      <c r="F4" s="801">
        <v>3</v>
      </c>
      <c r="G4" s="801">
        <v>4</v>
      </c>
      <c r="H4" s="801">
        <v>5</v>
      </c>
      <c r="I4" s="801">
        <v>6</v>
      </c>
      <c r="J4" s="801">
        <v>7</v>
      </c>
      <c r="K4" s="801">
        <v>8</v>
      </c>
      <c r="L4" s="801">
        <v>9</v>
      </c>
      <c r="M4" s="801">
        <v>10</v>
      </c>
      <c r="N4" s="801">
        <v>11</v>
      </c>
      <c r="O4" s="801">
        <v>12</v>
      </c>
      <c r="P4" s="801">
        <v>13</v>
      </c>
      <c r="Q4" s="801">
        <v>14</v>
      </c>
      <c r="R4" s="801">
        <v>15</v>
      </c>
      <c r="S4" s="801">
        <v>16</v>
      </c>
      <c r="T4" s="801">
        <v>17</v>
      </c>
      <c r="U4" s="801">
        <v>18</v>
      </c>
      <c r="V4" s="801">
        <v>19</v>
      </c>
      <c r="W4" s="801">
        <v>20</v>
      </c>
      <c r="X4" s="801">
        <v>21</v>
      </c>
      <c r="Y4" s="801">
        <v>22</v>
      </c>
      <c r="Z4" s="802">
        <v>23</v>
      </c>
    </row>
    <row r="5" spans="3:26" x14ac:dyDescent="0.3">
      <c r="C5" s="810" t="s">
        <v>80</v>
      </c>
      <c r="D5" s="805"/>
      <c r="E5" s="795"/>
      <c r="F5" s="795"/>
      <c r="G5" s="795"/>
      <c r="H5" s="796"/>
      <c r="I5" s="796"/>
      <c r="J5" s="796"/>
      <c r="K5" s="796"/>
      <c r="L5" s="796"/>
      <c r="M5" s="796"/>
      <c r="N5" s="796"/>
      <c r="O5" s="796"/>
      <c r="P5" s="796"/>
      <c r="Q5" s="796"/>
      <c r="R5" s="796"/>
      <c r="S5" s="796"/>
      <c r="T5" s="796"/>
      <c r="U5" s="796"/>
      <c r="V5" s="796"/>
      <c r="W5" s="796"/>
      <c r="X5" s="796"/>
      <c r="Y5" s="796"/>
      <c r="Z5" s="797"/>
    </row>
    <row r="6" spans="3:26" x14ac:dyDescent="0.3">
      <c r="C6" s="811" t="s">
        <v>656</v>
      </c>
      <c r="D6" s="806"/>
      <c r="E6" s="782"/>
      <c r="F6" s="782"/>
      <c r="G6" s="782"/>
      <c r="H6" s="704"/>
      <c r="I6" s="704"/>
      <c r="J6" s="704"/>
      <c r="K6" s="704"/>
      <c r="L6" s="704"/>
      <c r="M6" s="704"/>
      <c r="N6" s="704"/>
      <c r="O6" s="704"/>
      <c r="P6" s="704"/>
      <c r="Q6" s="704"/>
      <c r="R6" s="704"/>
      <c r="S6" s="704"/>
      <c r="T6" s="704"/>
      <c r="U6" s="704"/>
      <c r="V6" s="704"/>
      <c r="W6" s="704"/>
      <c r="X6" s="704"/>
      <c r="Y6" s="704"/>
      <c r="Z6" s="790"/>
    </row>
    <row r="7" spans="3:26" x14ac:dyDescent="0.3">
      <c r="C7" s="811" t="s">
        <v>649</v>
      </c>
      <c r="D7" s="806"/>
      <c r="E7" s="782"/>
      <c r="F7" s="782"/>
      <c r="G7" s="782"/>
      <c r="H7" s="782"/>
      <c r="I7" s="704"/>
      <c r="J7" s="704"/>
      <c r="K7" s="704"/>
      <c r="L7" s="704"/>
      <c r="M7" s="704"/>
      <c r="N7" s="704"/>
      <c r="O7" s="704"/>
      <c r="P7" s="704"/>
      <c r="Q7" s="704"/>
      <c r="R7" s="704"/>
      <c r="S7" s="704"/>
      <c r="T7" s="704"/>
      <c r="U7" s="704"/>
      <c r="V7" s="704"/>
      <c r="W7" s="704"/>
      <c r="X7" s="704"/>
      <c r="Y7" s="704"/>
      <c r="Z7" s="790"/>
    </row>
    <row r="8" spans="3:26" x14ac:dyDescent="0.3">
      <c r="C8" s="811" t="s">
        <v>671</v>
      </c>
      <c r="D8" s="806"/>
      <c r="E8" s="704"/>
      <c r="F8" s="704"/>
      <c r="G8" s="704"/>
      <c r="H8" s="782"/>
      <c r="I8" s="782"/>
      <c r="J8" s="782"/>
      <c r="K8" s="704"/>
      <c r="L8" s="704"/>
      <c r="M8" s="704"/>
      <c r="N8" s="704"/>
      <c r="O8" s="704"/>
      <c r="P8" s="704"/>
      <c r="Q8" s="704"/>
      <c r="R8" s="704"/>
      <c r="S8" s="704"/>
      <c r="T8" s="704"/>
      <c r="U8" s="704"/>
      <c r="V8" s="704"/>
      <c r="W8" s="704"/>
      <c r="X8" s="704"/>
      <c r="Y8" s="704"/>
      <c r="Z8" s="790"/>
    </row>
    <row r="9" spans="3:26" x14ac:dyDescent="0.3">
      <c r="C9" s="811" t="s">
        <v>670</v>
      </c>
      <c r="D9" s="806"/>
      <c r="E9" s="704"/>
      <c r="F9" s="704"/>
      <c r="G9" s="704"/>
      <c r="H9" s="782"/>
      <c r="I9" s="782"/>
      <c r="J9" s="782"/>
      <c r="K9" s="704"/>
      <c r="L9" s="704"/>
      <c r="M9" s="704"/>
      <c r="N9" s="704"/>
      <c r="O9" s="704"/>
      <c r="P9" s="704"/>
      <c r="Q9" s="704"/>
      <c r="R9" s="704"/>
      <c r="S9" s="704"/>
      <c r="T9" s="704"/>
      <c r="U9" s="704"/>
      <c r="V9" s="704"/>
      <c r="W9" s="704"/>
      <c r="X9" s="704"/>
      <c r="Y9" s="704"/>
      <c r="Z9" s="790"/>
    </row>
    <row r="10" spans="3:26" x14ac:dyDescent="0.3">
      <c r="C10" s="811" t="s">
        <v>669</v>
      </c>
      <c r="D10" s="806"/>
      <c r="E10" s="704"/>
      <c r="F10" s="704"/>
      <c r="G10" s="704"/>
      <c r="H10" s="704"/>
      <c r="I10" s="704"/>
      <c r="J10" s="704"/>
      <c r="K10" s="782"/>
      <c r="L10" s="782"/>
      <c r="M10" s="782"/>
      <c r="N10" s="704"/>
      <c r="O10" s="704"/>
      <c r="P10" s="704"/>
      <c r="Q10" s="704"/>
      <c r="R10" s="704"/>
      <c r="S10" s="704"/>
      <c r="T10" s="704"/>
      <c r="U10" s="704"/>
      <c r="V10" s="704"/>
      <c r="W10" s="704"/>
      <c r="X10" s="704"/>
      <c r="Y10" s="704"/>
      <c r="Z10" s="790"/>
    </row>
    <row r="11" spans="3:26" x14ac:dyDescent="0.3">
      <c r="C11" s="811" t="s">
        <v>652</v>
      </c>
      <c r="D11" s="806" t="s">
        <v>664</v>
      </c>
      <c r="E11" s="782"/>
      <c r="F11" s="782"/>
      <c r="G11" s="782"/>
      <c r="H11" s="782"/>
      <c r="I11" s="782"/>
      <c r="J11" s="782"/>
      <c r="K11" s="782"/>
      <c r="L11" s="782"/>
      <c r="M11" s="785" t="s">
        <v>755</v>
      </c>
      <c r="N11" s="704"/>
      <c r="O11" s="704"/>
      <c r="P11" s="704"/>
      <c r="Q11" s="704"/>
      <c r="R11" s="704"/>
      <c r="S11" s="704"/>
      <c r="T11" s="704"/>
      <c r="U11" s="704"/>
      <c r="V11" s="704"/>
      <c r="W11" s="704"/>
      <c r="X11" s="704"/>
      <c r="Y11" s="704"/>
      <c r="Z11" s="790"/>
    </row>
    <row r="12" spans="3:26" x14ac:dyDescent="0.3">
      <c r="C12" s="811" t="s">
        <v>336</v>
      </c>
      <c r="D12" s="807" t="s">
        <v>663</v>
      </c>
      <c r="E12" s="704"/>
      <c r="F12" s="704"/>
      <c r="G12" s="704"/>
      <c r="H12" s="704"/>
      <c r="I12" s="704"/>
      <c r="J12" s="704"/>
      <c r="K12" s="704"/>
      <c r="L12" s="704"/>
      <c r="M12" s="704"/>
      <c r="N12" s="704"/>
      <c r="O12" s="704"/>
      <c r="P12" s="704"/>
      <c r="Q12" s="704"/>
      <c r="R12" s="704"/>
      <c r="S12" s="704"/>
      <c r="T12" s="704"/>
      <c r="U12" s="704"/>
      <c r="V12" s="704"/>
      <c r="W12" s="704"/>
      <c r="X12" s="704"/>
      <c r="Y12" s="704"/>
      <c r="Z12" s="790"/>
    </row>
    <row r="13" spans="3:26" x14ac:dyDescent="0.3">
      <c r="C13" s="811" t="s">
        <v>512</v>
      </c>
      <c r="D13" s="806" t="s">
        <v>716</v>
      </c>
      <c r="E13" s="782"/>
      <c r="F13" s="782"/>
      <c r="G13" s="782"/>
      <c r="H13" s="782"/>
      <c r="I13" s="782"/>
      <c r="J13" s="704"/>
      <c r="K13" s="704"/>
      <c r="L13" s="704"/>
      <c r="M13" s="704"/>
      <c r="N13" s="704"/>
      <c r="O13" s="704"/>
      <c r="P13" s="704"/>
      <c r="Q13" s="704"/>
      <c r="R13" s="704"/>
      <c r="S13" s="704"/>
      <c r="T13" s="704"/>
      <c r="U13" s="704"/>
      <c r="V13" s="704"/>
      <c r="W13" s="704"/>
      <c r="X13" s="704"/>
      <c r="Y13" s="704"/>
      <c r="Z13" s="790"/>
    </row>
    <row r="14" spans="3:26" x14ac:dyDescent="0.3">
      <c r="C14" s="811" t="s">
        <v>433</v>
      </c>
      <c r="D14" s="806" t="s">
        <v>655</v>
      </c>
      <c r="E14" s="782"/>
      <c r="F14" s="782"/>
      <c r="G14" s="782"/>
      <c r="H14" s="782"/>
      <c r="I14" s="782"/>
      <c r="J14" s="704"/>
      <c r="K14" s="704"/>
      <c r="L14" s="704"/>
      <c r="M14" s="704"/>
      <c r="N14" s="704"/>
      <c r="O14" s="704"/>
      <c r="P14" s="704"/>
      <c r="Q14" s="704"/>
      <c r="R14" s="704"/>
      <c r="S14" s="704"/>
      <c r="T14" s="704"/>
      <c r="U14" s="704"/>
      <c r="V14" s="704"/>
      <c r="W14" s="704"/>
      <c r="X14" s="704"/>
      <c r="Y14" s="704"/>
      <c r="Z14" s="790"/>
    </row>
    <row r="15" spans="3:26" x14ac:dyDescent="0.3">
      <c r="C15" s="811" t="s">
        <v>717</v>
      </c>
      <c r="D15" s="806" t="s">
        <v>655</v>
      </c>
      <c r="E15" s="782"/>
      <c r="F15" s="782"/>
      <c r="G15" s="782"/>
      <c r="H15" s="782"/>
      <c r="I15" s="782"/>
      <c r="J15" s="782"/>
      <c r="K15" s="782"/>
      <c r="L15" s="704"/>
      <c r="M15" s="704"/>
      <c r="N15" s="704"/>
      <c r="O15" s="704"/>
      <c r="P15" s="704"/>
      <c r="Q15" s="704"/>
      <c r="R15" s="704"/>
      <c r="S15" s="704"/>
      <c r="T15" s="704"/>
      <c r="U15" s="704"/>
      <c r="V15" s="704"/>
      <c r="W15" s="704"/>
      <c r="X15" s="704"/>
      <c r="Y15" s="704"/>
      <c r="Z15" s="790"/>
    </row>
    <row r="16" spans="3:26" x14ac:dyDescent="0.3">
      <c r="C16" s="812" t="s">
        <v>710</v>
      </c>
      <c r="D16" s="808" t="s">
        <v>659</v>
      </c>
      <c r="E16" s="787"/>
      <c r="F16" s="787"/>
      <c r="G16" s="787"/>
      <c r="H16" s="787"/>
      <c r="I16" s="787"/>
      <c r="J16" s="787"/>
      <c r="K16" s="787"/>
      <c r="L16" s="787"/>
      <c r="M16" s="787"/>
      <c r="N16" s="787"/>
      <c r="O16" s="787"/>
      <c r="P16" s="787"/>
      <c r="Q16" s="787"/>
      <c r="R16" s="787"/>
      <c r="S16" s="787"/>
      <c r="T16" s="787"/>
      <c r="U16" s="787"/>
      <c r="V16" s="787"/>
      <c r="W16" s="787"/>
      <c r="X16" s="787"/>
      <c r="Y16" s="787"/>
      <c r="Z16" s="791"/>
    </row>
    <row r="17" spans="3:26" x14ac:dyDescent="0.3">
      <c r="C17" s="812" t="s">
        <v>713</v>
      </c>
      <c r="D17" s="808" t="s">
        <v>659</v>
      </c>
      <c r="E17" s="787"/>
      <c r="F17" s="787"/>
      <c r="G17" s="787"/>
      <c r="H17" s="787"/>
      <c r="I17" s="787"/>
      <c r="J17" s="787"/>
      <c r="K17" s="787"/>
      <c r="L17" s="787"/>
      <c r="M17" s="787"/>
      <c r="N17" s="787"/>
      <c r="O17" s="787"/>
      <c r="P17" s="787"/>
      <c r="Q17" s="787"/>
      <c r="R17" s="787"/>
      <c r="S17" s="787"/>
      <c r="T17" s="787"/>
      <c r="U17" s="787"/>
      <c r="V17" s="787"/>
      <c r="W17" s="787"/>
      <c r="X17" s="787"/>
      <c r="Y17" s="787"/>
      <c r="Z17" s="791"/>
    </row>
    <row r="18" spans="3:26" x14ac:dyDescent="0.3">
      <c r="C18" s="812" t="s">
        <v>712</v>
      </c>
      <c r="D18" s="808" t="s">
        <v>659</v>
      </c>
      <c r="E18" s="787"/>
      <c r="F18" s="787"/>
      <c r="G18" s="787"/>
      <c r="H18" s="787"/>
      <c r="I18" s="787"/>
      <c r="J18" s="787"/>
      <c r="K18" s="787"/>
      <c r="L18" s="787"/>
      <c r="M18" s="787"/>
      <c r="N18" s="787"/>
      <c r="O18" s="787"/>
      <c r="P18" s="787"/>
      <c r="Q18" s="787"/>
      <c r="R18" s="787"/>
      <c r="S18" s="787"/>
      <c r="T18" s="787"/>
      <c r="U18" s="787"/>
      <c r="V18" s="787"/>
      <c r="W18" s="787"/>
      <c r="X18" s="787"/>
      <c r="Y18" s="787"/>
      <c r="Z18" s="791"/>
    </row>
    <row r="19" spans="3:26" x14ac:dyDescent="0.3">
      <c r="C19" s="811" t="s">
        <v>666</v>
      </c>
      <c r="D19" s="806"/>
      <c r="E19" s="782"/>
      <c r="F19" s="782"/>
      <c r="G19" s="782"/>
      <c r="H19" s="782"/>
      <c r="I19" s="782"/>
      <c r="J19" s="782"/>
      <c r="K19" s="782"/>
      <c r="L19" s="782"/>
      <c r="M19" s="782"/>
      <c r="N19" s="782"/>
      <c r="O19" s="782"/>
      <c r="P19" s="782"/>
      <c r="Q19" s="782"/>
      <c r="R19" s="785"/>
      <c r="S19" s="782"/>
      <c r="T19" s="785" t="s">
        <v>686</v>
      </c>
      <c r="U19" s="704"/>
      <c r="V19" s="704"/>
      <c r="W19" s="704"/>
      <c r="X19" s="704"/>
      <c r="Y19" s="704"/>
      <c r="Z19" s="790"/>
    </row>
    <row r="20" spans="3:26" x14ac:dyDescent="0.3">
      <c r="C20" s="811" t="s">
        <v>667</v>
      </c>
      <c r="D20" s="806"/>
      <c r="E20" s="782"/>
      <c r="F20" s="782"/>
      <c r="G20" s="782"/>
      <c r="H20" s="782"/>
      <c r="I20" s="782"/>
      <c r="J20" s="782"/>
      <c r="K20" s="782"/>
      <c r="L20" s="782"/>
      <c r="M20" s="782"/>
      <c r="N20" s="782"/>
      <c r="O20" s="782"/>
      <c r="P20" s="782"/>
      <c r="Q20" s="782"/>
      <c r="R20" s="782"/>
      <c r="S20" s="782"/>
      <c r="T20" s="782"/>
      <c r="U20" s="782"/>
      <c r="V20" s="785"/>
      <c r="W20" s="782"/>
      <c r="X20" s="785" t="s">
        <v>708</v>
      </c>
      <c r="Y20" s="704"/>
      <c r="Z20" s="790"/>
    </row>
    <row r="21" spans="3:26" x14ac:dyDescent="0.3">
      <c r="C21" s="811" t="s">
        <v>668</v>
      </c>
      <c r="D21" s="806"/>
      <c r="E21" s="782"/>
      <c r="F21" s="782"/>
      <c r="G21" s="782"/>
      <c r="H21" s="782"/>
      <c r="I21" s="782"/>
      <c r="J21" s="782"/>
      <c r="K21" s="782"/>
      <c r="L21" s="782"/>
      <c r="M21" s="782"/>
      <c r="N21" s="782"/>
      <c r="O21" s="782"/>
      <c r="P21" s="782"/>
      <c r="Q21" s="782"/>
      <c r="R21" s="782"/>
      <c r="S21" s="782"/>
      <c r="T21" s="782"/>
      <c r="U21" s="782"/>
      <c r="V21" s="782"/>
      <c r="W21" s="782"/>
      <c r="X21" s="785"/>
      <c r="Y21" s="782"/>
      <c r="Z21" s="792" t="s">
        <v>709</v>
      </c>
    </row>
    <row r="22" spans="3:26" x14ac:dyDescent="0.3">
      <c r="C22" s="811" t="s">
        <v>665</v>
      </c>
      <c r="D22" s="807"/>
      <c r="E22" s="704"/>
      <c r="F22" s="704"/>
      <c r="G22" s="704"/>
      <c r="H22" s="704"/>
      <c r="I22" s="704"/>
      <c r="J22" s="704"/>
      <c r="K22" s="704"/>
      <c r="L22" s="704"/>
      <c r="M22" s="704"/>
      <c r="N22" s="704"/>
      <c r="O22" s="704"/>
      <c r="P22" s="704"/>
      <c r="Q22" s="704"/>
      <c r="R22" s="704"/>
      <c r="S22" s="704"/>
      <c r="T22" s="782"/>
      <c r="U22" s="704"/>
      <c r="V22" s="704"/>
      <c r="W22" s="704"/>
      <c r="X22" s="704"/>
      <c r="Y22" s="704"/>
      <c r="Z22" s="790"/>
    </row>
    <row r="23" spans="3:26" x14ac:dyDescent="0.3">
      <c r="C23" s="811" t="s">
        <v>672</v>
      </c>
      <c r="D23" s="807"/>
      <c r="E23" s="704"/>
      <c r="F23" s="704"/>
      <c r="G23" s="704"/>
      <c r="H23" s="704"/>
      <c r="I23" s="704"/>
      <c r="J23" s="704"/>
      <c r="K23" s="704"/>
      <c r="L23" s="704"/>
      <c r="M23" s="704"/>
      <c r="N23" s="704"/>
      <c r="O23" s="704"/>
      <c r="P23" s="704"/>
      <c r="Q23" s="704"/>
      <c r="R23" s="704"/>
      <c r="S23" s="704"/>
      <c r="T23" s="704"/>
      <c r="U23" s="704"/>
      <c r="V23" s="704"/>
      <c r="W23" s="704"/>
      <c r="X23" s="782"/>
      <c r="Y23" s="704"/>
      <c r="Z23" s="790"/>
    </row>
    <row r="24" spans="3:26" ht="17.25" thickBot="1" x14ac:dyDescent="0.35">
      <c r="C24" s="813" t="s">
        <v>673</v>
      </c>
      <c r="D24" s="809"/>
      <c r="E24" s="793"/>
      <c r="F24" s="793"/>
      <c r="G24" s="793"/>
      <c r="H24" s="793"/>
      <c r="I24" s="793"/>
      <c r="J24" s="793"/>
      <c r="K24" s="793"/>
      <c r="L24" s="793"/>
      <c r="M24" s="793"/>
      <c r="N24" s="793"/>
      <c r="O24" s="793"/>
      <c r="P24" s="793"/>
      <c r="Q24" s="793"/>
      <c r="R24" s="793"/>
      <c r="S24" s="793"/>
      <c r="T24" s="793"/>
      <c r="U24" s="793"/>
      <c r="V24" s="793"/>
      <c r="W24" s="793"/>
      <c r="X24" s="793"/>
      <c r="Y24" s="793"/>
      <c r="Z24" s="794"/>
    </row>
    <row r="25" spans="3:26" x14ac:dyDescent="0.3">
      <c r="D25">
        <v>26</v>
      </c>
      <c r="E25">
        <v>27</v>
      </c>
      <c r="F25">
        <v>28</v>
      </c>
      <c r="G25">
        <v>29</v>
      </c>
      <c r="H25">
        <v>30</v>
      </c>
      <c r="I25">
        <v>31</v>
      </c>
      <c r="J25">
        <v>32</v>
      </c>
      <c r="K25">
        <v>33</v>
      </c>
      <c r="L25">
        <v>34</v>
      </c>
      <c r="M25">
        <v>35</v>
      </c>
      <c r="N25">
        <v>36</v>
      </c>
      <c r="O25">
        <v>37</v>
      </c>
      <c r="P25">
        <v>38</v>
      </c>
      <c r="Q25">
        <v>39</v>
      </c>
      <c r="R25">
        <v>40</v>
      </c>
      <c r="S25">
        <v>41</v>
      </c>
      <c r="T25">
        <v>42</v>
      </c>
      <c r="U25">
        <v>43</v>
      </c>
      <c r="V25">
        <v>44</v>
      </c>
      <c r="W25">
        <v>45</v>
      </c>
      <c r="X25">
        <v>46</v>
      </c>
      <c r="Y25">
        <v>47</v>
      </c>
      <c r="Z25">
        <v>48</v>
      </c>
    </row>
    <row r="28" spans="3:26" x14ac:dyDescent="0.3">
      <c r="C28" s="704" t="s">
        <v>683</v>
      </c>
      <c r="D28" s="704">
        <v>2470</v>
      </c>
      <c r="E28" s="704" t="s">
        <v>258</v>
      </c>
      <c r="F28" s="704">
        <v>1</v>
      </c>
    </row>
    <row r="29" spans="3:26" x14ac:dyDescent="0.3">
      <c r="C29" s="704" t="s">
        <v>259</v>
      </c>
      <c r="D29" s="704" t="s">
        <v>658</v>
      </c>
      <c r="E29" s="704" t="s">
        <v>258</v>
      </c>
      <c r="F29" s="704">
        <v>1</v>
      </c>
    </row>
    <row r="30" spans="3:26" x14ac:dyDescent="0.3">
      <c r="C30" s="704" t="s">
        <v>684</v>
      </c>
      <c r="D30" s="704">
        <v>3153</v>
      </c>
      <c r="E30" s="704" t="s">
        <v>260</v>
      </c>
      <c r="F30" s="704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8F01-2ED1-4E2B-B715-A32613DB9CE3}">
  <dimension ref="C2:Z28"/>
  <sheetViews>
    <sheetView workbookViewId="0">
      <selection activeCell="L17" sqref="L17"/>
    </sheetView>
  </sheetViews>
  <sheetFormatPr defaultRowHeight="16.5" x14ac:dyDescent="0.3"/>
  <cols>
    <col min="3" max="3" width="26.125" customWidth="1"/>
    <col min="4" max="26" width="6.375" customWidth="1"/>
  </cols>
  <sheetData>
    <row r="2" spans="3:26" ht="17.25" thickBot="1" x14ac:dyDescent="0.35">
      <c r="C2" s="4" t="s">
        <v>685</v>
      </c>
      <c r="D2">
        <v>26</v>
      </c>
      <c r="E2">
        <v>27</v>
      </c>
      <c r="F2">
        <v>28</v>
      </c>
      <c r="G2">
        <v>29</v>
      </c>
      <c r="H2">
        <v>30</v>
      </c>
      <c r="I2">
        <v>31</v>
      </c>
      <c r="J2">
        <v>32</v>
      </c>
      <c r="K2">
        <v>33</v>
      </c>
      <c r="L2">
        <v>34</v>
      </c>
      <c r="M2">
        <v>35</v>
      </c>
      <c r="N2">
        <v>36</v>
      </c>
      <c r="O2">
        <v>37</v>
      </c>
      <c r="P2">
        <v>38</v>
      </c>
      <c r="Q2">
        <v>39</v>
      </c>
      <c r="R2">
        <v>40</v>
      </c>
      <c r="S2">
        <v>41</v>
      </c>
      <c r="T2">
        <v>42</v>
      </c>
      <c r="U2">
        <v>43</v>
      </c>
      <c r="V2">
        <v>44</v>
      </c>
      <c r="W2">
        <v>45</v>
      </c>
      <c r="X2">
        <v>46</v>
      </c>
      <c r="Y2">
        <v>47</v>
      </c>
      <c r="Z2">
        <v>48</v>
      </c>
    </row>
    <row r="3" spans="3:26" x14ac:dyDescent="0.3">
      <c r="C3" s="798"/>
      <c r="D3" s="803" t="s">
        <v>687</v>
      </c>
      <c r="E3" s="799" t="s">
        <v>688</v>
      </c>
      <c r="F3" s="799" t="s">
        <v>689</v>
      </c>
      <c r="G3" s="799" t="s">
        <v>690</v>
      </c>
      <c r="H3" s="799" t="s">
        <v>691</v>
      </c>
      <c r="I3" s="799" t="s">
        <v>718</v>
      </c>
      <c r="J3" s="799" t="s">
        <v>692</v>
      </c>
      <c r="K3" s="799" t="s">
        <v>693</v>
      </c>
      <c r="L3" s="799" t="s">
        <v>694</v>
      </c>
      <c r="M3" s="799" t="s">
        <v>695</v>
      </c>
      <c r="N3" s="799" t="s">
        <v>696</v>
      </c>
      <c r="O3" s="799" t="s">
        <v>697</v>
      </c>
      <c r="P3" s="799" t="s">
        <v>698</v>
      </c>
      <c r="Q3" s="799" t="s">
        <v>699</v>
      </c>
      <c r="R3" s="799" t="s">
        <v>700</v>
      </c>
      <c r="S3" s="799" t="s">
        <v>701</v>
      </c>
      <c r="T3" s="799" t="s">
        <v>702</v>
      </c>
      <c r="U3" s="799" t="s">
        <v>703</v>
      </c>
      <c r="V3" s="799" t="s">
        <v>719</v>
      </c>
      <c r="W3" s="799" t="s">
        <v>704</v>
      </c>
      <c r="X3" s="799" t="s">
        <v>705</v>
      </c>
      <c r="Y3" s="799" t="s">
        <v>706</v>
      </c>
      <c r="Z3" s="800" t="s">
        <v>707</v>
      </c>
    </row>
    <row r="4" spans="3:26" ht="17.25" thickBot="1" x14ac:dyDescent="0.35">
      <c r="C4" s="814" t="s">
        <v>654</v>
      </c>
      <c r="D4" s="804">
        <v>1</v>
      </c>
      <c r="E4" s="801">
        <v>2</v>
      </c>
      <c r="F4" s="801">
        <v>3</v>
      </c>
      <c r="G4" s="801">
        <v>4</v>
      </c>
      <c r="H4" s="801">
        <v>5</v>
      </c>
      <c r="I4" s="801">
        <v>6</v>
      </c>
      <c r="J4" s="801">
        <v>7</v>
      </c>
      <c r="K4" s="801">
        <v>8</v>
      </c>
      <c r="L4" s="801">
        <v>9</v>
      </c>
      <c r="M4" s="801">
        <v>10</v>
      </c>
      <c r="N4" s="801">
        <v>11</v>
      </c>
      <c r="O4" s="801">
        <v>12</v>
      </c>
      <c r="P4" s="801">
        <v>13</v>
      </c>
      <c r="Q4" s="801">
        <v>14</v>
      </c>
      <c r="R4" s="801">
        <v>15</v>
      </c>
      <c r="S4" s="801">
        <v>16</v>
      </c>
      <c r="T4" s="801">
        <v>17</v>
      </c>
      <c r="U4" s="801">
        <v>18</v>
      </c>
      <c r="V4" s="801">
        <v>19</v>
      </c>
      <c r="W4" s="801">
        <v>20</v>
      </c>
      <c r="X4" s="801">
        <v>21</v>
      </c>
      <c r="Y4" s="801">
        <v>22</v>
      </c>
      <c r="Z4" s="802">
        <v>23</v>
      </c>
    </row>
    <row r="5" spans="3:26" x14ac:dyDescent="0.3">
      <c r="C5" s="810" t="s">
        <v>80</v>
      </c>
      <c r="D5" s="805"/>
      <c r="E5" s="795"/>
      <c r="F5" s="795"/>
      <c r="G5" s="795"/>
      <c r="H5" s="795"/>
      <c r="I5" s="796"/>
      <c r="J5" s="796"/>
      <c r="K5" s="796"/>
      <c r="L5" s="796"/>
      <c r="M5" s="796"/>
      <c r="N5" s="796"/>
      <c r="O5" s="796"/>
      <c r="P5" s="796"/>
      <c r="Q5" s="796"/>
      <c r="R5" s="796"/>
      <c r="S5" s="796"/>
      <c r="T5" s="796"/>
      <c r="U5" s="796"/>
      <c r="V5" s="796"/>
      <c r="W5" s="796"/>
      <c r="X5" s="796"/>
      <c r="Y5" s="796"/>
      <c r="Z5" s="797"/>
    </row>
    <row r="6" spans="3:26" x14ac:dyDescent="0.3">
      <c r="C6" s="811" t="s">
        <v>656</v>
      </c>
      <c r="D6" s="806"/>
      <c r="E6" s="782"/>
      <c r="F6" s="782"/>
      <c r="G6" s="782"/>
      <c r="H6" s="782"/>
      <c r="I6" s="704"/>
      <c r="J6" s="704"/>
      <c r="K6" s="704"/>
      <c r="L6" s="704"/>
      <c r="M6" s="704"/>
      <c r="N6" s="704"/>
      <c r="O6" s="704"/>
      <c r="P6" s="704"/>
      <c r="Q6" s="704"/>
      <c r="R6" s="704"/>
      <c r="S6" s="704"/>
      <c r="T6" s="704"/>
      <c r="U6" s="704"/>
      <c r="V6" s="704"/>
      <c r="W6" s="704"/>
      <c r="X6" s="704"/>
      <c r="Y6" s="704"/>
      <c r="Z6" s="790"/>
    </row>
    <row r="7" spans="3:26" x14ac:dyDescent="0.3">
      <c r="C7" s="811" t="s">
        <v>649</v>
      </c>
      <c r="D7" s="806"/>
      <c r="E7" s="782"/>
      <c r="F7" s="782"/>
      <c r="G7" s="782"/>
      <c r="H7" s="782"/>
      <c r="I7" s="782"/>
      <c r="J7" s="704"/>
      <c r="K7" s="704"/>
      <c r="L7" s="704"/>
      <c r="M7" s="704"/>
      <c r="N7" s="704"/>
      <c r="O7" s="704"/>
      <c r="P7" s="704"/>
      <c r="Q7" s="704"/>
      <c r="R7" s="704"/>
      <c r="S7" s="704"/>
      <c r="T7" s="704"/>
      <c r="U7" s="704"/>
      <c r="V7" s="704"/>
      <c r="W7" s="704"/>
      <c r="X7" s="704"/>
      <c r="Y7" s="704"/>
      <c r="Z7" s="790"/>
    </row>
    <row r="8" spans="3:26" x14ac:dyDescent="0.3">
      <c r="C8" s="811" t="s">
        <v>671</v>
      </c>
      <c r="D8" s="806"/>
      <c r="E8" s="704"/>
      <c r="F8" s="704"/>
      <c r="G8" s="704"/>
      <c r="H8" s="704"/>
      <c r="I8" s="782"/>
      <c r="J8" s="782"/>
      <c r="K8" s="782"/>
      <c r="L8" s="704"/>
      <c r="M8" s="704"/>
      <c r="N8" s="704"/>
      <c r="O8" s="782"/>
      <c r="P8" s="704"/>
      <c r="Q8" s="704"/>
      <c r="R8" s="704"/>
      <c r="S8" s="704"/>
      <c r="T8" s="704"/>
      <c r="U8" s="704"/>
      <c r="V8" s="704"/>
      <c r="W8" s="704"/>
      <c r="X8" s="704"/>
      <c r="Y8" s="704"/>
      <c r="Z8" s="790"/>
    </row>
    <row r="9" spans="3:26" x14ac:dyDescent="0.3">
      <c r="C9" s="811" t="s">
        <v>670</v>
      </c>
      <c r="D9" s="806"/>
      <c r="E9" s="704"/>
      <c r="F9" s="704"/>
      <c r="G9" s="704"/>
      <c r="H9" s="704"/>
      <c r="I9" s="782"/>
      <c r="J9" s="782"/>
      <c r="K9" s="782"/>
      <c r="L9" s="704"/>
      <c r="M9" s="704"/>
      <c r="N9" s="704"/>
      <c r="O9" s="782"/>
      <c r="P9" s="704"/>
      <c r="Q9" s="704"/>
      <c r="R9" s="704"/>
      <c r="S9" s="704"/>
      <c r="T9" s="704"/>
      <c r="U9" s="704"/>
      <c r="V9" s="704"/>
      <c r="W9" s="704"/>
      <c r="X9" s="704"/>
      <c r="Y9" s="704"/>
      <c r="Z9" s="790"/>
    </row>
    <row r="10" spans="3:26" x14ac:dyDescent="0.3">
      <c r="C10" s="811" t="s">
        <v>669</v>
      </c>
      <c r="D10" s="806"/>
      <c r="E10" s="704"/>
      <c r="F10" s="704"/>
      <c r="G10" s="704"/>
      <c r="H10" s="704"/>
      <c r="I10" s="704"/>
      <c r="J10" s="704"/>
      <c r="K10" s="704"/>
      <c r="L10" s="782"/>
      <c r="M10" s="782"/>
      <c r="N10" s="782"/>
      <c r="O10" s="782"/>
      <c r="P10" s="704"/>
      <c r="Q10" s="704"/>
      <c r="R10" s="704"/>
      <c r="S10" s="704"/>
      <c r="T10" s="704"/>
      <c r="U10" s="704"/>
      <c r="V10" s="704"/>
      <c r="W10" s="704"/>
      <c r="X10" s="704"/>
      <c r="Y10" s="704"/>
      <c r="Z10" s="790"/>
    </row>
    <row r="11" spans="3:26" x14ac:dyDescent="0.3">
      <c r="C11" s="811" t="s">
        <v>652</v>
      </c>
      <c r="D11" s="806" t="s">
        <v>664</v>
      </c>
      <c r="E11" s="782"/>
      <c r="F11" s="782"/>
      <c r="G11" s="782"/>
      <c r="H11" s="782"/>
      <c r="I11" s="782"/>
      <c r="J11" s="782"/>
      <c r="K11" s="782"/>
      <c r="L11" s="782"/>
      <c r="M11" s="785"/>
      <c r="N11" s="704"/>
      <c r="O11" s="704"/>
      <c r="P11" s="704"/>
      <c r="Q11" s="704"/>
      <c r="R11" s="704"/>
      <c r="S11" s="704"/>
      <c r="T11" s="704"/>
      <c r="U11" s="704"/>
      <c r="V11" s="704"/>
      <c r="W11" s="704"/>
      <c r="X11" s="704"/>
      <c r="Y11" s="704"/>
      <c r="Z11" s="790"/>
    </row>
    <row r="12" spans="3:26" x14ac:dyDescent="0.3">
      <c r="C12" s="811" t="s">
        <v>336</v>
      </c>
      <c r="D12" s="807" t="s">
        <v>663</v>
      </c>
      <c r="E12" s="704"/>
      <c r="F12" s="704"/>
      <c r="G12" s="704"/>
      <c r="H12" s="704"/>
      <c r="I12" s="704"/>
      <c r="J12" s="704"/>
      <c r="K12" s="704"/>
      <c r="L12" s="704"/>
      <c r="M12" s="704"/>
      <c r="N12" s="704"/>
      <c r="O12" s="704"/>
      <c r="P12" s="704"/>
      <c r="Q12" s="704"/>
      <c r="R12" s="704"/>
      <c r="S12" s="704"/>
      <c r="T12" s="704"/>
      <c r="U12" s="704"/>
      <c r="V12" s="704"/>
      <c r="W12" s="704"/>
      <c r="X12" s="704"/>
      <c r="Y12" s="704"/>
      <c r="Z12" s="790"/>
    </row>
    <row r="13" spans="3:26" x14ac:dyDescent="0.3">
      <c r="C13" s="811" t="s">
        <v>512</v>
      </c>
      <c r="D13" s="806" t="s">
        <v>716</v>
      </c>
      <c r="E13" s="782"/>
      <c r="F13" s="782"/>
      <c r="G13" s="782"/>
      <c r="H13" s="782"/>
      <c r="I13" s="782"/>
      <c r="J13" s="704"/>
      <c r="K13" s="704"/>
      <c r="L13" s="704"/>
      <c r="M13" s="704"/>
      <c r="N13" s="704"/>
      <c r="O13" s="704"/>
      <c r="P13" s="704"/>
      <c r="Q13" s="704"/>
      <c r="R13" s="704"/>
      <c r="S13" s="704"/>
      <c r="T13" s="704"/>
      <c r="U13" s="704"/>
      <c r="V13" s="704"/>
      <c r="W13" s="704"/>
      <c r="X13" s="704"/>
      <c r="Y13" s="704"/>
      <c r="Z13" s="790"/>
    </row>
    <row r="14" spans="3:26" x14ac:dyDescent="0.3">
      <c r="C14" s="811" t="s">
        <v>433</v>
      </c>
      <c r="D14" s="806" t="s">
        <v>655</v>
      </c>
      <c r="E14" s="782"/>
      <c r="F14" s="782"/>
      <c r="G14" s="782"/>
      <c r="H14" s="782"/>
      <c r="I14" s="782"/>
      <c r="J14" s="704"/>
      <c r="K14" s="704"/>
      <c r="L14" s="704"/>
      <c r="M14" s="704"/>
      <c r="N14" s="704"/>
      <c r="O14" s="704"/>
      <c r="P14" s="704"/>
      <c r="Q14" s="704"/>
      <c r="R14" s="704"/>
      <c r="S14" s="704"/>
      <c r="T14" s="704"/>
      <c r="U14" s="704"/>
      <c r="V14" s="704"/>
      <c r="W14" s="704"/>
      <c r="X14" s="704"/>
      <c r="Y14" s="704"/>
      <c r="Z14" s="790"/>
    </row>
    <row r="15" spans="3:26" x14ac:dyDescent="0.3">
      <c r="C15" s="811" t="s">
        <v>717</v>
      </c>
      <c r="D15" s="806" t="s">
        <v>655</v>
      </c>
      <c r="E15" s="782"/>
      <c r="F15" s="782"/>
      <c r="G15" s="782"/>
      <c r="H15" s="782"/>
      <c r="I15" s="782"/>
      <c r="J15" s="782"/>
      <c r="K15" s="782"/>
      <c r="L15" s="704"/>
      <c r="M15" s="704"/>
      <c r="N15" s="704"/>
      <c r="O15" s="704"/>
      <c r="P15" s="704"/>
      <c r="Q15" s="704"/>
      <c r="R15" s="704"/>
      <c r="S15" s="704"/>
      <c r="T15" s="704"/>
      <c r="U15" s="704"/>
      <c r="V15" s="704"/>
      <c r="W15" s="704"/>
      <c r="X15" s="704"/>
      <c r="Y15" s="704"/>
      <c r="Z15" s="790"/>
    </row>
    <row r="16" spans="3:26" x14ac:dyDescent="0.3">
      <c r="C16" s="812" t="s">
        <v>710</v>
      </c>
      <c r="D16" s="808" t="s">
        <v>768</v>
      </c>
      <c r="E16" s="787"/>
      <c r="F16" s="787"/>
      <c r="G16" s="787"/>
      <c r="H16" s="787"/>
      <c r="I16" s="787"/>
      <c r="J16" s="787"/>
      <c r="K16" s="787"/>
      <c r="L16" s="787"/>
      <c r="M16" s="787"/>
      <c r="N16" s="787"/>
      <c r="O16" s="787"/>
      <c r="P16" s="787"/>
      <c r="Q16" s="787"/>
      <c r="R16" s="787"/>
      <c r="S16" s="787"/>
      <c r="T16" s="787"/>
      <c r="U16" s="787"/>
      <c r="V16" s="787"/>
      <c r="W16" s="787"/>
      <c r="X16" s="787"/>
      <c r="Y16" s="787"/>
      <c r="Z16" s="791"/>
    </row>
    <row r="17" spans="3:26" x14ac:dyDescent="0.3">
      <c r="C17" s="812" t="s">
        <v>713</v>
      </c>
      <c r="D17" s="808" t="s">
        <v>769</v>
      </c>
      <c r="E17" s="787"/>
      <c r="F17" s="787"/>
      <c r="G17" s="787"/>
      <c r="H17" s="787"/>
      <c r="I17" s="787"/>
      <c r="J17" s="787"/>
      <c r="K17" s="787"/>
      <c r="L17" s="787"/>
      <c r="M17" s="787"/>
      <c r="N17" s="787"/>
      <c r="O17" s="787"/>
      <c r="P17" s="787"/>
      <c r="Q17" s="787"/>
      <c r="R17" s="787"/>
      <c r="S17" s="787"/>
      <c r="T17" s="787"/>
      <c r="U17" s="787"/>
      <c r="V17" s="787"/>
      <c r="W17" s="787"/>
      <c r="X17" s="787"/>
      <c r="Y17" s="787"/>
      <c r="Z17" s="791"/>
    </row>
    <row r="18" spans="3:26" x14ac:dyDescent="0.3">
      <c r="C18" s="812" t="s">
        <v>712</v>
      </c>
      <c r="D18" s="808" t="s">
        <v>768</v>
      </c>
      <c r="E18" s="787"/>
      <c r="F18" s="787"/>
      <c r="G18" s="787"/>
      <c r="H18" s="787"/>
      <c r="I18" s="787"/>
      <c r="J18" s="787"/>
      <c r="K18" s="787"/>
      <c r="L18" s="787"/>
      <c r="M18" s="787"/>
      <c r="N18" s="787"/>
      <c r="O18" s="787"/>
      <c r="P18" s="787"/>
      <c r="Q18" s="787"/>
      <c r="R18" s="787"/>
      <c r="S18" s="787"/>
      <c r="T18" s="787"/>
      <c r="U18" s="787"/>
      <c r="V18" s="787"/>
      <c r="W18" s="787"/>
      <c r="X18" s="787"/>
      <c r="Y18" s="787"/>
      <c r="Z18" s="791"/>
    </row>
    <row r="19" spans="3:26" x14ac:dyDescent="0.3">
      <c r="C19" s="811" t="s">
        <v>666</v>
      </c>
      <c r="D19" s="806"/>
      <c r="E19" s="782"/>
      <c r="F19" s="782"/>
      <c r="G19" s="782"/>
      <c r="H19" s="782"/>
      <c r="I19" s="782"/>
      <c r="J19" s="782"/>
      <c r="K19" s="782"/>
      <c r="L19" s="782"/>
      <c r="M19" s="782"/>
      <c r="N19" s="782"/>
      <c r="O19" s="782"/>
      <c r="P19" s="782"/>
      <c r="Q19" s="782"/>
      <c r="R19" s="785"/>
      <c r="S19" s="782"/>
      <c r="T19" s="785" t="s">
        <v>686</v>
      </c>
      <c r="U19" s="704"/>
      <c r="V19" s="704"/>
      <c r="W19" s="704"/>
      <c r="X19" s="704"/>
      <c r="Y19" s="704"/>
      <c r="Z19" s="790"/>
    </row>
    <row r="20" spans="3:26" x14ac:dyDescent="0.3">
      <c r="C20" s="811" t="s">
        <v>667</v>
      </c>
      <c r="D20" s="806"/>
      <c r="E20" s="782"/>
      <c r="F20" s="782"/>
      <c r="G20" s="782"/>
      <c r="H20" s="782"/>
      <c r="I20" s="782"/>
      <c r="J20" s="782"/>
      <c r="K20" s="782"/>
      <c r="L20" s="782"/>
      <c r="M20" s="782"/>
      <c r="N20" s="782"/>
      <c r="O20" s="782"/>
      <c r="P20" s="782"/>
      <c r="Q20" s="782"/>
      <c r="R20" s="782"/>
      <c r="S20" s="782"/>
      <c r="T20" s="782"/>
      <c r="U20" s="782"/>
      <c r="V20" s="785"/>
      <c r="W20" s="782"/>
      <c r="X20" s="785" t="s">
        <v>708</v>
      </c>
      <c r="Y20" s="704"/>
      <c r="Z20" s="790"/>
    </row>
    <row r="21" spans="3:26" x14ac:dyDescent="0.3">
      <c r="C21" s="811" t="s">
        <v>668</v>
      </c>
      <c r="D21" s="806"/>
      <c r="E21" s="782"/>
      <c r="F21" s="782"/>
      <c r="G21" s="782"/>
      <c r="H21" s="782"/>
      <c r="I21" s="782"/>
      <c r="J21" s="782"/>
      <c r="K21" s="782"/>
      <c r="L21" s="782"/>
      <c r="M21" s="782"/>
      <c r="N21" s="782"/>
      <c r="O21" s="782"/>
      <c r="P21" s="782"/>
      <c r="Q21" s="782"/>
      <c r="R21" s="782"/>
      <c r="S21" s="782"/>
      <c r="T21" s="782"/>
      <c r="U21" s="782"/>
      <c r="V21" s="782"/>
      <c r="W21" s="782"/>
      <c r="X21" s="785"/>
      <c r="Y21" s="782"/>
      <c r="Z21" s="792" t="s">
        <v>709</v>
      </c>
    </row>
    <row r="22" spans="3:26" x14ac:dyDescent="0.3">
      <c r="C22" s="811" t="s">
        <v>665</v>
      </c>
      <c r="D22" s="807"/>
      <c r="E22" s="704"/>
      <c r="F22" s="704"/>
      <c r="G22" s="704"/>
      <c r="H22" s="704"/>
      <c r="I22" s="704"/>
      <c r="J22" s="704"/>
      <c r="K22" s="704"/>
      <c r="L22" s="704"/>
      <c r="M22" s="704"/>
      <c r="N22" s="704"/>
      <c r="O22" s="704"/>
      <c r="P22" s="704"/>
      <c r="Q22" s="704"/>
      <c r="R22" s="704"/>
      <c r="S22" s="704"/>
      <c r="T22" s="782"/>
      <c r="U22" s="704"/>
      <c r="V22" s="704"/>
      <c r="W22" s="704"/>
      <c r="X22" s="704"/>
      <c r="Y22" s="704"/>
      <c r="Z22" s="790"/>
    </row>
    <row r="23" spans="3:26" x14ac:dyDescent="0.3">
      <c r="C23" s="811" t="s">
        <v>672</v>
      </c>
      <c r="D23" s="807"/>
      <c r="E23" s="704"/>
      <c r="F23" s="704"/>
      <c r="G23" s="704"/>
      <c r="H23" s="704"/>
      <c r="I23" s="704"/>
      <c r="J23" s="704"/>
      <c r="K23" s="704"/>
      <c r="L23" s="704"/>
      <c r="M23" s="704"/>
      <c r="N23" s="704"/>
      <c r="O23" s="704"/>
      <c r="P23" s="704"/>
      <c r="Q23" s="704"/>
      <c r="R23" s="704"/>
      <c r="S23" s="704"/>
      <c r="T23" s="704"/>
      <c r="U23" s="704"/>
      <c r="V23" s="704"/>
      <c r="W23" s="704"/>
      <c r="X23" s="782"/>
      <c r="Y23" s="704"/>
      <c r="Z23" s="790"/>
    </row>
    <row r="24" spans="3:26" ht="17.25" thickBot="1" x14ac:dyDescent="0.35">
      <c r="C24" s="813" t="s">
        <v>673</v>
      </c>
      <c r="D24" s="809"/>
      <c r="E24" s="793"/>
      <c r="F24" s="793"/>
      <c r="G24" s="793"/>
      <c r="H24" s="793"/>
      <c r="I24" s="793"/>
      <c r="J24" s="793"/>
      <c r="K24" s="793"/>
      <c r="L24" s="793"/>
      <c r="M24" s="793"/>
      <c r="N24" s="793"/>
      <c r="O24" s="793"/>
      <c r="P24" s="793"/>
      <c r="Q24" s="793"/>
      <c r="R24" s="793"/>
      <c r="S24" s="793"/>
      <c r="T24" s="793"/>
      <c r="U24" s="793"/>
      <c r="V24" s="793"/>
      <c r="W24" s="793"/>
      <c r="X24" s="793"/>
      <c r="Y24" s="793"/>
      <c r="Z24" s="794"/>
    </row>
    <row r="26" spans="3:26" x14ac:dyDescent="0.3">
      <c r="C26" s="704" t="s">
        <v>683</v>
      </c>
      <c r="D26" s="704">
        <v>2470</v>
      </c>
      <c r="E26" s="704" t="s">
        <v>258</v>
      </c>
      <c r="F26" s="704">
        <v>1</v>
      </c>
    </row>
    <row r="27" spans="3:26" x14ac:dyDescent="0.3">
      <c r="C27" s="704" t="s">
        <v>259</v>
      </c>
      <c r="D27" s="704" t="s">
        <v>658</v>
      </c>
      <c r="E27" s="704" t="s">
        <v>258</v>
      </c>
      <c r="F27" s="704">
        <v>1</v>
      </c>
      <c r="G27" s="920" t="s">
        <v>767</v>
      </c>
    </row>
    <row r="28" spans="3:26" x14ac:dyDescent="0.3">
      <c r="C28" s="704" t="s">
        <v>684</v>
      </c>
      <c r="D28" s="704">
        <v>3153</v>
      </c>
      <c r="E28" s="704" t="s">
        <v>260</v>
      </c>
      <c r="F28" s="704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7814-9687-4FC3-BA0A-54402EE03636}">
  <sheetPr>
    <tabColor rgb="FFC00000"/>
    <pageSetUpPr fitToPage="1"/>
  </sheetPr>
  <dimension ref="B2:Z38"/>
  <sheetViews>
    <sheetView tabSelected="1" zoomScale="85" zoomScaleNormal="85" zoomScaleSheetLayoutView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Z2" sqref="Z2"/>
    </sheetView>
  </sheetViews>
  <sheetFormatPr defaultRowHeight="16.5" x14ac:dyDescent="0.3"/>
  <cols>
    <col min="1" max="1" width="4.875" style="103" customWidth="1"/>
    <col min="2" max="2" width="43.875" style="103" customWidth="1"/>
    <col min="3" max="25" width="8.875" style="103" customWidth="1"/>
    <col min="26" max="16384" width="9" style="103"/>
  </cols>
  <sheetData>
    <row r="2" spans="2:26" ht="23.25" customHeight="1" thickBot="1" x14ac:dyDescent="0.35">
      <c r="B2" s="1252" t="s">
        <v>942</v>
      </c>
      <c r="Y2" s="1253" t="s">
        <v>1215</v>
      </c>
    </row>
    <row r="3" spans="2:26" x14ac:dyDescent="0.3">
      <c r="B3" s="1464" t="s">
        <v>949</v>
      </c>
      <c r="C3" s="952" t="s">
        <v>687</v>
      </c>
      <c r="D3" s="953" t="s">
        <v>688</v>
      </c>
      <c r="E3" s="953" t="s">
        <v>689</v>
      </c>
      <c r="F3" s="953" t="s">
        <v>690</v>
      </c>
      <c r="G3" s="953" t="s">
        <v>691</v>
      </c>
      <c r="H3" s="953" t="s">
        <v>718</v>
      </c>
      <c r="I3" s="953" t="s">
        <v>692</v>
      </c>
      <c r="J3" s="953" t="s">
        <v>693</v>
      </c>
      <c r="K3" s="953" t="s">
        <v>694</v>
      </c>
      <c r="L3" s="953" t="s">
        <v>695</v>
      </c>
      <c r="M3" s="953" t="s">
        <v>696</v>
      </c>
      <c r="N3" s="953" t="s">
        <v>697</v>
      </c>
      <c r="O3" s="953" t="s">
        <v>698</v>
      </c>
      <c r="P3" s="953" t="s">
        <v>699</v>
      </c>
      <c r="Q3" s="953" t="s">
        <v>700</v>
      </c>
      <c r="R3" s="953" t="s">
        <v>701</v>
      </c>
      <c r="S3" s="953" t="s">
        <v>702</v>
      </c>
      <c r="T3" s="953" t="s">
        <v>703</v>
      </c>
      <c r="U3" s="953" t="s">
        <v>719</v>
      </c>
      <c r="V3" s="953" t="s">
        <v>704</v>
      </c>
      <c r="W3" s="953" t="s">
        <v>705</v>
      </c>
      <c r="X3" s="953" t="s">
        <v>706</v>
      </c>
      <c r="Y3" s="954" t="s">
        <v>707</v>
      </c>
    </row>
    <row r="4" spans="2:26" ht="17.25" thickBot="1" x14ac:dyDescent="0.35">
      <c r="B4" s="1465"/>
      <c r="C4" s="955">
        <v>1</v>
      </c>
      <c r="D4" s="956">
        <v>2</v>
      </c>
      <c r="E4" s="956">
        <v>3</v>
      </c>
      <c r="F4" s="956">
        <v>4</v>
      </c>
      <c r="G4" s="956">
        <v>5</v>
      </c>
      <c r="H4" s="956">
        <v>6</v>
      </c>
      <c r="I4" s="956">
        <v>7</v>
      </c>
      <c r="J4" s="956">
        <v>8</v>
      </c>
      <c r="K4" s="956">
        <v>9</v>
      </c>
      <c r="L4" s="956">
        <v>10</v>
      </c>
      <c r="M4" s="956">
        <v>11</v>
      </c>
      <c r="N4" s="956">
        <v>12</v>
      </c>
      <c r="O4" s="956">
        <v>13</v>
      </c>
      <c r="P4" s="956">
        <v>14</v>
      </c>
      <c r="Q4" s="956">
        <v>15</v>
      </c>
      <c r="R4" s="956">
        <v>16</v>
      </c>
      <c r="S4" s="956">
        <v>17</v>
      </c>
      <c r="T4" s="956">
        <v>18</v>
      </c>
      <c r="U4" s="956">
        <v>19</v>
      </c>
      <c r="V4" s="956">
        <v>20</v>
      </c>
      <c r="W4" s="956">
        <v>21</v>
      </c>
      <c r="X4" s="956">
        <v>22</v>
      </c>
      <c r="Y4" s="957">
        <v>23</v>
      </c>
    </row>
    <row r="5" spans="2:26" x14ac:dyDescent="0.3">
      <c r="B5" s="810" t="s">
        <v>944</v>
      </c>
      <c r="C5" s="1027"/>
      <c r="D5" s="1027"/>
      <c r="E5" s="1027"/>
      <c r="F5" s="1027"/>
      <c r="G5" s="1027"/>
      <c r="H5" s="1028"/>
      <c r="I5" s="1254" t="s">
        <v>1213</v>
      </c>
      <c r="J5" s="958"/>
      <c r="K5" s="958"/>
      <c r="L5" s="958"/>
      <c r="M5" s="958"/>
      <c r="N5" s="958"/>
      <c r="O5" s="958"/>
      <c r="P5" s="958"/>
      <c r="Q5" s="958"/>
      <c r="R5" s="958"/>
      <c r="S5" s="958"/>
      <c r="T5" s="958"/>
      <c r="U5" s="958"/>
      <c r="V5" s="958"/>
      <c r="W5" s="958"/>
      <c r="X5" s="958"/>
      <c r="Y5" s="1030"/>
    </row>
    <row r="6" spans="2:26" x14ac:dyDescent="0.3">
      <c r="B6" s="811" t="s">
        <v>911</v>
      </c>
      <c r="C6" s="1031"/>
      <c r="D6" s="1031"/>
      <c r="E6" s="1031"/>
      <c r="F6" s="1031"/>
      <c r="G6" s="1031"/>
      <c r="H6" s="1036"/>
      <c r="I6" s="1254" t="s">
        <v>1213</v>
      </c>
      <c r="J6" s="959"/>
      <c r="K6" s="959"/>
      <c r="L6" s="959"/>
      <c r="M6" s="959"/>
      <c r="N6" s="959"/>
      <c r="O6" s="959"/>
      <c r="P6" s="959"/>
      <c r="Q6" s="959"/>
      <c r="R6" s="959"/>
      <c r="S6" s="959"/>
      <c r="T6" s="959"/>
      <c r="U6" s="959"/>
      <c r="V6" s="959"/>
      <c r="W6" s="959"/>
      <c r="X6" s="959"/>
      <c r="Y6" s="1033"/>
    </row>
    <row r="7" spans="2:26" x14ac:dyDescent="0.3">
      <c r="B7" s="1034" t="s">
        <v>912</v>
      </c>
      <c r="C7" s="1035"/>
      <c r="D7" s="1036"/>
      <c r="E7" s="1036"/>
      <c r="F7" s="1036"/>
      <c r="G7" s="1036"/>
      <c r="H7" s="1036"/>
      <c r="I7" s="1254" t="s">
        <v>1213</v>
      </c>
      <c r="J7" s="1039"/>
      <c r="K7" s="1039"/>
      <c r="L7" s="1039"/>
      <c r="M7" s="1039"/>
      <c r="N7" s="1039"/>
      <c r="O7" s="1039"/>
      <c r="P7" s="1039"/>
      <c r="Q7" s="1039"/>
      <c r="R7" s="1039"/>
      <c r="S7" s="1039"/>
      <c r="T7" s="1039"/>
      <c r="U7" s="1039"/>
      <c r="V7" s="1039"/>
      <c r="W7" s="1039"/>
      <c r="X7" s="1039"/>
      <c r="Y7" s="1040"/>
      <c r="Z7" s="1261"/>
    </row>
    <row r="8" spans="2:26" x14ac:dyDescent="0.3">
      <c r="B8" s="1034" t="s">
        <v>1140</v>
      </c>
      <c r="C8" s="959"/>
      <c r="D8" s="1047"/>
      <c r="E8" s="1047"/>
      <c r="F8" s="1047"/>
      <c r="G8" s="1047"/>
      <c r="H8" s="1047"/>
      <c r="I8" s="1047"/>
      <c r="J8" s="1039"/>
      <c r="K8" s="1666"/>
      <c r="L8" s="1036"/>
      <c r="M8" s="1036"/>
      <c r="N8" s="1036"/>
      <c r="O8" s="1254" t="s">
        <v>1209</v>
      </c>
      <c r="P8" s="1667"/>
      <c r="Q8" s="1036"/>
      <c r="R8" s="1032" t="s">
        <v>1141</v>
      </c>
      <c r="S8" s="1039"/>
      <c r="T8" s="1039"/>
      <c r="U8" s="1039"/>
      <c r="V8" s="1039"/>
      <c r="W8" s="1039"/>
      <c r="X8" s="1039"/>
      <c r="Y8" s="1040"/>
      <c r="Z8" s="1261"/>
    </row>
    <row r="9" spans="2:26" x14ac:dyDescent="0.3">
      <c r="B9" s="1034" t="s">
        <v>950</v>
      </c>
      <c r="C9" s="1035" t="s">
        <v>945</v>
      </c>
      <c r="D9" s="1036"/>
      <c r="E9" s="1036"/>
      <c r="F9" s="1036"/>
      <c r="G9" s="1036"/>
      <c r="H9" s="1036"/>
      <c r="I9" s="1036"/>
      <c r="J9" s="1036"/>
      <c r="K9" s="1036"/>
      <c r="L9" s="1037"/>
      <c r="M9" s="1036"/>
      <c r="N9" s="1037"/>
      <c r="O9" s="1254" t="s">
        <v>1214</v>
      </c>
      <c r="P9" s="1039"/>
      <c r="Q9" s="1039"/>
      <c r="R9" s="1039"/>
      <c r="S9" s="1039"/>
      <c r="T9" s="1039"/>
      <c r="U9" s="1039"/>
      <c r="V9" s="1039"/>
      <c r="W9" s="1039"/>
      <c r="X9" s="1039"/>
      <c r="Y9" s="1040"/>
      <c r="Z9" s="1261"/>
    </row>
    <row r="10" spans="2:26" s="1260" customFormat="1" x14ac:dyDescent="0.3">
      <c r="B10" s="1034" t="s">
        <v>923</v>
      </c>
      <c r="C10" s="1035" t="s">
        <v>920</v>
      </c>
      <c r="D10" s="1036"/>
      <c r="E10" s="1036"/>
      <c r="F10" s="1036"/>
      <c r="G10" s="1036"/>
      <c r="H10" s="1254" t="s">
        <v>1213</v>
      </c>
      <c r="I10" s="1039"/>
      <c r="J10" s="1039"/>
      <c r="K10" s="1039"/>
      <c r="L10" s="1039"/>
      <c r="M10" s="1039"/>
      <c r="N10" s="1039"/>
      <c r="O10" s="1039"/>
      <c r="P10" s="1039"/>
      <c r="Q10" s="1039"/>
      <c r="R10" s="1039"/>
      <c r="S10" s="1039"/>
      <c r="T10" s="1039"/>
      <c r="U10" s="1039"/>
      <c r="V10" s="1039"/>
      <c r="W10" s="1039"/>
      <c r="X10" s="1039"/>
      <c r="Y10" s="1040"/>
      <c r="Z10" s="1261"/>
    </row>
    <row r="11" spans="2:26" s="1260" customFormat="1" x14ac:dyDescent="0.3">
      <c r="B11" s="1034" t="s">
        <v>922</v>
      </c>
      <c r="C11" s="1035" t="s">
        <v>920</v>
      </c>
      <c r="D11" s="1036"/>
      <c r="E11" s="1036"/>
      <c r="F11" s="1036"/>
      <c r="G11" s="1036"/>
      <c r="H11" s="1036"/>
      <c r="I11" s="1036"/>
      <c r="J11" s="1036"/>
      <c r="K11" s="1036"/>
      <c r="L11" s="1036"/>
      <c r="M11" s="1254" t="s">
        <v>1213</v>
      </c>
      <c r="N11" s="1039"/>
      <c r="O11" s="1039"/>
      <c r="P11" s="1039"/>
      <c r="Q11" s="1039"/>
      <c r="R11" s="1039"/>
      <c r="S11" s="1039"/>
      <c r="T11" s="1039"/>
      <c r="U11" s="1039"/>
      <c r="V11" s="1039"/>
      <c r="W11" s="1039"/>
      <c r="X11" s="1039"/>
      <c r="Y11" s="1040"/>
      <c r="Z11" s="1261"/>
    </row>
    <row r="12" spans="2:26" s="1260" customFormat="1" x14ac:dyDescent="0.3">
      <c r="B12" s="1034" t="s">
        <v>921</v>
      </c>
      <c r="C12" s="1035" t="s">
        <v>920</v>
      </c>
      <c r="D12" s="1036"/>
      <c r="E12" s="1036"/>
      <c r="F12" s="1036"/>
      <c r="G12" s="1036"/>
      <c r="H12" s="1037"/>
      <c r="I12" s="1036"/>
      <c r="J12" s="1036"/>
      <c r="K12" s="1036"/>
      <c r="L12" s="1036"/>
      <c r="M12" s="1254" t="s">
        <v>1213</v>
      </c>
      <c r="N12" s="1039"/>
      <c r="O12" s="1039"/>
      <c r="P12" s="1039"/>
      <c r="Q12" s="1039"/>
      <c r="R12" s="1039"/>
      <c r="S12" s="1039"/>
      <c r="T12" s="1039"/>
      <c r="U12" s="1039"/>
      <c r="V12" s="1039"/>
      <c r="W12" s="1039"/>
      <c r="X12" s="1039"/>
      <c r="Y12" s="1040"/>
      <c r="Z12" s="1261"/>
    </row>
    <row r="13" spans="2:26" s="1260" customFormat="1" x14ac:dyDescent="0.3">
      <c r="B13" s="1034" t="s">
        <v>924</v>
      </c>
      <c r="C13" s="1035" t="s">
        <v>920</v>
      </c>
      <c r="D13" s="1036"/>
      <c r="E13" s="1036"/>
      <c r="F13" s="1036"/>
      <c r="G13" s="1036"/>
      <c r="H13" s="1036"/>
      <c r="I13" s="1036"/>
      <c r="J13" s="1036"/>
      <c r="K13" s="1036"/>
      <c r="L13" s="1036"/>
      <c r="M13" s="1254" t="s">
        <v>1213</v>
      </c>
      <c r="N13" s="1039"/>
      <c r="O13" s="1039"/>
      <c r="P13" s="1039"/>
      <c r="Q13" s="1039"/>
      <c r="R13" s="1039"/>
      <c r="S13" s="1039"/>
      <c r="T13" s="1039"/>
      <c r="U13" s="1039"/>
      <c r="V13" s="1039"/>
      <c r="W13" s="1039"/>
      <c r="X13" s="1039"/>
      <c r="Y13" s="1040"/>
      <c r="Z13" s="1261"/>
    </row>
    <row r="14" spans="2:26" s="1260" customFormat="1" x14ac:dyDescent="0.3">
      <c r="B14" s="1034" t="s">
        <v>913</v>
      </c>
      <c r="C14" s="1036" t="s">
        <v>951</v>
      </c>
      <c r="D14" s="1036"/>
      <c r="E14" s="1036"/>
      <c r="F14" s="1036"/>
      <c r="G14" s="1036"/>
      <c r="H14" s="1036"/>
      <c r="I14" s="1254" t="s">
        <v>1213</v>
      </c>
      <c r="J14" s="1039"/>
      <c r="K14" s="1039"/>
      <c r="L14" s="1039"/>
      <c r="M14" s="1039"/>
      <c r="N14" s="1039"/>
      <c r="O14" s="1039"/>
      <c r="P14" s="1039"/>
      <c r="Q14" s="1039"/>
      <c r="R14" s="1039"/>
      <c r="S14" s="1039"/>
      <c r="T14" s="1039"/>
      <c r="U14" s="1039"/>
      <c r="V14" s="1039"/>
      <c r="W14" s="1039"/>
      <c r="X14" s="1039"/>
      <c r="Y14" s="1040"/>
      <c r="Z14" s="1261"/>
    </row>
    <row r="15" spans="2:26" s="1260" customFormat="1" x14ac:dyDescent="0.3">
      <c r="B15" s="1034" t="s">
        <v>914</v>
      </c>
      <c r="C15" s="1036" t="s">
        <v>951</v>
      </c>
      <c r="D15" s="1036"/>
      <c r="E15" s="1036"/>
      <c r="F15" s="1036"/>
      <c r="G15" s="1036"/>
      <c r="H15" s="1036"/>
      <c r="I15" s="1254" t="s">
        <v>1213</v>
      </c>
      <c r="J15" s="1039"/>
      <c r="K15" s="1039"/>
      <c r="L15" s="1039"/>
      <c r="M15" s="1039"/>
      <c r="N15" s="1039"/>
      <c r="O15" s="1039"/>
      <c r="P15" s="1039"/>
      <c r="Q15" s="1039"/>
      <c r="R15" s="1039"/>
      <c r="S15" s="1039"/>
      <c r="T15" s="1039"/>
      <c r="U15" s="1039"/>
      <c r="V15" s="1039"/>
      <c r="W15" s="1039"/>
      <c r="X15" s="1039"/>
      <c r="Y15" s="1040"/>
      <c r="Z15" s="1261"/>
    </row>
    <row r="16" spans="2:26" s="1260" customFormat="1" x14ac:dyDescent="0.3">
      <c r="B16" s="1034" t="s">
        <v>915</v>
      </c>
      <c r="C16" s="1036" t="s">
        <v>951</v>
      </c>
      <c r="D16" s="1036"/>
      <c r="E16" s="1036"/>
      <c r="F16" s="1036"/>
      <c r="G16" s="1254" t="s">
        <v>1213</v>
      </c>
      <c r="H16" s="1255"/>
      <c r="I16" s="1039"/>
      <c r="J16" s="1039"/>
      <c r="K16" s="1039"/>
      <c r="L16" s="1039"/>
      <c r="M16" s="1039"/>
      <c r="N16" s="1039"/>
      <c r="O16" s="1039"/>
      <c r="P16" s="1039"/>
      <c r="Q16" s="1039"/>
      <c r="R16" s="1039"/>
      <c r="S16" s="1039"/>
      <c r="T16" s="1039"/>
      <c r="U16" s="1039"/>
      <c r="V16" s="1039"/>
      <c r="W16" s="1039"/>
      <c r="X16" s="1039"/>
      <c r="Y16" s="1040"/>
      <c r="Z16" s="1261"/>
    </row>
    <row r="17" spans="2:26" x14ac:dyDescent="0.3">
      <c r="B17" s="1042" t="s">
        <v>910</v>
      </c>
      <c r="C17" s="1043"/>
      <c r="D17" s="1044"/>
      <c r="E17" s="1044"/>
      <c r="F17" s="1044"/>
      <c r="G17" s="1044"/>
      <c r="H17" s="1045"/>
      <c r="I17" s="1044"/>
      <c r="J17" s="1044"/>
      <c r="K17" s="1314" t="s">
        <v>946</v>
      </c>
      <c r="L17" s="1047"/>
      <c r="M17" s="1047"/>
      <c r="N17" s="1047"/>
      <c r="O17" s="1047"/>
      <c r="P17" s="1047"/>
      <c r="Q17" s="1047"/>
      <c r="R17" s="1047"/>
      <c r="S17" s="1047"/>
      <c r="T17" s="1047"/>
      <c r="U17" s="1047"/>
      <c r="V17" s="1047"/>
      <c r="W17" s="1047"/>
      <c r="X17" s="1047"/>
      <c r="Y17" s="1048"/>
      <c r="Z17" s="1261"/>
    </row>
    <row r="18" spans="2:26" x14ac:dyDescent="0.3">
      <c r="B18" s="1042" t="s">
        <v>955</v>
      </c>
      <c r="C18" s="1256"/>
      <c r="D18" s="1045"/>
      <c r="E18" s="1044"/>
      <c r="F18" s="1044"/>
      <c r="G18" s="1044"/>
      <c r="H18" s="1314" t="s">
        <v>946</v>
      </c>
      <c r="I18" s="1047"/>
      <c r="J18" s="1047"/>
      <c r="K18" s="1047"/>
      <c r="L18" s="1047"/>
      <c r="M18" s="1047"/>
      <c r="N18" s="1047"/>
      <c r="O18" s="1047"/>
      <c r="P18" s="1047"/>
      <c r="Q18" s="1047"/>
      <c r="R18" s="1047"/>
      <c r="S18" s="1047"/>
      <c r="T18" s="1047"/>
      <c r="U18" s="1047"/>
      <c r="V18" s="1047"/>
      <c r="W18" s="1047"/>
      <c r="X18" s="1047"/>
      <c r="Y18" s="1048"/>
      <c r="Z18" s="1261"/>
    </row>
    <row r="19" spans="2:26" x14ac:dyDescent="0.3">
      <c r="B19" s="811" t="s">
        <v>916</v>
      </c>
      <c r="C19" s="959"/>
      <c r="D19" s="1047"/>
      <c r="E19" s="1047"/>
      <c r="F19" s="1047"/>
      <c r="G19" s="1047"/>
      <c r="H19" s="1047"/>
      <c r="I19" s="1052" t="s">
        <v>956</v>
      </c>
      <c r="J19" s="1050"/>
      <c r="K19" s="1050"/>
      <c r="L19" s="1045"/>
      <c r="M19" s="1314" t="s">
        <v>946</v>
      </c>
      <c r="N19" s="1052" t="s">
        <v>957</v>
      </c>
      <c r="O19" s="1050"/>
      <c r="P19" s="1050"/>
      <c r="Q19" s="1050"/>
      <c r="R19" s="1050"/>
      <c r="S19" s="1046" t="s">
        <v>946</v>
      </c>
      <c r="U19" s="959"/>
      <c r="V19" s="959"/>
      <c r="W19" s="959"/>
      <c r="X19" s="959"/>
      <c r="Y19" s="1033"/>
    </row>
    <row r="20" spans="2:26" x14ac:dyDescent="0.3">
      <c r="B20" s="811" t="s">
        <v>917</v>
      </c>
      <c r="C20" s="959"/>
      <c r="D20" s="1047"/>
      <c r="E20" s="1047"/>
      <c r="F20" s="1047"/>
      <c r="G20" s="1047"/>
      <c r="H20" s="1047"/>
      <c r="I20" s="1052" t="s">
        <v>956</v>
      </c>
      <c r="J20" s="1050"/>
      <c r="K20" s="1050"/>
      <c r="L20" s="1045"/>
      <c r="M20" s="1314" t="s">
        <v>946</v>
      </c>
      <c r="N20" s="1052" t="s">
        <v>957</v>
      </c>
      <c r="O20" s="1050"/>
      <c r="P20" s="1050"/>
      <c r="Q20" s="1050"/>
      <c r="R20" s="1050"/>
      <c r="S20" s="1046" t="s">
        <v>946</v>
      </c>
      <c r="T20" s="959"/>
      <c r="U20" s="959"/>
      <c r="V20" s="959"/>
      <c r="W20" s="959"/>
      <c r="X20" s="959"/>
      <c r="Y20" s="1033"/>
    </row>
    <row r="21" spans="2:26" x14ac:dyDescent="0.3">
      <c r="B21" s="811" t="s">
        <v>918</v>
      </c>
      <c r="C21" s="959"/>
      <c r="D21" s="1047"/>
      <c r="E21" s="1047"/>
      <c r="F21" s="1047"/>
      <c r="G21" s="1047"/>
      <c r="H21" s="1047"/>
      <c r="I21" s="1052" t="s">
        <v>956</v>
      </c>
      <c r="J21" s="1050"/>
      <c r="K21" s="1050"/>
      <c r="L21" s="1045"/>
      <c r="M21" s="1314" t="s">
        <v>946</v>
      </c>
      <c r="N21" s="959"/>
      <c r="O21" s="959"/>
      <c r="P21" s="959"/>
      <c r="Q21" s="1052" t="s">
        <v>957</v>
      </c>
      <c r="R21" s="1050"/>
      <c r="S21" s="1050"/>
      <c r="T21" s="1050"/>
      <c r="U21" s="1050"/>
      <c r="V21" s="1050"/>
      <c r="W21" s="1046" t="s">
        <v>946</v>
      </c>
      <c r="X21" s="959"/>
      <c r="Y21" s="1033"/>
    </row>
    <row r="22" spans="2:26" x14ac:dyDescent="0.3">
      <c r="B22" s="811" t="s">
        <v>919</v>
      </c>
      <c r="C22" s="959"/>
      <c r="D22" s="1047"/>
      <c r="E22" s="1047"/>
      <c r="F22" s="1047"/>
      <c r="G22" s="1047"/>
      <c r="H22" s="1047"/>
      <c r="I22" s="1052" t="s">
        <v>956</v>
      </c>
      <c r="J22" s="1050"/>
      <c r="K22" s="1050"/>
      <c r="L22" s="1045"/>
      <c r="M22" s="1314" t="s">
        <v>946</v>
      </c>
      <c r="N22" s="959"/>
      <c r="O22" s="959"/>
      <c r="P22" s="959"/>
      <c r="Q22" s="1052" t="s">
        <v>957</v>
      </c>
      <c r="R22" s="1050"/>
      <c r="S22" s="1050"/>
      <c r="T22" s="1050"/>
      <c r="U22" s="1050"/>
      <c r="V22" s="1050"/>
      <c r="W22" s="1046" t="s">
        <v>946</v>
      </c>
      <c r="X22" s="959"/>
      <c r="Y22" s="1033"/>
    </row>
    <row r="23" spans="2:26" x14ac:dyDescent="0.3">
      <c r="B23" s="1466" t="s">
        <v>926</v>
      </c>
      <c r="C23" s="1053" t="s">
        <v>958</v>
      </c>
      <c r="D23" s="1258"/>
      <c r="E23" s="1054"/>
      <c r="F23" s="1054"/>
      <c r="G23" s="1054"/>
      <c r="H23" s="1054"/>
      <c r="I23" s="1054"/>
      <c r="J23" s="1054"/>
      <c r="K23" s="1054"/>
      <c r="L23" s="1055" t="s">
        <v>946</v>
      </c>
      <c r="M23" s="1056"/>
      <c r="N23" s="1056"/>
      <c r="O23" s="1056"/>
      <c r="P23" s="1056"/>
      <c r="Q23" s="1056"/>
      <c r="R23" s="1056"/>
      <c r="S23" s="1056"/>
      <c r="T23" s="1056"/>
      <c r="U23" s="1056"/>
      <c r="V23" s="1056"/>
      <c r="W23" s="1056"/>
      <c r="X23" s="1056"/>
      <c r="Y23" s="1057"/>
    </row>
    <row r="24" spans="2:26" x14ac:dyDescent="0.3">
      <c r="B24" s="1467"/>
      <c r="C24" s="1058" t="s">
        <v>959</v>
      </c>
      <c r="D24" s="1059"/>
      <c r="E24" s="1059"/>
      <c r="F24" s="1059"/>
      <c r="G24" s="1059"/>
      <c r="H24" s="1059"/>
      <c r="I24" s="1059"/>
      <c r="J24" s="1059"/>
      <c r="K24" s="1059"/>
      <c r="L24" s="1059"/>
      <c r="M24" s="1059"/>
      <c r="N24" s="1059"/>
      <c r="O24" s="1059"/>
      <c r="P24" s="1059"/>
      <c r="Q24" s="1059"/>
      <c r="R24" s="1059"/>
      <c r="S24" s="1059"/>
      <c r="T24" s="1059"/>
      <c r="U24" s="1060" t="s">
        <v>946</v>
      </c>
      <c r="V24" s="1061"/>
      <c r="W24" s="1061"/>
      <c r="X24" s="1061"/>
      <c r="Y24" s="1062"/>
    </row>
    <row r="25" spans="2:26" x14ac:dyDescent="0.3">
      <c r="B25" s="1468"/>
      <c r="C25" s="1063"/>
      <c r="D25" s="1064"/>
      <c r="E25" s="1064"/>
      <c r="F25" s="1064"/>
      <c r="G25" s="1064"/>
      <c r="H25" s="1064"/>
      <c r="I25" s="1064"/>
      <c r="J25" s="1064"/>
      <c r="K25" s="1064"/>
      <c r="L25" s="1065" t="s">
        <v>960</v>
      </c>
      <c r="M25" s="1066"/>
      <c r="N25" s="1066"/>
      <c r="O25" s="1066"/>
      <c r="P25" s="1066"/>
      <c r="Q25" s="1066"/>
      <c r="R25" s="1066"/>
      <c r="S25" s="1066"/>
      <c r="T25" s="1066"/>
      <c r="U25" s="1067" t="s">
        <v>946</v>
      </c>
      <c r="V25" s="1064"/>
      <c r="W25" s="1064"/>
      <c r="X25" s="1064"/>
      <c r="Y25" s="1068"/>
    </row>
    <row r="26" spans="2:26" x14ac:dyDescent="0.3">
      <c r="B26" s="1466" t="s">
        <v>930</v>
      </c>
      <c r="C26" s="1069"/>
      <c r="D26" s="1056"/>
      <c r="E26" s="1056"/>
      <c r="F26" s="1056"/>
      <c r="G26" s="1056"/>
      <c r="H26" s="1070" t="s">
        <v>961</v>
      </c>
      <c r="I26" s="1054"/>
      <c r="J26" s="1054"/>
      <c r="K26" s="1054"/>
      <c r="L26" s="1054"/>
      <c r="M26" s="1054"/>
      <c r="N26" s="1054"/>
      <c r="O26" s="1054"/>
      <c r="P26" s="1054"/>
      <c r="Q26" s="1055" t="s">
        <v>946</v>
      </c>
      <c r="R26" s="1056"/>
      <c r="S26" s="1071"/>
      <c r="T26" s="1056"/>
      <c r="U26" s="1056"/>
      <c r="V26" s="1056"/>
      <c r="W26" s="1056"/>
      <c r="X26" s="1056"/>
      <c r="Y26" s="1057"/>
    </row>
    <row r="27" spans="2:26" x14ac:dyDescent="0.3">
      <c r="B27" s="1467"/>
      <c r="C27" s="1058" t="s">
        <v>959</v>
      </c>
      <c r="D27" s="1059"/>
      <c r="E27" s="1059"/>
      <c r="F27" s="1059"/>
      <c r="G27" s="1059"/>
      <c r="H27" s="1059"/>
      <c r="I27" s="1059"/>
      <c r="J27" s="1059"/>
      <c r="K27" s="1059"/>
      <c r="L27" s="1059"/>
      <c r="M27" s="1059"/>
      <c r="N27" s="1059"/>
      <c r="O27" s="1059"/>
      <c r="P27" s="1059"/>
      <c r="Q27" s="1059"/>
      <c r="R27" s="1059"/>
      <c r="S27" s="1059"/>
      <c r="T27" s="1059"/>
      <c r="U27" s="1060" t="s">
        <v>946</v>
      </c>
      <c r="V27" s="1061"/>
      <c r="W27" s="1061"/>
      <c r="X27" s="1061"/>
      <c r="Y27" s="1062"/>
    </row>
    <row r="28" spans="2:26" x14ac:dyDescent="0.3">
      <c r="B28" s="1468"/>
      <c r="C28" s="1063"/>
      <c r="D28" s="1064"/>
      <c r="E28" s="1064"/>
      <c r="F28" s="1064"/>
      <c r="G28" s="1064"/>
      <c r="H28" s="1064"/>
      <c r="I28" s="1064"/>
      <c r="J28" s="1064"/>
      <c r="K28" s="1064"/>
      <c r="L28" s="1065" t="s">
        <v>960</v>
      </c>
      <c r="M28" s="1065"/>
      <c r="N28" s="1066"/>
      <c r="O28" s="1066"/>
      <c r="P28" s="1066"/>
      <c r="Q28" s="1066"/>
      <c r="R28" s="1066"/>
      <c r="S28" s="1066"/>
      <c r="T28" s="1066"/>
      <c r="U28" s="1067" t="s">
        <v>946</v>
      </c>
      <c r="V28" s="1064"/>
      <c r="W28" s="1064"/>
      <c r="X28" s="1064"/>
      <c r="Y28" s="1068"/>
    </row>
    <row r="29" spans="2:26" x14ac:dyDescent="0.3">
      <c r="B29" s="1466" t="s">
        <v>931</v>
      </c>
      <c r="C29" s="1069"/>
      <c r="D29" s="1056"/>
      <c r="E29" s="1056"/>
      <c r="F29" s="1056"/>
      <c r="G29" s="1056"/>
      <c r="H29" s="1056"/>
      <c r="I29" s="1056"/>
      <c r="J29" s="1070" t="s">
        <v>962</v>
      </c>
      <c r="K29" s="1054"/>
      <c r="L29" s="1054"/>
      <c r="M29" s="1054"/>
      <c r="N29" s="1054"/>
      <c r="O29" s="1054"/>
      <c r="P29" s="1055" t="s">
        <v>946</v>
      </c>
      <c r="Q29" s="1056"/>
      <c r="R29" s="1056"/>
      <c r="S29" s="1071"/>
      <c r="T29" s="1056"/>
      <c r="U29" s="1056"/>
      <c r="V29" s="1056"/>
      <c r="W29" s="1056"/>
      <c r="X29" s="1056"/>
      <c r="Y29" s="1057"/>
    </row>
    <row r="30" spans="2:26" x14ac:dyDescent="0.3">
      <c r="B30" s="1467"/>
      <c r="C30" s="1058" t="s">
        <v>959</v>
      </c>
      <c r="D30" s="1059"/>
      <c r="E30" s="1059"/>
      <c r="F30" s="1059"/>
      <c r="G30" s="1059"/>
      <c r="H30" s="1059"/>
      <c r="I30" s="1059"/>
      <c r="J30" s="1059"/>
      <c r="K30" s="1059"/>
      <c r="L30" s="1059"/>
      <c r="M30" s="1059"/>
      <c r="N30" s="1059"/>
      <c r="O30" s="1059"/>
      <c r="P30" s="1059"/>
      <c r="Q30" s="1059"/>
      <c r="R30" s="1059"/>
      <c r="S30" s="1059"/>
      <c r="T30" s="1059"/>
      <c r="U30" s="1059"/>
      <c r="V30" s="1059"/>
      <c r="W30" s="1059"/>
      <c r="X30" s="1059"/>
      <c r="Y30" s="1072" t="s">
        <v>946</v>
      </c>
    </row>
    <row r="31" spans="2:26" x14ac:dyDescent="0.3">
      <c r="B31" s="1468"/>
      <c r="C31" s="1063"/>
      <c r="D31" s="1064"/>
      <c r="E31" s="1064"/>
      <c r="F31" s="1064"/>
      <c r="G31" s="1064"/>
      <c r="H31" s="1064"/>
      <c r="I31" s="1064"/>
      <c r="J31" s="1064"/>
      <c r="K31" s="1064"/>
      <c r="L31" s="1064"/>
      <c r="M31" s="1064"/>
      <c r="N31" s="1064"/>
      <c r="O31" s="1064"/>
      <c r="P31" s="1065" t="s">
        <v>960</v>
      </c>
      <c r="Q31" s="1066"/>
      <c r="R31" s="1066"/>
      <c r="S31" s="1066"/>
      <c r="T31" s="1066"/>
      <c r="U31" s="1066"/>
      <c r="V31" s="1066"/>
      <c r="W31" s="1066"/>
      <c r="X31" s="1066"/>
      <c r="Y31" s="1073" t="s">
        <v>946</v>
      </c>
    </row>
    <row r="32" spans="2:26" x14ac:dyDescent="0.3">
      <c r="B32" s="1466" t="s">
        <v>932</v>
      </c>
      <c r="C32" s="1069"/>
      <c r="D32" s="1056"/>
      <c r="E32" s="1056"/>
      <c r="F32" s="1056"/>
      <c r="G32" s="1056"/>
      <c r="H32" s="1056"/>
      <c r="I32" s="1056"/>
      <c r="J32" s="1070" t="s">
        <v>963</v>
      </c>
      <c r="K32" s="1054"/>
      <c r="L32" s="1054"/>
      <c r="M32" s="1054"/>
      <c r="N32" s="1054"/>
      <c r="O32" s="1054"/>
      <c r="P32" s="1055" t="s">
        <v>946</v>
      </c>
      <c r="Q32" s="1056"/>
      <c r="R32" s="1056"/>
      <c r="S32" s="1071"/>
      <c r="T32" s="1056"/>
      <c r="U32" s="1056"/>
      <c r="V32" s="1056"/>
      <c r="W32" s="1056"/>
      <c r="X32" s="1056"/>
      <c r="Y32" s="1057"/>
    </row>
    <row r="33" spans="2:25" x14ac:dyDescent="0.3">
      <c r="B33" s="1467"/>
      <c r="C33" s="1058" t="s">
        <v>959</v>
      </c>
      <c r="D33" s="1059"/>
      <c r="E33" s="1059"/>
      <c r="F33" s="1059"/>
      <c r="G33" s="1059"/>
      <c r="H33" s="1059"/>
      <c r="I33" s="1059"/>
      <c r="J33" s="1059"/>
      <c r="K33" s="1059"/>
      <c r="L33" s="1059"/>
      <c r="M33" s="1059"/>
      <c r="N33" s="1059"/>
      <c r="O33" s="1059"/>
      <c r="P33" s="1059"/>
      <c r="Q33" s="1059"/>
      <c r="R33" s="1059"/>
      <c r="S33" s="1059"/>
      <c r="T33" s="1059"/>
      <c r="U33" s="1059"/>
      <c r="V33" s="1059"/>
      <c r="W33" s="1059"/>
      <c r="X33" s="1059"/>
      <c r="Y33" s="1072" t="s">
        <v>946</v>
      </c>
    </row>
    <row r="34" spans="2:25" x14ac:dyDescent="0.3">
      <c r="B34" s="1468"/>
      <c r="C34" s="1063"/>
      <c r="D34" s="1064"/>
      <c r="E34" s="1064"/>
      <c r="F34" s="1064"/>
      <c r="G34" s="1064"/>
      <c r="H34" s="1064"/>
      <c r="I34" s="1064"/>
      <c r="J34" s="1064"/>
      <c r="K34" s="1064"/>
      <c r="L34" s="1064"/>
      <c r="M34" s="1064"/>
      <c r="N34" s="1064"/>
      <c r="O34" s="1064"/>
      <c r="P34" s="1065" t="s">
        <v>960</v>
      </c>
      <c r="Q34" s="1066"/>
      <c r="R34" s="1066"/>
      <c r="S34" s="1066"/>
      <c r="T34" s="1066"/>
      <c r="U34" s="1066"/>
      <c r="V34" s="1066"/>
      <c r="W34" s="1066"/>
      <c r="X34" s="1066"/>
      <c r="Y34" s="1073" t="s">
        <v>946</v>
      </c>
    </row>
    <row r="35" spans="2:25" x14ac:dyDescent="0.3">
      <c r="B35" s="811" t="s">
        <v>925</v>
      </c>
      <c r="C35" s="1074"/>
      <c r="D35" s="959"/>
      <c r="E35" s="959"/>
      <c r="F35" s="959"/>
      <c r="G35" s="959"/>
      <c r="H35" s="959"/>
      <c r="I35" s="959"/>
      <c r="J35" s="959"/>
      <c r="K35" s="959"/>
      <c r="L35" s="959"/>
      <c r="M35" s="959"/>
      <c r="N35" s="959"/>
      <c r="O35" s="959"/>
      <c r="P35" s="959"/>
      <c r="Q35" s="959"/>
      <c r="R35" s="959"/>
      <c r="S35" s="959"/>
      <c r="T35" s="1075"/>
      <c r="U35" s="1257" t="s">
        <v>1129</v>
      </c>
      <c r="V35" s="959"/>
      <c r="W35" s="959"/>
      <c r="X35" s="959"/>
      <c r="Y35" s="1033"/>
    </row>
    <row r="36" spans="2:25" x14ac:dyDescent="0.3">
      <c r="B36" s="811" t="s">
        <v>927</v>
      </c>
      <c r="C36" s="1074"/>
      <c r="D36" s="959"/>
      <c r="E36" s="959"/>
      <c r="F36" s="959"/>
      <c r="G36" s="959"/>
      <c r="H36" s="959"/>
      <c r="I36" s="959"/>
      <c r="J36" s="959"/>
      <c r="K36" s="959"/>
      <c r="L36" s="959"/>
      <c r="M36" s="959"/>
      <c r="N36" s="959"/>
      <c r="O36" s="959"/>
      <c r="P36" s="959"/>
      <c r="Q36" s="959"/>
      <c r="R36" s="959"/>
      <c r="S36" s="959"/>
      <c r="T36" s="1075"/>
      <c r="U36" s="1257" t="s">
        <v>1129</v>
      </c>
      <c r="V36" s="959"/>
      <c r="W36" s="959"/>
      <c r="X36" s="959"/>
      <c r="Y36" s="1033"/>
    </row>
    <row r="37" spans="2:25" x14ac:dyDescent="0.3">
      <c r="B37" s="811" t="s">
        <v>928</v>
      </c>
      <c r="C37" s="1074"/>
      <c r="D37" s="959"/>
      <c r="E37" s="959"/>
      <c r="F37" s="959"/>
      <c r="G37" s="959"/>
      <c r="H37" s="959"/>
      <c r="I37" s="959"/>
      <c r="J37" s="959"/>
      <c r="K37" s="959"/>
      <c r="L37" s="959"/>
      <c r="M37" s="959"/>
      <c r="N37" s="959"/>
      <c r="O37" s="959"/>
      <c r="P37" s="959"/>
      <c r="Q37" s="959"/>
      <c r="R37" s="959"/>
      <c r="S37" s="959"/>
      <c r="T37" s="959"/>
      <c r="U37" s="959"/>
      <c r="V37" s="959"/>
      <c r="W37" s="959"/>
      <c r="X37" s="1077"/>
      <c r="Y37" s="1078" t="s">
        <v>709</v>
      </c>
    </row>
    <row r="38" spans="2:25" ht="17.25" thickBot="1" x14ac:dyDescent="0.35">
      <c r="B38" s="813" t="s">
        <v>929</v>
      </c>
      <c r="C38" s="1079"/>
      <c r="D38" s="1080"/>
      <c r="E38" s="1080"/>
      <c r="F38" s="1080"/>
      <c r="G38" s="1080"/>
      <c r="H38" s="1080"/>
      <c r="I38" s="1080"/>
      <c r="J38" s="1080"/>
      <c r="K38" s="1080"/>
      <c r="L38" s="1080"/>
      <c r="M38" s="1080"/>
      <c r="N38" s="1080"/>
      <c r="O38" s="1080"/>
      <c r="P38" s="1080"/>
      <c r="Q38" s="1080"/>
      <c r="R38" s="1080"/>
      <c r="S38" s="1080"/>
      <c r="T38" s="1080"/>
      <c r="U38" s="1080"/>
      <c r="V38" s="1080"/>
      <c r="W38" s="1080"/>
      <c r="X38" s="1081"/>
      <c r="Y38" s="1082" t="s">
        <v>709</v>
      </c>
    </row>
  </sheetData>
  <mergeCells count="5">
    <mergeCell ref="B3:B4"/>
    <mergeCell ref="B23:B25"/>
    <mergeCell ref="B26:B28"/>
    <mergeCell ref="B29:B31"/>
    <mergeCell ref="B32:B34"/>
  </mergeCells>
  <phoneticPr fontId="2" type="noConversion"/>
  <pageMargins left="0.25" right="0.25" top="0.75" bottom="0.75" header="0.3" footer="0.3"/>
  <pageSetup paperSize="9" scale="52" fitToHeight="0" orientation="landscape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C483-84E2-4C87-8F3F-C298D64C68B3}">
  <sheetPr>
    <tabColor rgb="FFC00000"/>
    <pageSetUpPr fitToPage="1"/>
  </sheetPr>
  <dimension ref="B2:Z38"/>
  <sheetViews>
    <sheetView zoomScale="85" zoomScaleNormal="85" zoomScaleSheetLayoutView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I18" sqref="I18"/>
    </sheetView>
  </sheetViews>
  <sheetFormatPr defaultRowHeight="16.5" x14ac:dyDescent="0.3"/>
  <cols>
    <col min="1" max="1" width="4.875" style="103" customWidth="1"/>
    <col min="2" max="2" width="43.875" style="103" customWidth="1"/>
    <col min="3" max="25" width="8.875" style="103" customWidth="1"/>
    <col min="26" max="16384" width="9" style="103"/>
  </cols>
  <sheetData>
    <row r="2" spans="2:26" ht="23.25" customHeight="1" thickBot="1" x14ac:dyDescent="0.35">
      <c r="B2" s="1252" t="s">
        <v>942</v>
      </c>
      <c r="Y2" s="1253" t="s">
        <v>1139</v>
      </c>
    </row>
    <row r="3" spans="2:26" x14ac:dyDescent="0.3">
      <c r="B3" s="1464" t="s">
        <v>949</v>
      </c>
      <c r="C3" s="952" t="s">
        <v>687</v>
      </c>
      <c r="D3" s="953" t="s">
        <v>688</v>
      </c>
      <c r="E3" s="953" t="s">
        <v>689</v>
      </c>
      <c r="F3" s="953" t="s">
        <v>690</v>
      </c>
      <c r="G3" s="953" t="s">
        <v>691</v>
      </c>
      <c r="H3" s="953" t="s">
        <v>718</v>
      </c>
      <c r="I3" s="953" t="s">
        <v>692</v>
      </c>
      <c r="J3" s="953" t="s">
        <v>693</v>
      </c>
      <c r="K3" s="953" t="s">
        <v>694</v>
      </c>
      <c r="L3" s="953" t="s">
        <v>695</v>
      </c>
      <c r="M3" s="953" t="s">
        <v>696</v>
      </c>
      <c r="N3" s="953" t="s">
        <v>697</v>
      </c>
      <c r="O3" s="953" t="s">
        <v>698</v>
      </c>
      <c r="P3" s="953" t="s">
        <v>699</v>
      </c>
      <c r="Q3" s="953" t="s">
        <v>700</v>
      </c>
      <c r="R3" s="953" t="s">
        <v>701</v>
      </c>
      <c r="S3" s="953" t="s">
        <v>702</v>
      </c>
      <c r="T3" s="953" t="s">
        <v>703</v>
      </c>
      <c r="U3" s="953" t="s">
        <v>719</v>
      </c>
      <c r="V3" s="953" t="s">
        <v>704</v>
      </c>
      <c r="W3" s="953" t="s">
        <v>705</v>
      </c>
      <c r="X3" s="953" t="s">
        <v>706</v>
      </c>
      <c r="Y3" s="954" t="s">
        <v>707</v>
      </c>
    </row>
    <row r="4" spans="2:26" ht="17.25" thickBot="1" x14ac:dyDescent="0.35">
      <c r="B4" s="1465"/>
      <c r="C4" s="955">
        <v>1</v>
      </c>
      <c r="D4" s="956">
        <v>2</v>
      </c>
      <c r="E4" s="956">
        <v>3</v>
      </c>
      <c r="F4" s="956">
        <v>4</v>
      </c>
      <c r="G4" s="956">
        <v>5</v>
      </c>
      <c r="H4" s="956">
        <v>6</v>
      </c>
      <c r="I4" s="956">
        <v>7</v>
      </c>
      <c r="J4" s="956">
        <v>8</v>
      </c>
      <c r="K4" s="956">
        <v>9</v>
      </c>
      <c r="L4" s="956">
        <v>10</v>
      </c>
      <c r="M4" s="956">
        <v>11</v>
      </c>
      <c r="N4" s="956">
        <v>12</v>
      </c>
      <c r="O4" s="956">
        <v>13</v>
      </c>
      <c r="P4" s="956">
        <v>14</v>
      </c>
      <c r="Q4" s="956">
        <v>15</v>
      </c>
      <c r="R4" s="956">
        <v>16</v>
      </c>
      <c r="S4" s="956">
        <v>17</v>
      </c>
      <c r="T4" s="956">
        <v>18</v>
      </c>
      <c r="U4" s="956">
        <v>19</v>
      </c>
      <c r="V4" s="956">
        <v>20</v>
      </c>
      <c r="W4" s="956">
        <v>21</v>
      </c>
      <c r="X4" s="956">
        <v>22</v>
      </c>
      <c r="Y4" s="957">
        <v>23</v>
      </c>
    </row>
    <row r="5" spans="2:26" x14ac:dyDescent="0.3">
      <c r="B5" s="810" t="s">
        <v>944</v>
      </c>
      <c r="C5" s="1027"/>
      <c r="D5" s="1027"/>
      <c r="E5" s="1027"/>
      <c r="F5" s="1027"/>
      <c r="G5" s="1027"/>
      <c r="H5" s="1028"/>
      <c r="I5" s="1254" t="s">
        <v>1128</v>
      </c>
      <c r="J5" s="958"/>
      <c r="K5" s="958"/>
      <c r="L5" s="958"/>
      <c r="M5" s="958"/>
      <c r="N5" s="958"/>
      <c r="O5" s="958"/>
      <c r="P5" s="958"/>
      <c r="Q5" s="958"/>
      <c r="R5" s="958"/>
      <c r="S5" s="958"/>
      <c r="T5" s="958"/>
      <c r="U5" s="958"/>
      <c r="V5" s="958"/>
      <c r="W5" s="958"/>
      <c r="X5" s="958"/>
      <c r="Y5" s="1030"/>
    </row>
    <row r="6" spans="2:26" x14ac:dyDescent="0.3">
      <c r="B6" s="811" t="s">
        <v>911</v>
      </c>
      <c r="C6" s="1031"/>
      <c r="D6" s="1031"/>
      <c r="E6" s="1031"/>
      <c r="F6" s="1031"/>
      <c r="G6" s="1031"/>
      <c r="H6" s="1036"/>
      <c r="I6" s="1254" t="s">
        <v>1128</v>
      </c>
      <c r="J6" s="959"/>
      <c r="K6" s="959"/>
      <c r="L6" s="959"/>
      <c r="M6" s="959"/>
      <c r="N6" s="959"/>
      <c r="O6" s="959"/>
      <c r="P6" s="959"/>
      <c r="Q6" s="959"/>
      <c r="R6" s="959"/>
      <c r="S6" s="959"/>
      <c r="T6" s="959"/>
      <c r="U6" s="959"/>
      <c r="V6" s="959"/>
      <c r="W6" s="959"/>
      <c r="X6" s="959"/>
      <c r="Y6" s="1033"/>
    </row>
    <row r="7" spans="2:26" x14ac:dyDescent="0.3">
      <c r="B7" s="1034" t="s">
        <v>912</v>
      </c>
      <c r="C7" s="1035"/>
      <c r="D7" s="1036"/>
      <c r="E7" s="1036"/>
      <c r="F7" s="1036"/>
      <c r="G7" s="1036"/>
      <c r="H7" s="1036"/>
      <c r="I7" s="1254" t="s">
        <v>1128</v>
      </c>
      <c r="J7" s="1039"/>
      <c r="K7" s="1039"/>
      <c r="L7" s="1039"/>
      <c r="M7" s="1039"/>
      <c r="N7" s="1039"/>
      <c r="O7" s="1039"/>
      <c r="P7" s="1039"/>
      <c r="Q7" s="1039"/>
      <c r="R7" s="1039"/>
      <c r="S7" s="1039"/>
      <c r="T7" s="1039"/>
      <c r="U7" s="1039"/>
      <c r="V7" s="1039"/>
      <c r="W7" s="1039"/>
      <c r="X7" s="1039"/>
      <c r="Y7" s="1040"/>
      <c r="Z7" s="1261"/>
    </row>
    <row r="8" spans="2:26" x14ac:dyDescent="0.3">
      <c r="B8" s="1034" t="s">
        <v>1140</v>
      </c>
      <c r="C8" s="959"/>
      <c r="D8" s="1047"/>
      <c r="E8" s="1047"/>
      <c r="F8" s="1047"/>
      <c r="G8" s="1047"/>
      <c r="H8" s="1047"/>
      <c r="I8" s="1047"/>
      <c r="J8" s="1039"/>
      <c r="K8" s="1254"/>
      <c r="L8" s="1259"/>
      <c r="M8" s="1259"/>
      <c r="N8" s="1259"/>
      <c r="O8" s="1259"/>
      <c r="P8" s="1259"/>
      <c r="Q8" s="1259"/>
      <c r="R8" s="1259"/>
      <c r="S8" s="1259"/>
      <c r="T8" s="1259"/>
      <c r="U8" s="1032" t="s">
        <v>1141</v>
      </c>
      <c r="V8" s="1039"/>
      <c r="W8" s="1039"/>
      <c r="X8" s="1039"/>
      <c r="Y8" s="1040"/>
      <c r="Z8" s="1261"/>
    </row>
    <row r="9" spans="2:26" x14ac:dyDescent="0.3">
      <c r="B9" s="1034" t="s">
        <v>950</v>
      </c>
      <c r="C9" s="1035" t="s">
        <v>945</v>
      </c>
      <c r="D9" s="1036"/>
      <c r="E9" s="1036"/>
      <c r="F9" s="1036"/>
      <c r="G9" s="1036"/>
      <c r="H9" s="1036"/>
      <c r="I9" s="1036"/>
      <c r="J9" s="1036"/>
      <c r="K9" s="1036"/>
      <c r="L9" s="1037"/>
      <c r="M9" s="1032" t="s">
        <v>1141</v>
      </c>
      <c r="N9" s="1039"/>
      <c r="O9" s="1039"/>
      <c r="P9" s="1039"/>
      <c r="Q9" s="1039"/>
      <c r="R9" s="1039"/>
      <c r="S9" s="1039"/>
      <c r="T9" s="1039"/>
      <c r="U9" s="1039"/>
      <c r="V9" s="1039"/>
      <c r="W9" s="1039"/>
      <c r="X9" s="1039"/>
      <c r="Y9" s="1040"/>
      <c r="Z9" s="1261"/>
    </row>
    <row r="10" spans="2:26" s="1260" customFormat="1" x14ac:dyDescent="0.3">
      <c r="B10" s="1034" t="s">
        <v>923</v>
      </c>
      <c r="C10" s="1035" t="s">
        <v>920</v>
      </c>
      <c r="D10" s="1036"/>
      <c r="E10" s="1036"/>
      <c r="F10" s="1036"/>
      <c r="G10" s="1036"/>
      <c r="H10" s="1254" t="s">
        <v>1128</v>
      </c>
      <c r="I10" s="1039"/>
      <c r="J10" s="1039"/>
      <c r="K10" s="1039"/>
      <c r="L10" s="1039"/>
      <c r="M10" s="1039"/>
      <c r="N10" s="1039"/>
      <c r="O10" s="1039"/>
      <c r="P10" s="1039"/>
      <c r="Q10" s="1039"/>
      <c r="R10" s="1039"/>
      <c r="S10" s="1039"/>
      <c r="T10" s="1039"/>
      <c r="U10" s="1039"/>
      <c r="V10" s="1039"/>
      <c r="W10" s="1039"/>
      <c r="X10" s="1039"/>
      <c r="Y10" s="1040"/>
      <c r="Z10" s="1261"/>
    </row>
    <row r="11" spans="2:26" s="1260" customFormat="1" x14ac:dyDescent="0.3">
      <c r="B11" s="1034" t="s">
        <v>922</v>
      </c>
      <c r="C11" s="1035" t="s">
        <v>920</v>
      </c>
      <c r="D11" s="1036"/>
      <c r="E11" s="1036"/>
      <c r="F11" s="1036"/>
      <c r="G11" s="1036"/>
      <c r="H11" s="1036"/>
      <c r="I11" s="1036"/>
      <c r="J11" s="1036"/>
      <c r="K11" s="1036"/>
      <c r="L11" s="1036"/>
      <c r="M11" s="1032" t="s">
        <v>1141</v>
      </c>
      <c r="N11" s="1039"/>
      <c r="O11" s="1039"/>
      <c r="P11" s="1039"/>
      <c r="Q11" s="1039"/>
      <c r="R11" s="1039"/>
      <c r="S11" s="1039"/>
      <c r="T11" s="1039"/>
      <c r="U11" s="1039"/>
      <c r="V11" s="1039"/>
      <c r="W11" s="1039"/>
      <c r="X11" s="1039"/>
      <c r="Y11" s="1040"/>
      <c r="Z11" s="1261"/>
    </row>
    <row r="12" spans="2:26" s="1260" customFormat="1" x14ac:dyDescent="0.3">
      <c r="B12" s="1034" t="s">
        <v>921</v>
      </c>
      <c r="C12" s="1035" t="s">
        <v>920</v>
      </c>
      <c r="D12" s="1036"/>
      <c r="E12" s="1036"/>
      <c r="F12" s="1036"/>
      <c r="G12" s="1036"/>
      <c r="H12" s="1037"/>
      <c r="I12" s="1036"/>
      <c r="J12" s="1036"/>
      <c r="K12" s="1036"/>
      <c r="L12" s="1036"/>
      <c r="M12" s="1032" t="s">
        <v>1141</v>
      </c>
      <c r="N12" s="1039"/>
      <c r="O12" s="1039"/>
      <c r="P12" s="1039"/>
      <c r="Q12" s="1039"/>
      <c r="R12" s="1039"/>
      <c r="S12" s="1039"/>
      <c r="T12" s="1039"/>
      <c r="U12" s="1039"/>
      <c r="V12" s="1039"/>
      <c r="W12" s="1039"/>
      <c r="X12" s="1039"/>
      <c r="Y12" s="1040"/>
      <c r="Z12" s="1261"/>
    </row>
    <row r="13" spans="2:26" s="1260" customFormat="1" x14ac:dyDescent="0.3">
      <c r="B13" s="1034" t="s">
        <v>924</v>
      </c>
      <c r="C13" s="1035" t="s">
        <v>920</v>
      </c>
      <c r="D13" s="1036"/>
      <c r="E13" s="1036"/>
      <c r="F13" s="1036"/>
      <c r="G13" s="1036"/>
      <c r="H13" s="1036"/>
      <c r="I13" s="1036"/>
      <c r="J13" s="1036"/>
      <c r="K13" s="1036"/>
      <c r="L13" s="1036"/>
      <c r="M13" s="1032" t="s">
        <v>1141</v>
      </c>
      <c r="N13" s="1039"/>
      <c r="O13" s="1039"/>
      <c r="P13" s="1039"/>
      <c r="Q13" s="1039"/>
      <c r="R13" s="1039"/>
      <c r="S13" s="1039"/>
      <c r="T13" s="1039"/>
      <c r="U13" s="1039"/>
      <c r="V13" s="1039"/>
      <c r="W13" s="1039"/>
      <c r="X13" s="1039"/>
      <c r="Y13" s="1040"/>
      <c r="Z13" s="1261"/>
    </row>
    <row r="14" spans="2:26" s="1260" customFormat="1" x14ac:dyDescent="0.3">
      <c r="B14" s="1034" t="s">
        <v>913</v>
      </c>
      <c r="C14" s="1036" t="s">
        <v>951</v>
      </c>
      <c r="D14" s="1036"/>
      <c r="E14" s="1036"/>
      <c r="F14" s="1036"/>
      <c r="G14" s="1036"/>
      <c r="H14" s="1036"/>
      <c r="I14" s="1254" t="s">
        <v>1128</v>
      </c>
      <c r="J14" s="1039"/>
      <c r="K14" s="1039"/>
      <c r="L14" s="1039"/>
      <c r="M14" s="1039"/>
      <c r="N14" s="1039"/>
      <c r="O14" s="1039"/>
      <c r="P14" s="1039"/>
      <c r="Q14" s="1039"/>
      <c r="R14" s="1039"/>
      <c r="S14" s="1039"/>
      <c r="T14" s="1039"/>
      <c r="U14" s="1039"/>
      <c r="V14" s="1039"/>
      <c r="W14" s="1039"/>
      <c r="X14" s="1039"/>
      <c r="Y14" s="1040"/>
      <c r="Z14" s="1261"/>
    </row>
    <row r="15" spans="2:26" s="1260" customFormat="1" x14ac:dyDescent="0.3">
      <c r="B15" s="1034" t="s">
        <v>914</v>
      </c>
      <c r="C15" s="1036" t="s">
        <v>951</v>
      </c>
      <c r="D15" s="1036"/>
      <c r="E15" s="1036"/>
      <c r="F15" s="1036"/>
      <c r="G15" s="1036"/>
      <c r="H15" s="1036"/>
      <c r="I15" s="1254" t="s">
        <v>1128</v>
      </c>
      <c r="J15" s="1039"/>
      <c r="K15" s="1039"/>
      <c r="L15" s="1039"/>
      <c r="M15" s="1039"/>
      <c r="N15" s="1039"/>
      <c r="O15" s="1039"/>
      <c r="P15" s="1039"/>
      <c r="Q15" s="1039"/>
      <c r="R15" s="1039"/>
      <c r="S15" s="1039"/>
      <c r="T15" s="1039"/>
      <c r="U15" s="1039"/>
      <c r="V15" s="1039"/>
      <c r="W15" s="1039"/>
      <c r="X15" s="1039"/>
      <c r="Y15" s="1040"/>
      <c r="Z15" s="1261"/>
    </row>
    <row r="16" spans="2:26" s="1260" customFormat="1" x14ac:dyDescent="0.3">
      <c r="B16" s="1034" t="s">
        <v>915</v>
      </c>
      <c r="C16" s="1036" t="s">
        <v>951</v>
      </c>
      <c r="D16" s="1036"/>
      <c r="E16" s="1036"/>
      <c r="F16" s="1036"/>
      <c r="G16" s="1254" t="s">
        <v>1128</v>
      </c>
      <c r="H16" s="1255"/>
      <c r="I16" s="1039"/>
      <c r="J16" s="1039"/>
      <c r="K16" s="1039"/>
      <c r="L16" s="1039"/>
      <c r="M16" s="1039"/>
      <c r="N16" s="1039"/>
      <c r="O16" s="1039"/>
      <c r="P16" s="1039"/>
      <c r="Q16" s="1039"/>
      <c r="R16" s="1039"/>
      <c r="S16" s="1039"/>
      <c r="T16" s="1039"/>
      <c r="U16" s="1039"/>
      <c r="V16" s="1039"/>
      <c r="W16" s="1039"/>
      <c r="X16" s="1039"/>
      <c r="Y16" s="1040"/>
      <c r="Z16" s="1261"/>
    </row>
    <row r="17" spans="2:26" x14ac:dyDescent="0.3">
      <c r="B17" s="1042" t="s">
        <v>910</v>
      </c>
      <c r="C17" s="1043"/>
      <c r="D17" s="1044"/>
      <c r="E17" s="1044"/>
      <c r="F17" s="1044"/>
      <c r="G17" s="1044"/>
      <c r="H17" s="1045"/>
      <c r="I17" s="1044"/>
      <c r="J17" s="1044"/>
      <c r="K17" s="1046" t="s">
        <v>946</v>
      </c>
      <c r="L17" s="1047"/>
      <c r="M17" s="1047"/>
      <c r="N17" s="1047"/>
      <c r="O17" s="1047"/>
      <c r="P17" s="1047"/>
      <c r="Q17" s="1047"/>
      <c r="R17" s="1047"/>
      <c r="S17" s="1047"/>
      <c r="T17" s="1047"/>
      <c r="U17" s="1047"/>
      <c r="V17" s="1047"/>
      <c r="W17" s="1047"/>
      <c r="X17" s="1047"/>
      <c r="Y17" s="1048"/>
      <c r="Z17" s="1261"/>
    </row>
    <row r="18" spans="2:26" x14ac:dyDescent="0.3">
      <c r="B18" s="1042" t="s">
        <v>955</v>
      </c>
      <c r="C18" s="1256"/>
      <c r="D18" s="1045"/>
      <c r="E18" s="1044"/>
      <c r="F18" s="1044"/>
      <c r="G18" s="1044"/>
      <c r="H18" s="1046" t="s">
        <v>946</v>
      </c>
      <c r="I18" s="1047"/>
      <c r="J18" s="1047"/>
      <c r="K18" s="1047"/>
      <c r="L18" s="1047"/>
      <c r="M18" s="1047"/>
      <c r="N18" s="1047"/>
      <c r="O18" s="1047"/>
      <c r="P18" s="1047"/>
      <c r="Q18" s="1047"/>
      <c r="R18" s="1047"/>
      <c r="S18" s="1047"/>
      <c r="T18" s="1047"/>
      <c r="U18" s="1047"/>
      <c r="V18" s="1047"/>
      <c r="W18" s="1047"/>
      <c r="X18" s="1047"/>
      <c r="Y18" s="1048"/>
      <c r="Z18" s="1261"/>
    </row>
    <row r="19" spans="2:26" x14ac:dyDescent="0.3">
      <c r="B19" s="811" t="s">
        <v>916</v>
      </c>
      <c r="C19" s="959"/>
      <c r="D19" s="1047"/>
      <c r="E19" s="1047"/>
      <c r="F19" s="1047"/>
      <c r="G19" s="1047"/>
      <c r="H19" s="1047"/>
      <c r="I19" s="1052" t="s">
        <v>956</v>
      </c>
      <c r="J19" s="1050"/>
      <c r="K19" s="1050"/>
      <c r="L19" s="1045"/>
      <c r="M19" s="1046" t="s">
        <v>946</v>
      </c>
      <c r="N19" s="1052" t="s">
        <v>957</v>
      </c>
      <c r="O19" s="1050"/>
      <c r="P19" s="1050"/>
      <c r="Q19" s="1050"/>
      <c r="R19" s="1050"/>
      <c r="S19" s="1046" t="s">
        <v>946</v>
      </c>
      <c r="T19" s="959"/>
      <c r="U19" s="959"/>
      <c r="V19" s="959"/>
      <c r="W19" s="959"/>
      <c r="X19" s="959"/>
      <c r="Y19" s="1033"/>
    </row>
    <row r="20" spans="2:26" x14ac:dyDescent="0.3">
      <c r="B20" s="811" t="s">
        <v>917</v>
      </c>
      <c r="C20" s="959"/>
      <c r="D20" s="1047"/>
      <c r="E20" s="1047"/>
      <c r="F20" s="1047"/>
      <c r="G20" s="1047"/>
      <c r="H20" s="1047"/>
      <c r="I20" s="1052" t="s">
        <v>956</v>
      </c>
      <c r="J20" s="1050"/>
      <c r="K20" s="1050"/>
      <c r="L20" s="1045"/>
      <c r="M20" s="1046" t="s">
        <v>946</v>
      </c>
      <c r="N20" s="1052" t="s">
        <v>957</v>
      </c>
      <c r="O20" s="1050"/>
      <c r="P20" s="1050"/>
      <c r="Q20" s="1050"/>
      <c r="R20" s="1050"/>
      <c r="S20" s="1046" t="s">
        <v>946</v>
      </c>
      <c r="T20" s="959"/>
      <c r="U20" s="959"/>
      <c r="V20" s="959"/>
      <c r="W20" s="959"/>
      <c r="X20" s="959"/>
      <c r="Y20" s="1033"/>
    </row>
    <row r="21" spans="2:26" x14ac:dyDescent="0.3">
      <c r="B21" s="811" t="s">
        <v>918</v>
      </c>
      <c r="C21" s="959"/>
      <c r="D21" s="1047"/>
      <c r="E21" s="1047"/>
      <c r="F21" s="1047"/>
      <c r="G21" s="1047"/>
      <c r="H21" s="1047"/>
      <c r="I21" s="1052" t="s">
        <v>956</v>
      </c>
      <c r="J21" s="1050"/>
      <c r="K21" s="1050"/>
      <c r="L21" s="1045"/>
      <c r="M21" s="1046" t="s">
        <v>946</v>
      </c>
      <c r="N21" s="959"/>
      <c r="O21" s="959"/>
      <c r="P21" s="959"/>
      <c r="Q21" s="1052" t="s">
        <v>957</v>
      </c>
      <c r="R21" s="1050"/>
      <c r="S21" s="1050"/>
      <c r="T21" s="1050"/>
      <c r="U21" s="1050"/>
      <c r="V21" s="1050"/>
      <c r="W21" s="1046" t="s">
        <v>946</v>
      </c>
      <c r="X21" s="959"/>
      <c r="Y21" s="1033"/>
    </row>
    <row r="22" spans="2:26" x14ac:dyDescent="0.3">
      <c r="B22" s="811" t="s">
        <v>919</v>
      </c>
      <c r="C22" s="959"/>
      <c r="D22" s="1047"/>
      <c r="E22" s="1047"/>
      <c r="F22" s="1047"/>
      <c r="G22" s="1047"/>
      <c r="H22" s="1047"/>
      <c r="I22" s="1052" t="s">
        <v>956</v>
      </c>
      <c r="J22" s="1050"/>
      <c r="K22" s="1050"/>
      <c r="L22" s="1045"/>
      <c r="M22" s="1046" t="s">
        <v>946</v>
      </c>
      <c r="N22" s="959"/>
      <c r="O22" s="959"/>
      <c r="P22" s="959"/>
      <c r="Q22" s="1052" t="s">
        <v>957</v>
      </c>
      <c r="R22" s="1050"/>
      <c r="S22" s="1050"/>
      <c r="T22" s="1050"/>
      <c r="U22" s="1050"/>
      <c r="V22" s="1050"/>
      <c r="W22" s="1046" t="s">
        <v>946</v>
      </c>
      <c r="X22" s="959"/>
      <c r="Y22" s="1033"/>
    </row>
    <row r="23" spans="2:26" x14ac:dyDescent="0.3">
      <c r="B23" s="1466" t="s">
        <v>926</v>
      </c>
      <c r="C23" s="1053" t="s">
        <v>958</v>
      </c>
      <c r="D23" s="1258"/>
      <c r="E23" s="1054"/>
      <c r="F23" s="1054"/>
      <c r="G23" s="1054"/>
      <c r="H23" s="1054"/>
      <c r="I23" s="1054"/>
      <c r="J23" s="1054"/>
      <c r="K23" s="1054"/>
      <c r="L23" s="1055" t="s">
        <v>946</v>
      </c>
      <c r="M23" s="1056"/>
      <c r="N23" s="1056"/>
      <c r="O23" s="1056"/>
      <c r="P23" s="1056"/>
      <c r="Q23" s="1056"/>
      <c r="R23" s="1056"/>
      <c r="S23" s="1056"/>
      <c r="T23" s="1056"/>
      <c r="U23" s="1056"/>
      <c r="V23" s="1056"/>
      <c r="W23" s="1056"/>
      <c r="X23" s="1056"/>
      <c r="Y23" s="1057"/>
    </row>
    <row r="24" spans="2:26" x14ac:dyDescent="0.3">
      <c r="B24" s="1467"/>
      <c r="C24" s="1058" t="s">
        <v>959</v>
      </c>
      <c r="D24" s="1059"/>
      <c r="E24" s="1059"/>
      <c r="F24" s="1059"/>
      <c r="G24" s="1059"/>
      <c r="H24" s="1059"/>
      <c r="I24" s="1059"/>
      <c r="J24" s="1059"/>
      <c r="K24" s="1059"/>
      <c r="L24" s="1059"/>
      <c r="M24" s="1059"/>
      <c r="N24" s="1059"/>
      <c r="O24" s="1059"/>
      <c r="P24" s="1059"/>
      <c r="Q24" s="1059"/>
      <c r="R24" s="1059"/>
      <c r="S24" s="1059"/>
      <c r="T24" s="1059"/>
      <c r="U24" s="1060" t="s">
        <v>946</v>
      </c>
      <c r="V24" s="1061"/>
      <c r="W24" s="1061"/>
      <c r="X24" s="1061"/>
      <c r="Y24" s="1062"/>
    </row>
    <row r="25" spans="2:26" x14ac:dyDescent="0.3">
      <c r="B25" s="1468"/>
      <c r="C25" s="1063"/>
      <c r="D25" s="1064"/>
      <c r="E25" s="1064"/>
      <c r="F25" s="1064"/>
      <c r="G25" s="1064"/>
      <c r="H25" s="1064"/>
      <c r="I25" s="1064"/>
      <c r="J25" s="1064"/>
      <c r="K25" s="1064"/>
      <c r="L25" s="1065" t="s">
        <v>960</v>
      </c>
      <c r="M25" s="1066"/>
      <c r="N25" s="1066"/>
      <c r="O25" s="1066"/>
      <c r="P25" s="1066"/>
      <c r="Q25" s="1066"/>
      <c r="R25" s="1066"/>
      <c r="S25" s="1066"/>
      <c r="T25" s="1066"/>
      <c r="U25" s="1067" t="s">
        <v>946</v>
      </c>
      <c r="V25" s="1064"/>
      <c r="W25" s="1064"/>
      <c r="X25" s="1064"/>
      <c r="Y25" s="1068"/>
    </row>
    <row r="26" spans="2:26" x14ac:dyDescent="0.3">
      <c r="B26" s="1466" t="s">
        <v>930</v>
      </c>
      <c r="C26" s="1069"/>
      <c r="D26" s="1056"/>
      <c r="E26" s="1056"/>
      <c r="F26" s="1056"/>
      <c r="G26" s="1056"/>
      <c r="H26" s="1070" t="s">
        <v>961</v>
      </c>
      <c r="I26" s="1054"/>
      <c r="J26" s="1054"/>
      <c r="K26" s="1054"/>
      <c r="L26" s="1054"/>
      <c r="M26" s="1054"/>
      <c r="N26" s="1054"/>
      <c r="O26" s="1054"/>
      <c r="P26" s="1054"/>
      <c r="Q26" s="1055" t="s">
        <v>946</v>
      </c>
      <c r="R26" s="1056"/>
      <c r="S26" s="1071"/>
      <c r="T26" s="1056"/>
      <c r="U26" s="1056"/>
      <c r="V26" s="1056"/>
      <c r="W26" s="1056"/>
      <c r="X26" s="1056"/>
      <c r="Y26" s="1057"/>
    </row>
    <row r="27" spans="2:26" x14ac:dyDescent="0.3">
      <c r="B27" s="1467"/>
      <c r="C27" s="1058" t="s">
        <v>959</v>
      </c>
      <c r="D27" s="1059"/>
      <c r="E27" s="1059"/>
      <c r="F27" s="1059"/>
      <c r="G27" s="1059"/>
      <c r="H27" s="1059"/>
      <c r="I27" s="1059"/>
      <c r="J27" s="1059"/>
      <c r="K27" s="1059"/>
      <c r="L27" s="1059"/>
      <c r="M27" s="1059"/>
      <c r="N27" s="1059"/>
      <c r="O27" s="1059"/>
      <c r="P27" s="1059"/>
      <c r="Q27" s="1059"/>
      <c r="R27" s="1059"/>
      <c r="S27" s="1059"/>
      <c r="T27" s="1059"/>
      <c r="U27" s="1060" t="s">
        <v>946</v>
      </c>
      <c r="V27" s="1061"/>
      <c r="W27" s="1061"/>
      <c r="X27" s="1061"/>
      <c r="Y27" s="1062"/>
    </row>
    <row r="28" spans="2:26" x14ac:dyDescent="0.3">
      <c r="B28" s="1468"/>
      <c r="C28" s="1063"/>
      <c r="D28" s="1064"/>
      <c r="E28" s="1064"/>
      <c r="F28" s="1064"/>
      <c r="G28" s="1064"/>
      <c r="H28" s="1064"/>
      <c r="I28" s="1064"/>
      <c r="J28" s="1064"/>
      <c r="K28" s="1064"/>
      <c r="L28" s="1065" t="s">
        <v>960</v>
      </c>
      <c r="M28" s="1065"/>
      <c r="N28" s="1066"/>
      <c r="O28" s="1066"/>
      <c r="P28" s="1066"/>
      <c r="Q28" s="1066"/>
      <c r="R28" s="1066"/>
      <c r="S28" s="1066"/>
      <c r="T28" s="1066"/>
      <c r="U28" s="1067" t="s">
        <v>946</v>
      </c>
      <c r="V28" s="1064"/>
      <c r="W28" s="1064"/>
      <c r="X28" s="1064"/>
      <c r="Y28" s="1068"/>
    </row>
    <row r="29" spans="2:26" x14ac:dyDescent="0.3">
      <c r="B29" s="1466" t="s">
        <v>931</v>
      </c>
      <c r="C29" s="1069"/>
      <c r="D29" s="1056"/>
      <c r="E29" s="1056"/>
      <c r="F29" s="1056"/>
      <c r="G29" s="1056"/>
      <c r="H29" s="1056"/>
      <c r="I29" s="1056"/>
      <c r="J29" s="1070" t="s">
        <v>962</v>
      </c>
      <c r="K29" s="1054"/>
      <c r="L29" s="1054"/>
      <c r="M29" s="1054"/>
      <c r="N29" s="1054"/>
      <c r="O29" s="1054"/>
      <c r="P29" s="1055" t="s">
        <v>946</v>
      </c>
      <c r="Q29" s="1056"/>
      <c r="R29" s="1056"/>
      <c r="S29" s="1071"/>
      <c r="T29" s="1056"/>
      <c r="U29" s="1056"/>
      <c r="V29" s="1056"/>
      <c r="W29" s="1056"/>
      <c r="X29" s="1056"/>
      <c r="Y29" s="1057"/>
    </row>
    <row r="30" spans="2:26" x14ac:dyDescent="0.3">
      <c r="B30" s="1467"/>
      <c r="C30" s="1058" t="s">
        <v>959</v>
      </c>
      <c r="D30" s="1059"/>
      <c r="E30" s="1059"/>
      <c r="F30" s="1059"/>
      <c r="G30" s="1059"/>
      <c r="H30" s="1059"/>
      <c r="I30" s="1059"/>
      <c r="J30" s="1059"/>
      <c r="K30" s="1059"/>
      <c r="L30" s="1059"/>
      <c r="M30" s="1059"/>
      <c r="N30" s="1059"/>
      <c r="O30" s="1059"/>
      <c r="P30" s="1059"/>
      <c r="Q30" s="1059"/>
      <c r="R30" s="1059"/>
      <c r="S30" s="1059"/>
      <c r="T30" s="1059"/>
      <c r="U30" s="1059"/>
      <c r="V30" s="1059"/>
      <c r="W30" s="1059"/>
      <c r="X30" s="1059"/>
      <c r="Y30" s="1072" t="s">
        <v>946</v>
      </c>
    </row>
    <row r="31" spans="2:26" x14ac:dyDescent="0.3">
      <c r="B31" s="1468"/>
      <c r="C31" s="1063"/>
      <c r="D31" s="1064"/>
      <c r="E31" s="1064"/>
      <c r="F31" s="1064"/>
      <c r="G31" s="1064"/>
      <c r="H31" s="1064"/>
      <c r="I31" s="1064"/>
      <c r="J31" s="1064"/>
      <c r="K31" s="1064"/>
      <c r="L31" s="1064"/>
      <c r="M31" s="1064"/>
      <c r="N31" s="1064"/>
      <c r="O31" s="1064"/>
      <c r="P31" s="1065" t="s">
        <v>960</v>
      </c>
      <c r="Q31" s="1066"/>
      <c r="R31" s="1066"/>
      <c r="S31" s="1066"/>
      <c r="T31" s="1066"/>
      <c r="U31" s="1066"/>
      <c r="V31" s="1066"/>
      <c r="W31" s="1066"/>
      <c r="X31" s="1066"/>
      <c r="Y31" s="1073" t="s">
        <v>946</v>
      </c>
    </row>
    <row r="32" spans="2:26" x14ac:dyDescent="0.3">
      <c r="B32" s="1466" t="s">
        <v>932</v>
      </c>
      <c r="C32" s="1069"/>
      <c r="D32" s="1056"/>
      <c r="E32" s="1056"/>
      <c r="F32" s="1056"/>
      <c r="G32" s="1056"/>
      <c r="H32" s="1056"/>
      <c r="I32" s="1056"/>
      <c r="J32" s="1070" t="s">
        <v>963</v>
      </c>
      <c r="K32" s="1054"/>
      <c r="L32" s="1054"/>
      <c r="M32" s="1054"/>
      <c r="N32" s="1054"/>
      <c r="O32" s="1054"/>
      <c r="P32" s="1055" t="s">
        <v>946</v>
      </c>
      <c r="Q32" s="1056"/>
      <c r="R32" s="1056"/>
      <c r="S32" s="1071"/>
      <c r="T32" s="1056"/>
      <c r="U32" s="1056"/>
      <c r="V32" s="1056"/>
      <c r="W32" s="1056"/>
      <c r="X32" s="1056"/>
      <c r="Y32" s="1057"/>
    </row>
    <row r="33" spans="2:25" x14ac:dyDescent="0.3">
      <c r="B33" s="1467"/>
      <c r="C33" s="1058" t="s">
        <v>959</v>
      </c>
      <c r="D33" s="1059"/>
      <c r="E33" s="1059"/>
      <c r="F33" s="1059"/>
      <c r="G33" s="1059"/>
      <c r="H33" s="1059"/>
      <c r="I33" s="1059"/>
      <c r="J33" s="1059"/>
      <c r="K33" s="1059"/>
      <c r="L33" s="1059"/>
      <c r="M33" s="1059"/>
      <c r="N33" s="1059"/>
      <c r="O33" s="1059"/>
      <c r="P33" s="1059"/>
      <c r="Q33" s="1059"/>
      <c r="R33" s="1059"/>
      <c r="S33" s="1059"/>
      <c r="T33" s="1059"/>
      <c r="U33" s="1059"/>
      <c r="V33" s="1059"/>
      <c r="W33" s="1059"/>
      <c r="X33" s="1059"/>
      <c r="Y33" s="1072" t="s">
        <v>946</v>
      </c>
    </row>
    <row r="34" spans="2:25" x14ac:dyDescent="0.3">
      <c r="B34" s="1468"/>
      <c r="C34" s="1063"/>
      <c r="D34" s="1064"/>
      <c r="E34" s="1064"/>
      <c r="F34" s="1064"/>
      <c r="G34" s="1064"/>
      <c r="H34" s="1064"/>
      <c r="I34" s="1064"/>
      <c r="J34" s="1064"/>
      <c r="K34" s="1064"/>
      <c r="L34" s="1064"/>
      <c r="M34" s="1064"/>
      <c r="N34" s="1064"/>
      <c r="O34" s="1064"/>
      <c r="P34" s="1065" t="s">
        <v>960</v>
      </c>
      <c r="Q34" s="1066"/>
      <c r="R34" s="1066"/>
      <c r="S34" s="1066"/>
      <c r="T34" s="1066"/>
      <c r="U34" s="1066"/>
      <c r="V34" s="1066"/>
      <c r="W34" s="1066"/>
      <c r="X34" s="1066"/>
      <c r="Y34" s="1073" t="s">
        <v>946</v>
      </c>
    </row>
    <row r="35" spans="2:25" x14ac:dyDescent="0.3">
      <c r="B35" s="811" t="s">
        <v>925</v>
      </c>
      <c r="C35" s="1074"/>
      <c r="D35" s="959"/>
      <c r="E35" s="959"/>
      <c r="F35" s="959"/>
      <c r="G35" s="959"/>
      <c r="H35" s="959"/>
      <c r="I35" s="959"/>
      <c r="J35" s="959"/>
      <c r="K35" s="959"/>
      <c r="L35" s="959"/>
      <c r="M35" s="959"/>
      <c r="N35" s="959"/>
      <c r="O35" s="959"/>
      <c r="P35" s="959"/>
      <c r="Q35" s="959"/>
      <c r="R35" s="959"/>
      <c r="S35" s="959"/>
      <c r="T35" s="1075"/>
      <c r="U35" s="1257" t="s">
        <v>1129</v>
      </c>
      <c r="V35" s="959"/>
      <c r="W35" s="959"/>
      <c r="X35" s="959"/>
      <c r="Y35" s="1033"/>
    </row>
    <row r="36" spans="2:25" x14ac:dyDescent="0.3">
      <c r="B36" s="811" t="s">
        <v>927</v>
      </c>
      <c r="C36" s="1074"/>
      <c r="D36" s="959"/>
      <c r="E36" s="959"/>
      <c r="F36" s="959"/>
      <c r="G36" s="959"/>
      <c r="H36" s="959"/>
      <c r="I36" s="959"/>
      <c r="J36" s="959"/>
      <c r="K36" s="959"/>
      <c r="L36" s="959"/>
      <c r="M36" s="959"/>
      <c r="N36" s="959"/>
      <c r="O36" s="959"/>
      <c r="P36" s="959"/>
      <c r="Q36" s="959"/>
      <c r="R36" s="959"/>
      <c r="S36" s="959"/>
      <c r="T36" s="1075"/>
      <c r="U36" s="1257" t="s">
        <v>1129</v>
      </c>
      <c r="V36" s="959"/>
      <c r="W36" s="959"/>
      <c r="X36" s="959"/>
      <c r="Y36" s="1033"/>
    </row>
    <row r="37" spans="2:25" x14ac:dyDescent="0.3">
      <c r="B37" s="811" t="s">
        <v>928</v>
      </c>
      <c r="C37" s="1074"/>
      <c r="D37" s="959"/>
      <c r="E37" s="959"/>
      <c r="F37" s="959"/>
      <c r="G37" s="959"/>
      <c r="H37" s="959"/>
      <c r="I37" s="959"/>
      <c r="J37" s="959"/>
      <c r="K37" s="959"/>
      <c r="L37" s="959"/>
      <c r="M37" s="959"/>
      <c r="N37" s="959"/>
      <c r="O37" s="959"/>
      <c r="P37" s="959"/>
      <c r="Q37" s="959"/>
      <c r="R37" s="959"/>
      <c r="S37" s="959"/>
      <c r="T37" s="959"/>
      <c r="U37" s="959"/>
      <c r="V37" s="959"/>
      <c r="W37" s="959"/>
      <c r="X37" s="1077"/>
      <c r="Y37" s="1078" t="s">
        <v>709</v>
      </c>
    </row>
    <row r="38" spans="2:25" ht="17.25" thickBot="1" x14ac:dyDescent="0.35">
      <c r="B38" s="813" t="s">
        <v>929</v>
      </c>
      <c r="C38" s="1079"/>
      <c r="D38" s="1080"/>
      <c r="E38" s="1080"/>
      <c r="F38" s="1080"/>
      <c r="G38" s="1080"/>
      <c r="H38" s="1080"/>
      <c r="I38" s="1080"/>
      <c r="J38" s="1080"/>
      <c r="K38" s="1080"/>
      <c r="L38" s="1080"/>
      <c r="M38" s="1080"/>
      <c r="N38" s="1080"/>
      <c r="O38" s="1080"/>
      <c r="P38" s="1080"/>
      <c r="Q38" s="1080"/>
      <c r="R38" s="1080"/>
      <c r="S38" s="1080"/>
      <c r="T38" s="1080"/>
      <c r="U38" s="1080"/>
      <c r="V38" s="1080"/>
      <c r="W38" s="1080"/>
      <c r="X38" s="1081"/>
      <c r="Y38" s="1082" t="s">
        <v>709</v>
      </c>
    </row>
  </sheetData>
  <mergeCells count="5">
    <mergeCell ref="B3:B4"/>
    <mergeCell ref="B23:B25"/>
    <mergeCell ref="B26:B28"/>
    <mergeCell ref="B29:B31"/>
    <mergeCell ref="B32:B34"/>
  </mergeCells>
  <phoneticPr fontId="2" type="noConversion"/>
  <pageMargins left="0.25" right="0.25" top="0.75" bottom="0.75" header="0.3" footer="0.3"/>
  <pageSetup paperSize="9" scale="52" fitToHeight="0" orientation="landscape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9F48-065A-4873-AE69-EC432C1D55F5}">
  <sheetPr>
    <tabColor rgb="FFC00000"/>
    <pageSetUpPr fitToPage="1"/>
  </sheetPr>
  <dimension ref="B2:Z38"/>
  <sheetViews>
    <sheetView zoomScale="85" zoomScaleNormal="85" zoomScaleSheetLayoutView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2" sqref="A2"/>
    </sheetView>
  </sheetViews>
  <sheetFormatPr defaultRowHeight="16.5" x14ac:dyDescent="0.3"/>
  <cols>
    <col min="1" max="1" width="4.875" style="103" customWidth="1"/>
    <col min="2" max="2" width="43.875" style="103" customWidth="1"/>
    <col min="3" max="25" width="8.875" style="103" customWidth="1"/>
    <col min="26" max="16384" width="9" style="103"/>
  </cols>
  <sheetData>
    <row r="2" spans="2:26" ht="23.25" customHeight="1" thickBot="1" x14ac:dyDescent="0.35">
      <c r="B2" s="1252" t="s">
        <v>942</v>
      </c>
      <c r="Y2" s="1253" t="s">
        <v>1139</v>
      </c>
    </row>
    <row r="3" spans="2:26" x14ac:dyDescent="0.3">
      <c r="B3" s="1464" t="s">
        <v>949</v>
      </c>
      <c r="C3" s="952" t="s">
        <v>687</v>
      </c>
      <c r="D3" s="953" t="s">
        <v>688</v>
      </c>
      <c r="E3" s="953" t="s">
        <v>689</v>
      </c>
      <c r="F3" s="953" t="s">
        <v>690</v>
      </c>
      <c r="G3" s="953" t="s">
        <v>691</v>
      </c>
      <c r="H3" s="953" t="s">
        <v>718</v>
      </c>
      <c r="I3" s="953" t="s">
        <v>692</v>
      </c>
      <c r="J3" s="953" t="s">
        <v>693</v>
      </c>
      <c r="K3" s="953" t="s">
        <v>694</v>
      </c>
      <c r="L3" s="953" t="s">
        <v>695</v>
      </c>
      <c r="M3" s="953" t="s">
        <v>696</v>
      </c>
      <c r="N3" s="953" t="s">
        <v>697</v>
      </c>
      <c r="O3" s="953" t="s">
        <v>698</v>
      </c>
      <c r="P3" s="953" t="s">
        <v>699</v>
      </c>
      <c r="Q3" s="953" t="s">
        <v>700</v>
      </c>
      <c r="R3" s="953" t="s">
        <v>701</v>
      </c>
      <c r="S3" s="953" t="s">
        <v>702</v>
      </c>
      <c r="T3" s="953" t="s">
        <v>703</v>
      </c>
      <c r="U3" s="953" t="s">
        <v>719</v>
      </c>
      <c r="V3" s="953" t="s">
        <v>704</v>
      </c>
      <c r="W3" s="953" t="s">
        <v>705</v>
      </c>
      <c r="X3" s="953" t="s">
        <v>706</v>
      </c>
      <c r="Y3" s="954" t="s">
        <v>707</v>
      </c>
    </row>
    <row r="4" spans="2:26" ht="17.25" thickBot="1" x14ac:dyDescent="0.35">
      <c r="B4" s="1465"/>
      <c r="C4" s="955">
        <v>1</v>
      </c>
      <c r="D4" s="956">
        <v>2</v>
      </c>
      <c r="E4" s="956">
        <v>3</v>
      </c>
      <c r="F4" s="956">
        <v>4</v>
      </c>
      <c r="G4" s="956">
        <v>5</v>
      </c>
      <c r="H4" s="956">
        <v>6</v>
      </c>
      <c r="I4" s="956">
        <v>7</v>
      </c>
      <c r="J4" s="956">
        <v>8</v>
      </c>
      <c r="K4" s="956">
        <v>9</v>
      </c>
      <c r="L4" s="956">
        <v>10</v>
      </c>
      <c r="M4" s="956">
        <v>11</v>
      </c>
      <c r="N4" s="956">
        <v>12</v>
      </c>
      <c r="O4" s="956">
        <v>13</v>
      </c>
      <c r="P4" s="956">
        <v>14</v>
      </c>
      <c r="Q4" s="956">
        <v>15</v>
      </c>
      <c r="R4" s="956">
        <v>16</v>
      </c>
      <c r="S4" s="956">
        <v>17</v>
      </c>
      <c r="T4" s="956">
        <v>18</v>
      </c>
      <c r="U4" s="956">
        <v>19</v>
      </c>
      <c r="V4" s="956">
        <v>20</v>
      </c>
      <c r="W4" s="956">
        <v>21</v>
      </c>
      <c r="X4" s="956">
        <v>22</v>
      </c>
      <c r="Y4" s="957">
        <v>23</v>
      </c>
    </row>
    <row r="5" spans="2:26" x14ac:dyDescent="0.3">
      <c r="B5" s="810" t="s">
        <v>944</v>
      </c>
      <c r="C5" s="1027"/>
      <c r="D5" s="1027"/>
      <c r="E5" s="1027"/>
      <c r="F5" s="1027"/>
      <c r="G5" s="1027"/>
      <c r="H5" s="1028"/>
      <c r="I5" s="1254" t="s">
        <v>1128</v>
      </c>
      <c r="J5" s="958"/>
      <c r="K5" s="958"/>
      <c r="L5" s="958"/>
      <c r="M5" s="958"/>
      <c r="N5" s="958"/>
      <c r="O5" s="958"/>
      <c r="P5" s="958"/>
      <c r="Q5" s="958"/>
      <c r="R5" s="958"/>
      <c r="S5" s="958"/>
      <c r="T5" s="958"/>
      <c r="U5" s="958"/>
      <c r="V5" s="958"/>
      <c r="W5" s="958"/>
      <c r="X5" s="958"/>
      <c r="Y5" s="1030"/>
    </row>
    <row r="6" spans="2:26" x14ac:dyDescent="0.3">
      <c r="B6" s="811" t="s">
        <v>911</v>
      </c>
      <c r="C6" s="1031"/>
      <c r="D6" s="1031"/>
      <c r="E6" s="1031"/>
      <c r="F6" s="1031"/>
      <c r="G6" s="1031"/>
      <c r="H6" s="1036"/>
      <c r="I6" s="1254" t="s">
        <v>1128</v>
      </c>
      <c r="J6" s="959"/>
      <c r="K6" s="959"/>
      <c r="L6" s="959"/>
      <c r="M6" s="959"/>
      <c r="N6" s="959"/>
      <c r="O6" s="959"/>
      <c r="P6" s="959"/>
      <c r="Q6" s="959"/>
      <c r="R6" s="959"/>
      <c r="S6" s="959"/>
      <c r="T6" s="959"/>
      <c r="U6" s="959"/>
      <c r="V6" s="959"/>
      <c r="W6" s="959"/>
      <c r="X6" s="959"/>
      <c r="Y6" s="1033"/>
    </row>
    <row r="7" spans="2:26" x14ac:dyDescent="0.3">
      <c r="B7" s="1034" t="s">
        <v>912</v>
      </c>
      <c r="C7" s="1035"/>
      <c r="D7" s="1036"/>
      <c r="E7" s="1036"/>
      <c r="F7" s="1036"/>
      <c r="G7" s="1036"/>
      <c r="H7" s="1036"/>
      <c r="I7" s="1254" t="s">
        <v>1128</v>
      </c>
      <c r="J7" s="1039"/>
      <c r="K7" s="1039"/>
      <c r="L7" s="1039"/>
      <c r="M7" s="1039"/>
      <c r="N7" s="1039"/>
      <c r="O7" s="1039"/>
      <c r="P7" s="1039"/>
      <c r="Q7" s="1039"/>
      <c r="R7" s="1039"/>
      <c r="S7" s="1039"/>
      <c r="T7" s="1039"/>
      <c r="U7" s="1039"/>
      <c r="V7" s="1039"/>
      <c r="W7" s="1039"/>
      <c r="X7" s="1039"/>
      <c r="Y7" s="1040"/>
      <c r="Z7" s="1261"/>
    </row>
    <row r="8" spans="2:26" x14ac:dyDescent="0.3">
      <c r="B8" s="1034" t="s">
        <v>1140</v>
      </c>
      <c r="C8" s="959"/>
      <c r="D8" s="1047"/>
      <c r="E8" s="1047"/>
      <c r="F8" s="1047"/>
      <c r="G8" s="1047"/>
      <c r="H8" s="1047"/>
      <c r="I8" s="1047"/>
      <c r="J8" s="1039"/>
      <c r="K8" s="1254"/>
      <c r="L8" s="1259"/>
      <c r="M8" s="1259"/>
      <c r="N8" s="1259"/>
      <c r="O8" s="1259"/>
      <c r="P8" s="1259"/>
      <c r="Q8" s="1259"/>
      <c r="R8" s="1259"/>
      <c r="S8" s="1259"/>
      <c r="T8" s="1259"/>
      <c r="U8" s="1032" t="s">
        <v>1141</v>
      </c>
      <c r="V8" s="1039"/>
      <c r="W8" s="1039"/>
      <c r="X8" s="1039"/>
      <c r="Y8" s="1040"/>
      <c r="Z8" s="1261"/>
    </row>
    <row r="9" spans="2:26" x14ac:dyDescent="0.3">
      <c r="B9" s="1034" t="s">
        <v>950</v>
      </c>
      <c r="C9" s="1035" t="s">
        <v>945</v>
      </c>
      <c r="D9" s="1036"/>
      <c r="E9" s="1036"/>
      <c r="F9" s="1036"/>
      <c r="G9" s="1036"/>
      <c r="H9" s="1036"/>
      <c r="I9" s="1036"/>
      <c r="J9" s="1036"/>
      <c r="K9" s="1036"/>
      <c r="L9" s="1037"/>
      <c r="M9" s="1032" t="s">
        <v>1141</v>
      </c>
      <c r="N9" s="1039"/>
      <c r="O9" s="1039"/>
      <c r="P9" s="1039"/>
      <c r="Q9" s="1039"/>
      <c r="R9" s="1039"/>
      <c r="S9" s="1039"/>
      <c r="T9" s="1039"/>
      <c r="U9" s="1039"/>
      <c r="V9" s="1039"/>
      <c r="W9" s="1039"/>
      <c r="X9" s="1039"/>
      <c r="Y9" s="1040"/>
      <c r="Z9" s="1261"/>
    </row>
    <row r="10" spans="2:26" s="1260" customFormat="1" x14ac:dyDescent="0.3">
      <c r="B10" s="1034" t="s">
        <v>923</v>
      </c>
      <c r="C10" s="1035" t="s">
        <v>920</v>
      </c>
      <c r="D10" s="1036"/>
      <c r="E10" s="1036"/>
      <c r="F10" s="1036"/>
      <c r="G10" s="1036"/>
      <c r="H10" s="1254" t="s">
        <v>1128</v>
      </c>
      <c r="I10" s="1039"/>
      <c r="J10" s="1039"/>
      <c r="K10" s="1039"/>
      <c r="L10" s="1039"/>
      <c r="M10" s="1039"/>
      <c r="N10" s="1039"/>
      <c r="O10" s="1039"/>
      <c r="P10" s="1039"/>
      <c r="Q10" s="1039"/>
      <c r="R10" s="1039"/>
      <c r="S10" s="1039"/>
      <c r="T10" s="1039"/>
      <c r="U10" s="1039"/>
      <c r="V10" s="1039"/>
      <c r="W10" s="1039"/>
      <c r="X10" s="1039"/>
      <c r="Y10" s="1040"/>
      <c r="Z10" s="1261"/>
    </row>
    <row r="11" spans="2:26" s="1260" customFormat="1" x14ac:dyDescent="0.3">
      <c r="B11" s="1034" t="s">
        <v>922</v>
      </c>
      <c r="C11" s="1035" t="s">
        <v>920</v>
      </c>
      <c r="D11" s="1036"/>
      <c r="E11" s="1036"/>
      <c r="F11" s="1036"/>
      <c r="G11" s="1036"/>
      <c r="H11" s="1036"/>
      <c r="I11" s="1036"/>
      <c r="J11" s="1036"/>
      <c r="K11" s="1036"/>
      <c r="L11" s="1036"/>
      <c r="M11" s="1032" t="s">
        <v>1141</v>
      </c>
      <c r="N11" s="1039"/>
      <c r="O11" s="1039"/>
      <c r="P11" s="1039"/>
      <c r="Q11" s="1039"/>
      <c r="R11" s="1039"/>
      <c r="S11" s="1039"/>
      <c r="T11" s="1039"/>
      <c r="U11" s="1039"/>
      <c r="V11" s="1039"/>
      <c r="W11" s="1039"/>
      <c r="X11" s="1039"/>
      <c r="Y11" s="1040"/>
      <c r="Z11" s="1261"/>
    </row>
    <row r="12" spans="2:26" s="1260" customFormat="1" x14ac:dyDescent="0.3">
      <c r="B12" s="1034" t="s">
        <v>921</v>
      </c>
      <c r="C12" s="1035" t="s">
        <v>920</v>
      </c>
      <c r="D12" s="1036"/>
      <c r="E12" s="1036"/>
      <c r="F12" s="1036"/>
      <c r="G12" s="1036"/>
      <c r="H12" s="1037"/>
      <c r="I12" s="1036"/>
      <c r="J12" s="1036"/>
      <c r="K12" s="1036"/>
      <c r="L12" s="1036"/>
      <c r="M12" s="1032" t="s">
        <v>1141</v>
      </c>
      <c r="N12" s="1039"/>
      <c r="O12" s="1039"/>
      <c r="P12" s="1039"/>
      <c r="Q12" s="1039"/>
      <c r="R12" s="1039"/>
      <c r="S12" s="1039"/>
      <c r="T12" s="1039"/>
      <c r="U12" s="1039"/>
      <c r="V12" s="1039"/>
      <c r="W12" s="1039"/>
      <c r="X12" s="1039"/>
      <c r="Y12" s="1040"/>
      <c r="Z12" s="1261"/>
    </row>
    <row r="13" spans="2:26" s="1260" customFormat="1" x14ac:dyDescent="0.3">
      <c r="B13" s="1034" t="s">
        <v>924</v>
      </c>
      <c r="C13" s="1035" t="s">
        <v>920</v>
      </c>
      <c r="D13" s="1036"/>
      <c r="E13" s="1036"/>
      <c r="F13" s="1036"/>
      <c r="G13" s="1036"/>
      <c r="H13" s="1036"/>
      <c r="I13" s="1036"/>
      <c r="J13" s="1036"/>
      <c r="K13" s="1036"/>
      <c r="L13" s="1036"/>
      <c r="M13" s="1032" t="s">
        <v>1141</v>
      </c>
      <c r="N13" s="1039"/>
      <c r="O13" s="1039"/>
      <c r="P13" s="1039"/>
      <c r="Q13" s="1039"/>
      <c r="R13" s="1039"/>
      <c r="S13" s="1039"/>
      <c r="T13" s="1039"/>
      <c r="U13" s="1039"/>
      <c r="V13" s="1039"/>
      <c r="W13" s="1039"/>
      <c r="X13" s="1039"/>
      <c r="Y13" s="1040"/>
      <c r="Z13" s="1261"/>
    </row>
    <row r="14" spans="2:26" s="1260" customFormat="1" x14ac:dyDescent="0.3">
      <c r="B14" s="1034" t="s">
        <v>913</v>
      </c>
      <c r="C14" s="1036" t="s">
        <v>951</v>
      </c>
      <c r="D14" s="1036"/>
      <c r="E14" s="1036"/>
      <c r="F14" s="1036"/>
      <c r="G14" s="1036"/>
      <c r="H14" s="1036"/>
      <c r="I14" s="1254" t="s">
        <v>1128</v>
      </c>
      <c r="J14" s="1039"/>
      <c r="K14" s="1039"/>
      <c r="L14" s="1039"/>
      <c r="M14" s="1039"/>
      <c r="N14" s="1039"/>
      <c r="O14" s="1039"/>
      <c r="P14" s="1039"/>
      <c r="Q14" s="1039"/>
      <c r="R14" s="1039"/>
      <c r="S14" s="1039"/>
      <c r="T14" s="1039"/>
      <c r="U14" s="1039"/>
      <c r="V14" s="1039"/>
      <c r="W14" s="1039"/>
      <c r="X14" s="1039"/>
      <c r="Y14" s="1040"/>
      <c r="Z14" s="1261"/>
    </row>
    <row r="15" spans="2:26" s="1260" customFormat="1" x14ac:dyDescent="0.3">
      <c r="B15" s="1034" t="s">
        <v>914</v>
      </c>
      <c r="C15" s="1036" t="s">
        <v>951</v>
      </c>
      <c r="D15" s="1036"/>
      <c r="E15" s="1036"/>
      <c r="F15" s="1036"/>
      <c r="G15" s="1036"/>
      <c r="H15" s="1036"/>
      <c r="I15" s="1254" t="s">
        <v>1128</v>
      </c>
      <c r="J15" s="1039"/>
      <c r="K15" s="1039"/>
      <c r="L15" s="1039"/>
      <c r="M15" s="1039"/>
      <c r="N15" s="1039"/>
      <c r="O15" s="1039"/>
      <c r="P15" s="1039"/>
      <c r="Q15" s="1039"/>
      <c r="R15" s="1039"/>
      <c r="S15" s="1039"/>
      <c r="T15" s="1039"/>
      <c r="U15" s="1039"/>
      <c r="V15" s="1039"/>
      <c r="W15" s="1039"/>
      <c r="X15" s="1039"/>
      <c r="Y15" s="1040"/>
      <c r="Z15" s="1261"/>
    </row>
    <row r="16" spans="2:26" s="1260" customFormat="1" x14ac:dyDescent="0.3">
      <c r="B16" s="1034" t="s">
        <v>915</v>
      </c>
      <c r="C16" s="1036" t="s">
        <v>951</v>
      </c>
      <c r="D16" s="1036"/>
      <c r="E16" s="1036"/>
      <c r="F16" s="1036"/>
      <c r="G16" s="1254" t="s">
        <v>1128</v>
      </c>
      <c r="H16" s="1255"/>
      <c r="I16" s="1039"/>
      <c r="J16" s="1039"/>
      <c r="K16" s="1039"/>
      <c r="L16" s="1039"/>
      <c r="M16" s="1039"/>
      <c r="N16" s="1039"/>
      <c r="O16" s="1039"/>
      <c r="P16" s="1039"/>
      <c r="Q16" s="1039"/>
      <c r="R16" s="1039"/>
      <c r="S16" s="1039"/>
      <c r="T16" s="1039"/>
      <c r="U16" s="1039"/>
      <c r="V16" s="1039"/>
      <c r="W16" s="1039"/>
      <c r="X16" s="1039"/>
      <c r="Y16" s="1040"/>
      <c r="Z16" s="1261"/>
    </row>
    <row r="17" spans="2:26" x14ac:dyDescent="0.3">
      <c r="B17" s="1042" t="s">
        <v>910</v>
      </c>
      <c r="C17" s="1043"/>
      <c r="D17" s="1044"/>
      <c r="E17" s="1044"/>
      <c r="F17" s="1044"/>
      <c r="G17" s="1044"/>
      <c r="H17" s="1045"/>
      <c r="I17" s="1044"/>
      <c r="J17" s="1046" t="s">
        <v>946</v>
      </c>
      <c r="K17" s="1047"/>
      <c r="L17" s="1047"/>
      <c r="M17" s="1047"/>
      <c r="N17" s="1047"/>
      <c r="O17" s="1047"/>
      <c r="P17" s="1047"/>
      <c r="Q17" s="1047"/>
      <c r="R17" s="1047"/>
      <c r="S17" s="1047"/>
      <c r="T17" s="1047"/>
      <c r="U17" s="1047"/>
      <c r="V17" s="1047"/>
      <c r="W17" s="1047"/>
      <c r="X17" s="1047"/>
      <c r="Y17" s="1048"/>
      <c r="Z17" s="1261"/>
    </row>
    <row r="18" spans="2:26" x14ac:dyDescent="0.3">
      <c r="B18" s="1042" t="s">
        <v>955</v>
      </c>
      <c r="C18" s="1256"/>
      <c r="D18" s="1045"/>
      <c r="E18" s="1044"/>
      <c r="F18" s="1044"/>
      <c r="G18" s="1044"/>
      <c r="H18" s="1046" t="s">
        <v>946</v>
      </c>
      <c r="I18" s="1047"/>
      <c r="J18" s="1047"/>
      <c r="K18" s="1047"/>
      <c r="L18" s="1047"/>
      <c r="M18" s="1047"/>
      <c r="N18" s="1047"/>
      <c r="O18" s="1047"/>
      <c r="P18" s="1047"/>
      <c r="Q18" s="1047"/>
      <c r="R18" s="1047"/>
      <c r="S18" s="1047"/>
      <c r="T18" s="1047"/>
      <c r="U18" s="1047"/>
      <c r="V18" s="1047"/>
      <c r="W18" s="1047"/>
      <c r="X18" s="1047"/>
      <c r="Y18" s="1048"/>
      <c r="Z18" s="1261"/>
    </row>
    <row r="19" spans="2:26" x14ac:dyDescent="0.3">
      <c r="B19" s="811" t="s">
        <v>916</v>
      </c>
      <c r="C19" s="959"/>
      <c r="D19" s="1047"/>
      <c r="E19" s="1047"/>
      <c r="F19" s="1047"/>
      <c r="G19" s="1047"/>
      <c r="H19" s="1047"/>
      <c r="I19" s="1052" t="s">
        <v>956</v>
      </c>
      <c r="J19" s="1050"/>
      <c r="K19" s="1050"/>
      <c r="L19" s="1045"/>
      <c r="M19" s="1046" t="s">
        <v>946</v>
      </c>
      <c r="N19" s="1052" t="s">
        <v>957</v>
      </c>
      <c r="O19" s="1050"/>
      <c r="P19" s="1050"/>
      <c r="Q19" s="1050"/>
      <c r="R19" s="1050"/>
      <c r="S19" s="1046" t="s">
        <v>946</v>
      </c>
      <c r="T19" s="959"/>
      <c r="U19" s="959"/>
      <c r="V19" s="959"/>
      <c r="W19" s="959"/>
      <c r="X19" s="959"/>
      <c r="Y19" s="1033"/>
    </row>
    <row r="20" spans="2:26" x14ac:dyDescent="0.3">
      <c r="B20" s="811" t="s">
        <v>917</v>
      </c>
      <c r="C20" s="959"/>
      <c r="D20" s="1047"/>
      <c r="E20" s="1047"/>
      <c r="F20" s="1047"/>
      <c r="G20" s="1047"/>
      <c r="H20" s="1047"/>
      <c r="I20" s="1052" t="s">
        <v>956</v>
      </c>
      <c r="J20" s="1050"/>
      <c r="K20" s="1050"/>
      <c r="L20" s="1045"/>
      <c r="M20" s="1046" t="s">
        <v>946</v>
      </c>
      <c r="N20" s="1052" t="s">
        <v>957</v>
      </c>
      <c r="O20" s="1050"/>
      <c r="P20" s="1050"/>
      <c r="Q20" s="1050"/>
      <c r="R20" s="1050"/>
      <c r="S20" s="1046" t="s">
        <v>946</v>
      </c>
      <c r="T20" s="959"/>
      <c r="U20" s="959"/>
      <c r="V20" s="959"/>
      <c r="W20" s="959"/>
      <c r="X20" s="959"/>
      <c r="Y20" s="1033"/>
    </row>
    <row r="21" spans="2:26" x14ac:dyDescent="0.3">
      <c r="B21" s="811" t="s">
        <v>918</v>
      </c>
      <c r="C21" s="959"/>
      <c r="D21" s="1047"/>
      <c r="E21" s="1047"/>
      <c r="F21" s="1047"/>
      <c r="G21" s="1047"/>
      <c r="H21" s="1047"/>
      <c r="I21" s="1052" t="s">
        <v>956</v>
      </c>
      <c r="J21" s="1050"/>
      <c r="K21" s="1050"/>
      <c r="L21" s="1045"/>
      <c r="M21" s="1046" t="s">
        <v>946</v>
      </c>
      <c r="N21" s="959"/>
      <c r="O21" s="959"/>
      <c r="P21" s="959"/>
      <c r="Q21" s="1052" t="s">
        <v>957</v>
      </c>
      <c r="R21" s="1050"/>
      <c r="S21" s="1050"/>
      <c r="T21" s="1050"/>
      <c r="U21" s="1050"/>
      <c r="V21" s="1050"/>
      <c r="W21" s="1046" t="s">
        <v>946</v>
      </c>
      <c r="X21" s="959"/>
      <c r="Y21" s="1033"/>
    </row>
    <row r="22" spans="2:26" x14ac:dyDescent="0.3">
      <c r="B22" s="811" t="s">
        <v>919</v>
      </c>
      <c r="C22" s="959"/>
      <c r="D22" s="1047"/>
      <c r="E22" s="1047"/>
      <c r="F22" s="1047"/>
      <c r="G22" s="1047"/>
      <c r="H22" s="1047"/>
      <c r="I22" s="1052" t="s">
        <v>956</v>
      </c>
      <c r="J22" s="1050"/>
      <c r="K22" s="1050"/>
      <c r="L22" s="1045"/>
      <c r="M22" s="1046" t="s">
        <v>946</v>
      </c>
      <c r="N22" s="959"/>
      <c r="O22" s="959"/>
      <c r="P22" s="959"/>
      <c r="Q22" s="1052" t="s">
        <v>957</v>
      </c>
      <c r="R22" s="1050"/>
      <c r="S22" s="1050"/>
      <c r="T22" s="1050"/>
      <c r="U22" s="1050"/>
      <c r="V22" s="1050"/>
      <c r="W22" s="1046" t="s">
        <v>946</v>
      </c>
      <c r="X22" s="959"/>
      <c r="Y22" s="1033"/>
    </row>
    <row r="23" spans="2:26" x14ac:dyDescent="0.3">
      <c r="B23" s="1466" t="s">
        <v>926</v>
      </c>
      <c r="C23" s="1053" t="s">
        <v>958</v>
      </c>
      <c r="D23" s="1258"/>
      <c r="E23" s="1054"/>
      <c r="F23" s="1054"/>
      <c r="G23" s="1054"/>
      <c r="H23" s="1054"/>
      <c r="I23" s="1054"/>
      <c r="J23" s="1054"/>
      <c r="K23" s="1054"/>
      <c r="L23" s="1055" t="s">
        <v>946</v>
      </c>
      <c r="M23" s="1056"/>
      <c r="N23" s="1056"/>
      <c r="O23" s="1056"/>
      <c r="P23" s="1056"/>
      <c r="Q23" s="1056"/>
      <c r="R23" s="1056"/>
      <c r="S23" s="1056"/>
      <c r="T23" s="1056"/>
      <c r="U23" s="1056"/>
      <c r="V23" s="1056"/>
      <c r="W23" s="1056"/>
      <c r="X23" s="1056"/>
      <c r="Y23" s="1057"/>
    </row>
    <row r="24" spans="2:26" x14ac:dyDescent="0.3">
      <c r="B24" s="1467"/>
      <c r="C24" s="1058" t="s">
        <v>959</v>
      </c>
      <c r="D24" s="1059"/>
      <c r="E24" s="1059"/>
      <c r="F24" s="1059"/>
      <c r="G24" s="1059"/>
      <c r="H24" s="1059"/>
      <c r="I24" s="1059"/>
      <c r="J24" s="1059"/>
      <c r="K24" s="1059"/>
      <c r="L24" s="1059"/>
      <c r="M24" s="1059"/>
      <c r="N24" s="1059"/>
      <c r="O24" s="1059"/>
      <c r="P24" s="1059"/>
      <c r="Q24" s="1059"/>
      <c r="R24" s="1059"/>
      <c r="S24" s="1059"/>
      <c r="T24" s="1059"/>
      <c r="U24" s="1060" t="s">
        <v>946</v>
      </c>
      <c r="V24" s="1061"/>
      <c r="W24" s="1061"/>
      <c r="X24" s="1061"/>
      <c r="Y24" s="1062"/>
    </row>
    <row r="25" spans="2:26" x14ac:dyDescent="0.3">
      <c r="B25" s="1468"/>
      <c r="C25" s="1063"/>
      <c r="D25" s="1064"/>
      <c r="E25" s="1064"/>
      <c r="F25" s="1064"/>
      <c r="G25" s="1064"/>
      <c r="H25" s="1064"/>
      <c r="I25" s="1064"/>
      <c r="J25" s="1064"/>
      <c r="K25" s="1064"/>
      <c r="L25" s="1065" t="s">
        <v>960</v>
      </c>
      <c r="M25" s="1066"/>
      <c r="N25" s="1066"/>
      <c r="O25" s="1066"/>
      <c r="P25" s="1066"/>
      <c r="Q25" s="1066"/>
      <c r="R25" s="1066"/>
      <c r="S25" s="1066"/>
      <c r="T25" s="1066"/>
      <c r="U25" s="1067" t="s">
        <v>946</v>
      </c>
      <c r="V25" s="1064"/>
      <c r="W25" s="1064"/>
      <c r="X25" s="1064"/>
      <c r="Y25" s="1068"/>
    </row>
    <row r="26" spans="2:26" x14ac:dyDescent="0.3">
      <c r="B26" s="1466" t="s">
        <v>930</v>
      </c>
      <c r="C26" s="1069"/>
      <c r="D26" s="1056"/>
      <c r="E26" s="1056"/>
      <c r="F26" s="1056"/>
      <c r="G26" s="1056"/>
      <c r="H26" s="1070" t="s">
        <v>961</v>
      </c>
      <c r="I26" s="1054"/>
      <c r="J26" s="1054"/>
      <c r="K26" s="1054"/>
      <c r="L26" s="1054"/>
      <c r="M26" s="1054"/>
      <c r="N26" s="1054"/>
      <c r="O26" s="1054"/>
      <c r="P26" s="1054"/>
      <c r="Q26" s="1055" t="s">
        <v>946</v>
      </c>
      <c r="R26" s="1056"/>
      <c r="S26" s="1071"/>
      <c r="T26" s="1056"/>
      <c r="U26" s="1056"/>
      <c r="V26" s="1056"/>
      <c r="W26" s="1056"/>
      <c r="X26" s="1056"/>
      <c r="Y26" s="1057"/>
    </row>
    <row r="27" spans="2:26" x14ac:dyDescent="0.3">
      <c r="B27" s="1467"/>
      <c r="C27" s="1058" t="s">
        <v>959</v>
      </c>
      <c r="D27" s="1059"/>
      <c r="E27" s="1059"/>
      <c r="F27" s="1059"/>
      <c r="G27" s="1059"/>
      <c r="H27" s="1059"/>
      <c r="I27" s="1059"/>
      <c r="J27" s="1059"/>
      <c r="K27" s="1059"/>
      <c r="L27" s="1059"/>
      <c r="M27" s="1059"/>
      <c r="N27" s="1059"/>
      <c r="O27" s="1059"/>
      <c r="P27" s="1059"/>
      <c r="Q27" s="1059"/>
      <c r="R27" s="1059"/>
      <c r="S27" s="1059"/>
      <c r="T27" s="1059"/>
      <c r="U27" s="1060" t="s">
        <v>946</v>
      </c>
      <c r="V27" s="1061"/>
      <c r="W27" s="1061"/>
      <c r="X27" s="1061"/>
      <c r="Y27" s="1062"/>
    </row>
    <row r="28" spans="2:26" x14ac:dyDescent="0.3">
      <c r="B28" s="1468"/>
      <c r="C28" s="1063"/>
      <c r="D28" s="1064"/>
      <c r="E28" s="1064"/>
      <c r="F28" s="1064"/>
      <c r="G28" s="1064"/>
      <c r="H28" s="1064"/>
      <c r="I28" s="1064"/>
      <c r="J28" s="1064"/>
      <c r="K28" s="1064"/>
      <c r="L28" s="1065" t="s">
        <v>960</v>
      </c>
      <c r="M28" s="1065"/>
      <c r="N28" s="1066"/>
      <c r="O28" s="1066"/>
      <c r="P28" s="1066"/>
      <c r="Q28" s="1066"/>
      <c r="R28" s="1066"/>
      <c r="S28" s="1066"/>
      <c r="T28" s="1066"/>
      <c r="U28" s="1067" t="s">
        <v>946</v>
      </c>
      <c r="V28" s="1064"/>
      <c r="W28" s="1064"/>
      <c r="X28" s="1064"/>
      <c r="Y28" s="1068"/>
    </row>
    <row r="29" spans="2:26" x14ac:dyDescent="0.3">
      <c r="B29" s="1466" t="s">
        <v>931</v>
      </c>
      <c r="C29" s="1069"/>
      <c r="D29" s="1056"/>
      <c r="E29" s="1056"/>
      <c r="F29" s="1056"/>
      <c r="G29" s="1056"/>
      <c r="H29" s="1056"/>
      <c r="I29" s="1056"/>
      <c r="J29" s="1070" t="s">
        <v>962</v>
      </c>
      <c r="K29" s="1054"/>
      <c r="L29" s="1054"/>
      <c r="M29" s="1054"/>
      <c r="N29" s="1054"/>
      <c r="O29" s="1054"/>
      <c r="P29" s="1055" t="s">
        <v>946</v>
      </c>
      <c r="Q29" s="1056"/>
      <c r="R29" s="1056"/>
      <c r="S29" s="1071"/>
      <c r="T29" s="1056"/>
      <c r="U29" s="1056"/>
      <c r="V29" s="1056"/>
      <c r="W29" s="1056"/>
      <c r="X29" s="1056"/>
      <c r="Y29" s="1057"/>
    </row>
    <row r="30" spans="2:26" x14ac:dyDescent="0.3">
      <c r="B30" s="1467"/>
      <c r="C30" s="1058" t="s">
        <v>959</v>
      </c>
      <c r="D30" s="1059"/>
      <c r="E30" s="1059"/>
      <c r="F30" s="1059"/>
      <c r="G30" s="1059"/>
      <c r="H30" s="1059"/>
      <c r="I30" s="1059"/>
      <c r="J30" s="1059"/>
      <c r="K30" s="1059"/>
      <c r="L30" s="1059"/>
      <c r="M30" s="1059"/>
      <c r="N30" s="1059"/>
      <c r="O30" s="1059"/>
      <c r="P30" s="1059"/>
      <c r="Q30" s="1059"/>
      <c r="R30" s="1059"/>
      <c r="S30" s="1059"/>
      <c r="T30" s="1059"/>
      <c r="U30" s="1059"/>
      <c r="V30" s="1059"/>
      <c r="W30" s="1059"/>
      <c r="X30" s="1059"/>
      <c r="Y30" s="1072" t="s">
        <v>946</v>
      </c>
    </row>
    <row r="31" spans="2:26" x14ac:dyDescent="0.3">
      <c r="B31" s="1468"/>
      <c r="C31" s="1063"/>
      <c r="D31" s="1064"/>
      <c r="E31" s="1064"/>
      <c r="F31" s="1064"/>
      <c r="G31" s="1064"/>
      <c r="H31" s="1064"/>
      <c r="I31" s="1064"/>
      <c r="J31" s="1064"/>
      <c r="K31" s="1064"/>
      <c r="L31" s="1064"/>
      <c r="M31" s="1064"/>
      <c r="N31" s="1064"/>
      <c r="O31" s="1064"/>
      <c r="P31" s="1065" t="s">
        <v>960</v>
      </c>
      <c r="Q31" s="1066"/>
      <c r="R31" s="1066"/>
      <c r="S31" s="1066"/>
      <c r="T31" s="1066"/>
      <c r="U31" s="1066"/>
      <c r="V31" s="1066"/>
      <c r="W31" s="1066"/>
      <c r="X31" s="1066"/>
      <c r="Y31" s="1073" t="s">
        <v>946</v>
      </c>
    </row>
    <row r="32" spans="2:26" x14ac:dyDescent="0.3">
      <c r="B32" s="1466" t="s">
        <v>932</v>
      </c>
      <c r="C32" s="1069"/>
      <c r="D32" s="1056"/>
      <c r="E32" s="1056"/>
      <c r="F32" s="1056"/>
      <c r="G32" s="1056"/>
      <c r="H32" s="1056"/>
      <c r="I32" s="1056"/>
      <c r="J32" s="1070" t="s">
        <v>963</v>
      </c>
      <c r="K32" s="1054"/>
      <c r="L32" s="1054"/>
      <c r="M32" s="1054"/>
      <c r="N32" s="1054"/>
      <c r="O32" s="1054"/>
      <c r="P32" s="1055" t="s">
        <v>946</v>
      </c>
      <c r="Q32" s="1056"/>
      <c r="R32" s="1056"/>
      <c r="S32" s="1071"/>
      <c r="T32" s="1056"/>
      <c r="U32" s="1056"/>
      <c r="V32" s="1056"/>
      <c r="W32" s="1056"/>
      <c r="X32" s="1056"/>
      <c r="Y32" s="1057"/>
    </row>
    <row r="33" spans="2:25" x14ac:dyDescent="0.3">
      <c r="B33" s="1467"/>
      <c r="C33" s="1058" t="s">
        <v>959</v>
      </c>
      <c r="D33" s="1059"/>
      <c r="E33" s="1059"/>
      <c r="F33" s="1059"/>
      <c r="G33" s="1059"/>
      <c r="H33" s="1059"/>
      <c r="I33" s="1059"/>
      <c r="J33" s="1059"/>
      <c r="K33" s="1059"/>
      <c r="L33" s="1059"/>
      <c r="M33" s="1059"/>
      <c r="N33" s="1059"/>
      <c r="O33" s="1059"/>
      <c r="P33" s="1059"/>
      <c r="Q33" s="1059"/>
      <c r="R33" s="1059"/>
      <c r="S33" s="1059"/>
      <c r="T33" s="1059"/>
      <c r="U33" s="1059"/>
      <c r="V33" s="1059"/>
      <c r="W33" s="1059"/>
      <c r="X33" s="1059"/>
      <c r="Y33" s="1072" t="s">
        <v>946</v>
      </c>
    </row>
    <row r="34" spans="2:25" x14ac:dyDescent="0.3">
      <c r="B34" s="1468"/>
      <c r="C34" s="1063"/>
      <c r="D34" s="1064"/>
      <c r="E34" s="1064"/>
      <c r="F34" s="1064"/>
      <c r="G34" s="1064"/>
      <c r="H34" s="1064"/>
      <c r="I34" s="1064"/>
      <c r="J34" s="1064"/>
      <c r="K34" s="1064"/>
      <c r="L34" s="1064"/>
      <c r="M34" s="1064"/>
      <c r="N34" s="1064"/>
      <c r="O34" s="1064"/>
      <c r="P34" s="1065" t="s">
        <v>960</v>
      </c>
      <c r="Q34" s="1066"/>
      <c r="R34" s="1066"/>
      <c r="S34" s="1066"/>
      <c r="T34" s="1066"/>
      <c r="U34" s="1066"/>
      <c r="V34" s="1066"/>
      <c r="W34" s="1066"/>
      <c r="X34" s="1066"/>
      <c r="Y34" s="1073" t="s">
        <v>946</v>
      </c>
    </row>
    <row r="35" spans="2:25" x14ac:dyDescent="0.3">
      <c r="B35" s="811" t="s">
        <v>925</v>
      </c>
      <c r="C35" s="1074"/>
      <c r="D35" s="959"/>
      <c r="E35" s="959"/>
      <c r="F35" s="959"/>
      <c r="G35" s="959"/>
      <c r="H35" s="959"/>
      <c r="I35" s="959"/>
      <c r="J35" s="959"/>
      <c r="K35" s="959"/>
      <c r="L35" s="959"/>
      <c r="M35" s="959"/>
      <c r="N35" s="959"/>
      <c r="O35" s="959"/>
      <c r="P35" s="959"/>
      <c r="Q35" s="959"/>
      <c r="R35" s="959"/>
      <c r="S35" s="959"/>
      <c r="T35" s="1075"/>
      <c r="U35" s="1257" t="s">
        <v>1129</v>
      </c>
      <c r="V35" s="959"/>
      <c r="W35" s="959"/>
      <c r="X35" s="959"/>
      <c r="Y35" s="1033"/>
    </row>
    <row r="36" spans="2:25" x14ac:dyDescent="0.3">
      <c r="B36" s="811" t="s">
        <v>927</v>
      </c>
      <c r="C36" s="1074"/>
      <c r="D36" s="959"/>
      <c r="E36" s="959"/>
      <c r="F36" s="959"/>
      <c r="G36" s="959"/>
      <c r="H36" s="959"/>
      <c r="I36" s="959"/>
      <c r="J36" s="959"/>
      <c r="K36" s="959"/>
      <c r="L36" s="959"/>
      <c r="M36" s="959"/>
      <c r="N36" s="959"/>
      <c r="O36" s="959"/>
      <c r="P36" s="959"/>
      <c r="Q36" s="959"/>
      <c r="R36" s="959"/>
      <c r="S36" s="959"/>
      <c r="T36" s="1075"/>
      <c r="U36" s="1257" t="s">
        <v>1129</v>
      </c>
      <c r="V36" s="959"/>
      <c r="W36" s="959"/>
      <c r="X36" s="959"/>
      <c r="Y36" s="1033"/>
    </row>
    <row r="37" spans="2:25" x14ac:dyDescent="0.3">
      <c r="B37" s="811" t="s">
        <v>928</v>
      </c>
      <c r="C37" s="1074"/>
      <c r="D37" s="959"/>
      <c r="E37" s="959"/>
      <c r="F37" s="959"/>
      <c r="G37" s="959"/>
      <c r="H37" s="959"/>
      <c r="I37" s="959"/>
      <c r="J37" s="959"/>
      <c r="K37" s="959"/>
      <c r="L37" s="959"/>
      <c r="M37" s="959"/>
      <c r="N37" s="959"/>
      <c r="O37" s="959"/>
      <c r="P37" s="959"/>
      <c r="Q37" s="959"/>
      <c r="R37" s="959"/>
      <c r="S37" s="959"/>
      <c r="T37" s="959"/>
      <c r="U37" s="959"/>
      <c r="V37" s="959"/>
      <c r="W37" s="959"/>
      <c r="X37" s="1077"/>
      <c r="Y37" s="1078" t="s">
        <v>709</v>
      </c>
    </row>
    <row r="38" spans="2:25" ht="17.25" thickBot="1" x14ac:dyDescent="0.35">
      <c r="B38" s="813" t="s">
        <v>929</v>
      </c>
      <c r="C38" s="1079"/>
      <c r="D38" s="1080"/>
      <c r="E38" s="1080"/>
      <c r="F38" s="1080"/>
      <c r="G38" s="1080"/>
      <c r="H38" s="1080"/>
      <c r="I38" s="1080"/>
      <c r="J38" s="1080"/>
      <c r="K38" s="1080"/>
      <c r="L38" s="1080"/>
      <c r="M38" s="1080"/>
      <c r="N38" s="1080"/>
      <c r="O38" s="1080"/>
      <c r="P38" s="1080"/>
      <c r="Q38" s="1080"/>
      <c r="R38" s="1080"/>
      <c r="S38" s="1080"/>
      <c r="T38" s="1080"/>
      <c r="U38" s="1080"/>
      <c r="V38" s="1080"/>
      <c r="W38" s="1080"/>
      <c r="X38" s="1081"/>
      <c r="Y38" s="1082" t="s">
        <v>709</v>
      </c>
    </row>
  </sheetData>
  <mergeCells count="5">
    <mergeCell ref="B3:B4"/>
    <mergeCell ref="B23:B25"/>
    <mergeCell ref="B26:B28"/>
    <mergeCell ref="B29:B31"/>
    <mergeCell ref="B32:B34"/>
  </mergeCells>
  <phoneticPr fontId="2" type="noConversion"/>
  <pageMargins left="0.25" right="0.25" top="0.75" bottom="0.75" header="0.3" footer="0.3"/>
  <pageSetup paperSize="9" scale="52" fitToHeight="0" orientation="landscape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15A3-EA8A-406A-A7AC-378A8DE2874F}">
  <sheetPr>
    <tabColor rgb="FFC00000"/>
  </sheetPr>
  <dimension ref="B1:Z37"/>
  <sheetViews>
    <sheetView zoomScale="85" zoomScaleNormal="85" workbookViewId="0">
      <pane xSplit="2" ySplit="4" topLeftCell="D5" activePane="bottomRight" state="frozen"/>
      <selection pane="topRight" activeCell="C1" sqref="C1"/>
      <selection pane="bottomLeft" activeCell="A5" sqref="A5"/>
      <selection pane="bottomRight" activeCell="B28" sqref="B28:B30"/>
    </sheetView>
  </sheetViews>
  <sheetFormatPr defaultRowHeight="16.5" x14ac:dyDescent="0.3"/>
  <cols>
    <col min="1" max="1" width="4.875" customWidth="1"/>
    <col min="2" max="2" width="43.875" customWidth="1"/>
    <col min="3" max="25" width="8.875" customWidth="1"/>
  </cols>
  <sheetData>
    <row r="1" spans="2:26" s="103" customFormat="1" x14ac:dyDescent="0.3"/>
    <row r="2" spans="2:26" s="103" customFormat="1" ht="23.25" customHeight="1" thickBot="1" x14ac:dyDescent="0.35">
      <c r="B2" s="1252" t="s">
        <v>942</v>
      </c>
      <c r="Y2" s="1253" t="s">
        <v>1127</v>
      </c>
    </row>
    <row r="3" spans="2:26" x14ac:dyDescent="0.3">
      <c r="B3" s="1464" t="s">
        <v>949</v>
      </c>
      <c r="C3" s="952" t="s">
        <v>687</v>
      </c>
      <c r="D3" s="953" t="s">
        <v>688</v>
      </c>
      <c r="E3" s="953" t="s">
        <v>689</v>
      </c>
      <c r="F3" s="953" t="s">
        <v>690</v>
      </c>
      <c r="G3" s="953" t="s">
        <v>691</v>
      </c>
      <c r="H3" s="953" t="s">
        <v>718</v>
      </c>
      <c r="I3" s="953" t="s">
        <v>692</v>
      </c>
      <c r="J3" s="953" t="s">
        <v>693</v>
      </c>
      <c r="K3" s="953" t="s">
        <v>694</v>
      </c>
      <c r="L3" s="953" t="s">
        <v>695</v>
      </c>
      <c r="M3" s="953" t="s">
        <v>696</v>
      </c>
      <c r="N3" s="953" t="s">
        <v>697</v>
      </c>
      <c r="O3" s="953" t="s">
        <v>698</v>
      </c>
      <c r="P3" s="953" t="s">
        <v>699</v>
      </c>
      <c r="Q3" s="953" t="s">
        <v>700</v>
      </c>
      <c r="R3" s="953" t="s">
        <v>701</v>
      </c>
      <c r="S3" s="953" t="s">
        <v>702</v>
      </c>
      <c r="T3" s="953" t="s">
        <v>703</v>
      </c>
      <c r="U3" s="953" t="s">
        <v>719</v>
      </c>
      <c r="V3" s="953" t="s">
        <v>704</v>
      </c>
      <c r="W3" s="953" t="s">
        <v>705</v>
      </c>
      <c r="X3" s="953" t="s">
        <v>706</v>
      </c>
      <c r="Y3" s="954" t="s">
        <v>707</v>
      </c>
    </row>
    <row r="4" spans="2:26" ht="17.25" thickBot="1" x14ac:dyDescent="0.35">
      <c r="B4" s="1465"/>
      <c r="C4" s="955">
        <v>1</v>
      </c>
      <c r="D4" s="956">
        <v>2</v>
      </c>
      <c r="E4" s="956">
        <v>3</v>
      </c>
      <c r="F4" s="956">
        <v>4</v>
      </c>
      <c r="G4" s="956">
        <v>5</v>
      </c>
      <c r="H4" s="956">
        <v>6</v>
      </c>
      <c r="I4" s="956">
        <v>7</v>
      </c>
      <c r="J4" s="956">
        <v>8</v>
      </c>
      <c r="K4" s="956">
        <v>9</v>
      </c>
      <c r="L4" s="956">
        <v>10</v>
      </c>
      <c r="M4" s="956">
        <v>11</v>
      </c>
      <c r="N4" s="956">
        <v>12</v>
      </c>
      <c r="O4" s="956">
        <v>13</v>
      </c>
      <c r="P4" s="956">
        <v>14</v>
      </c>
      <c r="Q4" s="956">
        <v>15</v>
      </c>
      <c r="R4" s="956">
        <v>16</v>
      </c>
      <c r="S4" s="956">
        <v>17</v>
      </c>
      <c r="T4" s="956">
        <v>18</v>
      </c>
      <c r="U4" s="956">
        <v>19</v>
      </c>
      <c r="V4" s="956">
        <v>20</v>
      </c>
      <c r="W4" s="956">
        <v>21</v>
      </c>
      <c r="X4" s="956">
        <v>22</v>
      </c>
      <c r="Y4" s="957">
        <v>23</v>
      </c>
    </row>
    <row r="5" spans="2:26" x14ac:dyDescent="0.3">
      <c r="B5" s="810" t="s">
        <v>944</v>
      </c>
      <c r="C5" s="1027"/>
      <c r="D5" s="1027"/>
      <c r="E5" s="1027"/>
      <c r="F5" s="1027"/>
      <c r="G5" s="1027"/>
      <c r="H5" s="1028"/>
      <c r="I5" s="1029" t="s">
        <v>933</v>
      </c>
      <c r="J5" s="958"/>
      <c r="K5" s="958"/>
      <c r="L5" s="958"/>
      <c r="M5" s="958"/>
      <c r="N5" s="958"/>
      <c r="O5" s="958"/>
      <c r="P5" s="958"/>
      <c r="Q5" s="958"/>
      <c r="R5" s="958"/>
      <c r="S5" s="958"/>
      <c r="T5" s="958"/>
      <c r="U5" s="958"/>
      <c r="V5" s="958"/>
      <c r="W5" s="958"/>
      <c r="X5" s="958"/>
      <c r="Y5" s="1030"/>
    </row>
    <row r="6" spans="2:26" x14ac:dyDescent="0.3">
      <c r="B6" s="811" t="s">
        <v>911</v>
      </c>
      <c r="C6" s="1031"/>
      <c r="D6" s="1031"/>
      <c r="E6" s="1031"/>
      <c r="F6" s="1031"/>
      <c r="G6" s="1031"/>
      <c r="H6" s="1032" t="s">
        <v>933</v>
      </c>
      <c r="I6" s="959"/>
      <c r="J6" s="959"/>
      <c r="K6" s="959"/>
      <c r="L6" s="959"/>
      <c r="M6" s="959"/>
      <c r="N6" s="959"/>
      <c r="O6" s="959"/>
      <c r="P6" s="959"/>
      <c r="Q6" s="959"/>
      <c r="R6" s="959"/>
      <c r="S6" s="959"/>
      <c r="T6" s="959"/>
      <c r="U6" s="959"/>
      <c r="V6" s="959"/>
      <c r="W6" s="959"/>
      <c r="X6" s="959"/>
      <c r="Y6" s="1033"/>
    </row>
    <row r="7" spans="2:26" x14ac:dyDescent="0.3">
      <c r="B7" s="1034" t="s">
        <v>912</v>
      </c>
      <c r="C7" s="1035"/>
      <c r="D7" s="1036"/>
      <c r="E7" s="1036"/>
      <c r="F7" s="1036"/>
      <c r="G7" s="1036"/>
      <c r="H7" s="1036"/>
      <c r="I7" s="1037"/>
      <c r="J7" s="1037"/>
      <c r="K7" s="1038" t="s">
        <v>933</v>
      </c>
      <c r="L7" s="1039"/>
      <c r="M7" s="1039"/>
      <c r="N7" s="1039"/>
      <c r="O7" s="1039"/>
      <c r="P7" s="1039"/>
      <c r="Q7" s="1039"/>
      <c r="R7" s="1039"/>
      <c r="S7" s="1039"/>
      <c r="T7" s="1039"/>
      <c r="U7" s="1039"/>
      <c r="V7" s="1039"/>
      <c r="W7" s="1039"/>
      <c r="X7" s="1039"/>
      <c r="Y7" s="1040"/>
      <c r="Z7" s="82"/>
    </row>
    <row r="8" spans="2:26" x14ac:dyDescent="0.3">
      <c r="B8" s="1034" t="s">
        <v>950</v>
      </c>
      <c r="C8" s="1035" t="s">
        <v>945</v>
      </c>
      <c r="D8" s="1036"/>
      <c r="E8" s="1036"/>
      <c r="F8" s="1036"/>
      <c r="G8" s="1036"/>
      <c r="H8" s="1036"/>
      <c r="I8" s="1036"/>
      <c r="J8" s="1036"/>
      <c r="K8" s="1036"/>
      <c r="L8" s="1037"/>
      <c r="M8" s="1037"/>
      <c r="N8" s="1038" t="s">
        <v>933</v>
      </c>
      <c r="O8" s="1039"/>
      <c r="P8" s="1039"/>
      <c r="Q8" s="1039"/>
      <c r="R8" s="1039"/>
      <c r="S8" s="1039"/>
      <c r="T8" s="1039"/>
      <c r="U8" s="1039"/>
      <c r="V8" s="1039"/>
      <c r="W8" s="1039"/>
      <c r="X8" s="1039"/>
      <c r="Y8" s="1040"/>
      <c r="Z8" s="82"/>
    </row>
    <row r="9" spans="2:26" s="1041" customFormat="1" x14ac:dyDescent="0.3">
      <c r="B9" s="1034" t="s">
        <v>923</v>
      </c>
      <c r="C9" s="1035" t="s">
        <v>920</v>
      </c>
      <c r="D9" s="1036"/>
      <c r="E9" s="1036"/>
      <c r="F9" s="1036"/>
      <c r="G9" s="1036"/>
      <c r="H9" s="1036"/>
      <c r="I9" s="1036"/>
      <c r="J9" s="1038" t="s">
        <v>933</v>
      </c>
      <c r="K9" s="1039"/>
      <c r="L9" s="1039"/>
      <c r="M9" s="1039"/>
      <c r="N9" s="1039"/>
      <c r="O9" s="1039"/>
      <c r="P9" s="1039"/>
      <c r="Q9" s="1039"/>
      <c r="R9" s="1039"/>
      <c r="S9" s="1039"/>
      <c r="T9" s="1039"/>
      <c r="U9" s="1039"/>
      <c r="V9" s="1039"/>
      <c r="W9" s="1039"/>
      <c r="X9" s="1039"/>
      <c r="Y9" s="1040"/>
      <c r="Z9" s="82"/>
    </row>
    <row r="10" spans="2:26" s="1041" customFormat="1" x14ac:dyDescent="0.3">
      <c r="B10" s="1034" t="s">
        <v>922</v>
      </c>
      <c r="C10" s="1035" t="s">
        <v>920</v>
      </c>
      <c r="D10" s="1036"/>
      <c r="E10" s="1036"/>
      <c r="F10" s="1036"/>
      <c r="G10" s="1036"/>
      <c r="H10" s="1036"/>
      <c r="I10" s="1036"/>
      <c r="J10" s="1036"/>
      <c r="K10" s="1036"/>
      <c r="L10" s="1036"/>
      <c r="M10" s="1036"/>
      <c r="N10" s="1038" t="s">
        <v>933</v>
      </c>
      <c r="O10" s="1039"/>
      <c r="P10" s="1039"/>
      <c r="Q10" s="1039"/>
      <c r="R10" s="1039"/>
      <c r="S10" s="1039"/>
      <c r="T10" s="1039"/>
      <c r="U10" s="1039"/>
      <c r="V10" s="1039"/>
      <c r="W10" s="1039"/>
      <c r="X10" s="1039"/>
      <c r="Y10" s="1040"/>
      <c r="Z10" s="82"/>
    </row>
    <row r="11" spans="2:26" s="1041" customFormat="1" x14ac:dyDescent="0.3">
      <c r="B11" s="1034" t="s">
        <v>921</v>
      </c>
      <c r="C11" s="1035" t="s">
        <v>920</v>
      </c>
      <c r="D11" s="1036"/>
      <c r="E11" s="1036"/>
      <c r="F11" s="1036"/>
      <c r="G11" s="1036"/>
      <c r="H11" s="1037"/>
      <c r="I11" s="1036"/>
      <c r="J11" s="1036"/>
      <c r="K11" s="1036"/>
      <c r="L11" s="1036"/>
      <c r="M11" s="1036"/>
      <c r="N11" s="1038" t="s">
        <v>933</v>
      </c>
      <c r="O11" s="1039"/>
      <c r="P11" s="1039"/>
      <c r="Q11" s="1039"/>
      <c r="R11" s="1039"/>
      <c r="S11" s="1039"/>
      <c r="T11" s="1039"/>
      <c r="U11" s="1039"/>
      <c r="V11" s="1039"/>
      <c r="W11" s="1039"/>
      <c r="X11" s="1039"/>
      <c r="Y11" s="1040"/>
      <c r="Z11" s="82"/>
    </row>
    <row r="12" spans="2:26" s="1041" customFormat="1" x14ac:dyDescent="0.3">
      <c r="B12" s="1034" t="s">
        <v>924</v>
      </c>
      <c r="C12" s="1035" t="s">
        <v>920</v>
      </c>
      <c r="D12" s="1036"/>
      <c r="E12" s="1036"/>
      <c r="F12" s="1036"/>
      <c r="G12" s="1036"/>
      <c r="H12" s="1036"/>
      <c r="I12" s="1036"/>
      <c r="J12" s="1036"/>
      <c r="K12" s="1036"/>
      <c r="L12" s="1036"/>
      <c r="M12" s="1036"/>
      <c r="N12" s="1038" t="s">
        <v>933</v>
      </c>
      <c r="O12" s="1039"/>
      <c r="P12" s="1039"/>
      <c r="Q12" s="1039"/>
      <c r="R12" s="1039"/>
      <c r="S12" s="1039"/>
      <c r="T12" s="1039"/>
      <c r="U12" s="1039"/>
      <c r="V12" s="1039"/>
      <c r="W12" s="1039"/>
      <c r="X12" s="1039"/>
      <c r="Y12" s="1040"/>
      <c r="Z12" s="82"/>
    </row>
    <row r="13" spans="2:26" s="1041" customFormat="1" x14ac:dyDescent="0.3">
      <c r="B13" s="1034" t="s">
        <v>913</v>
      </c>
      <c r="C13" s="1036" t="s">
        <v>951</v>
      </c>
      <c r="D13" s="1036"/>
      <c r="E13" s="1036"/>
      <c r="F13" s="1036"/>
      <c r="G13" s="1036"/>
      <c r="H13" s="1038" t="s">
        <v>933</v>
      </c>
      <c r="I13" s="1039"/>
      <c r="J13" s="1039"/>
      <c r="K13" s="1039"/>
      <c r="L13" s="1039"/>
      <c r="M13" s="1039"/>
      <c r="N13" s="1039"/>
      <c r="O13" s="1039"/>
      <c r="P13" s="1039"/>
      <c r="Q13" s="1039"/>
      <c r="R13" s="1039"/>
      <c r="S13" s="1039"/>
      <c r="T13" s="1039"/>
      <c r="U13" s="1039"/>
      <c r="V13" s="1039"/>
      <c r="W13" s="1039"/>
      <c r="X13" s="1039"/>
      <c r="Y13" s="1040"/>
      <c r="Z13" s="82"/>
    </row>
    <row r="14" spans="2:26" s="1041" customFormat="1" x14ac:dyDescent="0.3">
      <c r="B14" s="1034" t="s">
        <v>914</v>
      </c>
      <c r="C14" s="1036" t="s">
        <v>951</v>
      </c>
      <c r="D14" s="1036"/>
      <c r="E14" s="1036"/>
      <c r="F14" s="1036"/>
      <c r="G14" s="1036"/>
      <c r="H14" s="1038" t="s">
        <v>933</v>
      </c>
      <c r="I14" s="1039"/>
      <c r="J14" s="1039"/>
      <c r="K14" s="1039"/>
      <c r="L14" s="1039"/>
      <c r="M14" s="1039"/>
      <c r="N14" s="1039"/>
      <c r="O14" s="1039"/>
      <c r="P14" s="1039"/>
      <c r="Q14" s="1039"/>
      <c r="R14" s="1039"/>
      <c r="S14" s="1039"/>
      <c r="T14" s="1039"/>
      <c r="U14" s="1039"/>
      <c r="V14" s="1039"/>
      <c r="W14" s="1039"/>
      <c r="X14" s="1039"/>
      <c r="Y14" s="1040"/>
      <c r="Z14" s="82"/>
    </row>
    <row r="15" spans="2:26" s="1041" customFormat="1" x14ac:dyDescent="0.3">
      <c r="B15" s="1034" t="s">
        <v>915</v>
      </c>
      <c r="C15" s="1036" t="s">
        <v>951</v>
      </c>
      <c r="D15" s="1036"/>
      <c r="E15" s="1036"/>
      <c r="F15" s="1036"/>
      <c r="G15" s="1254" t="s">
        <v>1128</v>
      </c>
      <c r="H15" s="1255"/>
      <c r="I15" s="1039"/>
      <c r="J15" s="1039"/>
      <c r="K15" s="1039"/>
      <c r="L15" s="1039"/>
      <c r="M15" s="1039"/>
      <c r="N15" s="1039"/>
      <c r="O15" s="1039"/>
      <c r="P15" s="1039"/>
      <c r="Q15" s="1039"/>
      <c r="R15" s="1039"/>
      <c r="S15" s="1039"/>
      <c r="T15" s="1039"/>
      <c r="U15" s="1039"/>
      <c r="V15" s="1039"/>
      <c r="W15" s="1039"/>
      <c r="X15" s="1039"/>
      <c r="Y15" s="1040"/>
      <c r="Z15" s="82"/>
    </row>
    <row r="16" spans="2:26" x14ac:dyDescent="0.3">
      <c r="B16" s="1042" t="s">
        <v>910</v>
      </c>
      <c r="C16" s="1043"/>
      <c r="D16" s="1044"/>
      <c r="E16" s="1044"/>
      <c r="F16" s="1044"/>
      <c r="G16" s="1044"/>
      <c r="H16" s="1045"/>
      <c r="I16" s="1044"/>
      <c r="J16" s="1046" t="s">
        <v>946</v>
      </c>
      <c r="K16" s="1047"/>
      <c r="L16" s="1047"/>
      <c r="M16" s="1047"/>
      <c r="N16" s="1047"/>
      <c r="O16" s="1047"/>
      <c r="P16" s="1047"/>
      <c r="Q16" s="1047"/>
      <c r="R16" s="1047"/>
      <c r="S16" s="1047"/>
      <c r="T16" s="1047"/>
      <c r="U16" s="1047"/>
      <c r="V16" s="1047"/>
      <c r="W16" s="1047"/>
      <c r="X16" s="1047"/>
      <c r="Y16" s="1048"/>
      <c r="Z16" s="82"/>
    </row>
    <row r="17" spans="2:26" x14ac:dyDescent="0.3">
      <c r="B17" s="1042" t="s">
        <v>955</v>
      </c>
      <c r="C17" s="1256"/>
      <c r="D17" s="1045"/>
      <c r="E17" s="1044"/>
      <c r="F17" s="1044"/>
      <c r="G17" s="1046" t="s">
        <v>946</v>
      </c>
      <c r="H17" s="1047"/>
      <c r="I17" s="1047"/>
      <c r="J17" s="1047"/>
      <c r="K17" s="1047"/>
      <c r="L17" s="1047"/>
      <c r="M17" s="1047"/>
      <c r="N17" s="1047"/>
      <c r="O17" s="1047"/>
      <c r="P17" s="1047"/>
      <c r="Q17" s="1047"/>
      <c r="R17" s="1047"/>
      <c r="S17" s="1047"/>
      <c r="T17" s="1047"/>
      <c r="U17" s="1047"/>
      <c r="V17" s="1047"/>
      <c r="W17" s="1047"/>
      <c r="X17" s="1047"/>
      <c r="Y17" s="1048"/>
      <c r="Z17" s="82"/>
    </row>
    <row r="18" spans="2:26" x14ac:dyDescent="0.3">
      <c r="B18" s="811" t="s">
        <v>916</v>
      </c>
      <c r="C18" s="959"/>
      <c r="D18" s="1047"/>
      <c r="E18" s="1047"/>
      <c r="F18" s="1047"/>
      <c r="G18" s="1047"/>
      <c r="H18" s="1052" t="s">
        <v>956</v>
      </c>
      <c r="I18" s="1050"/>
      <c r="J18" s="1050"/>
      <c r="K18" s="1046" t="s">
        <v>946</v>
      </c>
      <c r="L18" s="1052" t="s">
        <v>957</v>
      </c>
      <c r="M18" s="1050"/>
      <c r="N18" s="1050"/>
      <c r="O18" s="1050"/>
      <c r="P18" s="1050"/>
      <c r="Q18" s="1050"/>
      <c r="R18" s="1046" t="s">
        <v>946</v>
      </c>
      <c r="S18" s="959"/>
      <c r="T18" s="959"/>
      <c r="U18" s="959"/>
      <c r="V18" s="959"/>
      <c r="W18" s="959"/>
      <c r="X18" s="959"/>
      <c r="Y18" s="1033"/>
    </row>
    <row r="19" spans="2:26" x14ac:dyDescent="0.3">
      <c r="B19" s="811" t="s">
        <v>917</v>
      </c>
      <c r="C19" s="959"/>
      <c r="D19" s="1047"/>
      <c r="E19" s="1047"/>
      <c r="F19" s="1047"/>
      <c r="G19" s="1047"/>
      <c r="H19" s="1052" t="s">
        <v>956</v>
      </c>
      <c r="I19" s="1050"/>
      <c r="J19" s="1050"/>
      <c r="K19" s="1046" t="s">
        <v>946</v>
      </c>
      <c r="L19" s="1052" t="s">
        <v>957</v>
      </c>
      <c r="M19" s="1050"/>
      <c r="N19" s="1050"/>
      <c r="O19" s="1050"/>
      <c r="P19" s="1050"/>
      <c r="Q19" s="1050"/>
      <c r="R19" s="1046" t="s">
        <v>946</v>
      </c>
      <c r="S19" s="959"/>
      <c r="T19" s="959"/>
      <c r="U19" s="959"/>
      <c r="V19" s="959"/>
      <c r="W19" s="959"/>
      <c r="X19" s="959"/>
      <c r="Y19" s="1033"/>
    </row>
    <row r="20" spans="2:26" x14ac:dyDescent="0.3">
      <c r="B20" s="811" t="s">
        <v>918</v>
      </c>
      <c r="C20" s="959"/>
      <c r="D20" s="1047"/>
      <c r="E20" s="1047"/>
      <c r="F20" s="1047"/>
      <c r="G20" s="1047"/>
      <c r="H20" s="1052" t="s">
        <v>956</v>
      </c>
      <c r="I20" s="1050"/>
      <c r="J20" s="1050"/>
      <c r="K20" s="1045"/>
      <c r="L20" s="1046" t="s">
        <v>946</v>
      </c>
      <c r="M20" s="959"/>
      <c r="N20" s="959"/>
      <c r="O20" s="959"/>
      <c r="P20" s="1052" t="s">
        <v>957</v>
      </c>
      <c r="Q20" s="1050"/>
      <c r="R20" s="1050"/>
      <c r="S20" s="1050"/>
      <c r="T20" s="1050"/>
      <c r="U20" s="1050"/>
      <c r="V20" s="1046" t="s">
        <v>946</v>
      </c>
      <c r="W20" s="959"/>
      <c r="X20" s="959"/>
      <c r="Y20" s="1033"/>
    </row>
    <row r="21" spans="2:26" x14ac:dyDescent="0.3">
      <c r="B21" s="811" t="s">
        <v>919</v>
      </c>
      <c r="C21" s="959"/>
      <c r="D21" s="1047"/>
      <c r="E21" s="1047"/>
      <c r="F21" s="1047"/>
      <c r="G21" s="1047"/>
      <c r="H21" s="1052" t="s">
        <v>956</v>
      </c>
      <c r="I21" s="1050"/>
      <c r="J21" s="1050"/>
      <c r="K21" s="1045"/>
      <c r="L21" s="1046" t="s">
        <v>946</v>
      </c>
      <c r="M21" s="959"/>
      <c r="N21" s="959"/>
      <c r="O21" s="959"/>
      <c r="P21" s="1052" t="s">
        <v>957</v>
      </c>
      <c r="Q21" s="1050"/>
      <c r="R21" s="1050"/>
      <c r="S21" s="1050"/>
      <c r="T21" s="1050"/>
      <c r="U21" s="1050"/>
      <c r="V21" s="1046" t="s">
        <v>946</v>
      </c>
      <c r="W21" s="959"/>
      <c r="X21" s="959"/>
      <c r="Y21" s="1033"/>
    </row>
    <row r="22" spans="2:26" x14ac:dyDescent="0.3">
      <c r="B22" s="1466" t="s">
        <v>926</v>
      </c>
      <c r="C22" s="1053" t="s">
        <v>958</v>
      </c>
      <c r="D22" s="1054"/>
      <c r="E22" s="1054"/>
      <c r="F22" s="1054"/>
      <c r="G22" s="1054"/>
      <c r="H22" s="1054"/>
      <c r="I22" s="1054"/>
      <c r="J22" s="1054"/>
      <c r="K22" s="1054"/>
      <c r="L22" s="1055" t="s">
        <v>946</v>
      </c>
      <c r="M22" s="1056"/>
      <c r="N22" s="1056"/>
      <c r="O22" s="1056"/>
      <c r="P22" s="1056"/>
      <c r="Q22" s="1056"/>
      <c r="R22" s="1056"/>
      <c r="S22" s="1056"/>
      <c r="T22" s="1056"/>
      <c r="U22" s="1056"/>
      <c r="V22" s="1056"/>
      <c r="W22" s="1056"/>
      <c r="X22" s="1056"/>
      <c r="Y22" s="1057"/>
    </row>
    <row r="23" spans="2:26" x14ac:dyDescent="0.3">
      <c r="B23" s="1467"/>
      <c r="C23" s="1058" t="s">
        <v>959</v>
      </c>
      <c r="D23" s="1059"/>
      <c r="E23" s="1059"/>
      <c r="F23" s="1059"/>
      <c r="G23" s="1059"/>
      <c r="H23" s="1059"/>
      <c r="I23" s="1059"/>
      <c r="J23" s="1059"/>
      <c r="K23" s="1059"/>
      <c r="L23" s="1059"/>
      <c r="M23" s="1059"/>
      <c r="N23" s="1059"/>
      <c r="O23" s="1059"/>
      <c r="P23" s="1059"/>
      <c r="Q23" s="1059"/>
      <c r="R23" s="1059"/>
      <c r="S23" s="1059"/>
      <c r="T23" s="1059"/>
      <c r="U23" s="1060" t="s">
        <v>946</v>
      </c>
      <c r="V23" s="1061"/>
      <c r="W23" s="1061"/>
      <c r="X23" s="1061"/>
      <c r="Y23" s="1062"/>
    </row>
    <row r="24" spans="2:26" x14ac:dyDescent="0.3">
      <c r="B24" s="1468"/>
      <c r="C24" s="1063"/>
      <c r="D24" s="1064"/>
      <c r="E24" s="1064"/>
      <c r="F24" s="1064"/>
      <c r="G24" s="1064"/>
      <c r="H24" s="1064"/>
      <c r="I24" s="1064"/>
      <c r="J24" s="1064"/>
      <c r="K24" s="1064"/>
      <c r="L24" s="1065" t="s">
        <v>960</v>
      </c>
      <c r="M24" s="1066"/>
      <c r="N24" s="1066"/>
      <c r="O24" s="1066"/>
      <c r="P24" s="1066"/>
      <c r="Q24" s="1066"/>
      <c r="R24" s="1066"/>
      <c r="S24" s="1066"/>
      <c r="T24" s="1066"/>
      <c r="U24" s="1067" t="s">
        <v>946</v>
      </c>
      <c r="V24" s="1064"/>
      <c r="W24" s="1064"/>
      <c r="X24" s="1064"/>
      <c r="Y24" s="1068"/>
    </row>
    <row r="25" spans="2:26" x14ac:dyDescent="0.3">
      <c r="B25" s="1466" t="s">
        <v>930</v>
      </c>
      <c r="C25" s="1069"/>
      <c r="D25" s="1056"/>
      <c r="E25" s="1056"/>
      <c r="F25" s="1056"/>
      <c r="G25" s="1056"/>
      <c r="H25" s="1070" t="s">
        <v>961</v>
      </c>
      <c r="I25" s="1054"/>
      <c r="J25" s="1054"/>
      <c r="K25" s="1054"/>
      <c r="L25" s="1054"/>
      <c r="M25" s="1054"/>
      <c r="N25" s="1054"/>
      <c r="O25" s="1054"/>
      <c r="P25" s="1054"/>
      <c r="Q25" s="1055" t="s">
        <v>946</v>
      </c>
      <c r="R25" s="1056"/>
      <c r="S25" s="1071"/>
      <c r="T25" s="1056"/>
      <c r="U25" s="1056"/>
      <c r="V25" s="1056"/>
      <c r="W25" s="1056"/>
      <c r="X25" s="1056"/>
      <c r="Y25" s="1057"/>
    </row>
    <row r="26" spans="2:26" x14ac:dyDescent="0.3">
      <c r="B26" s="1467"/>
      <c r="C26" s="1058" t="s">
        <v>959</v>
      </c>
      <c r="D26" s="1059"/>
      <c r="E26" s="1059"/>
      <c r="F26" s="1059"/>
      <c r="G26" s="1059"/>
      <c r="H26" s="1059"/>
      <c r="I26" s="1059"/>
      <c r="J26" s="1059"/>
      <c r="K26" s="1059"/>
      <c r="L26" s="1059"/>
      <c r="M26" s="1059"/>
      <c r="N26" s="1059"/>
      <c r="O26" s="1059"/>
      <c r="P26" s="1059"/>
      <c r="Q26" s="1059"/>
      <c r="R26" s="1059"/>
      <c r="S26" s="1059"/>
      <c r="T26" s="1059"/>
      <c r="U26" s="1060" t="s">
        <v>946</v>
      </c>
      <c r="V26" s="1061"/>
      <c r="W26" s="1061"/>
      <c r="X26" s="1061"/>
      <c r="Y26" s="1062"/>
    </row>
    <row r="27" spans="2:26" x14ac:dyDescent="0.3">
      <c r="B27" s="1468"/>
      <c r="C27" s="1063"/>
      <c r="D27" s="1064"/>
      <c r="E27" s="1064"/>
      <c r="F27" s="1064"/>
      <c r="G27" s="1064"/>
      <c r="H27" s="1064"/>
      <c r="I27" s="1064"/>
      <c r="J27" s="1064"/>
      <c r="K27" s="1064"/>
      <c r="L27" s="1065" t="s">
        <v>960</v>
      </c>
      <c r="M27" s="1065"/>
      <c r="N27" s="1066"/>
      <c r="O27" s="1066"/>
      <c r="P27" s="1066"/>
      <c r="Q27" s="1066"/>
      <c r="R27" s="1066"/>
      <c r="S27" s="1066"/>
      <c r="T27" s="1066"/>
      <c r="U27" s="1067" t="s">
        <v>946</v>
      </c>
      <c r="V27" s="1064"/>
      <c r="W27" s="1064"/>
      <c r="X27" s="1064"/>
      <c r="Y27" s="1068"/>
    </row>
    <row r="28" spans="2:26" x14ac:dyDescent="0.3">
      <c r="B28" s="1466" t="s">
        <v>931</v>
      </c>
      <c r="C28" s="1069"/>
      <c r="D28" s="1056"/>
      <c r="E28" s="1056"/>
      <c r="F28" s="1056"/>
      <c r="G28" s="1056"/>
      <c r="H28" s="1056"/>
      <c r="I28" s="1056"/>
      <c r="J28" s="1070" t="s">
        <v>962</v>
      </c>
      <c r="K28" s="1054"/>
      <c r="L28" s="1054"/>
      <c r="M28" s="1054"/>
      <c r="N28" s="1054"/>
      <c r="O28" s="1054"/>
      <c r="P28" s="1055" t="s">
        <v>946</v>
      </c>
      <c r="Q28" s="1056"/>
      <c r="R28" s="1056"/>
      <c r="S28" s="1071"/>
      <c r="T28" s="1056"/>
      <c r="U28" s="1056"/>
      <c r="V28" s="1056"/>
      <c r="W28" s="1056"/>
      <c r="X28" s="1056"/>
      <c r="Y28" s="1057"/>
    </row>
    <row r="29" spans="2:26" x14ac:dyDescent="0.3">
      <c r="B29" s="1467"/>
      <c r="C29" s="1058" t="s">
        <v>959</v>
      </c>
      <c r="D29" s="1059"/>
      <c r="E29" s="1059"/>
      <c r="F29" s="1059"/>
      <c r="G29" s="1059"/>
      <c r="H29" s="1059"/>
      <c r="I29" s="1059"/>
      <c r="J29" s="1059"/>
      <c r="K29" s="1059"/>
      <c r="L29" s="1059"/>
      <c r="M29" s="1059"/>
      <c r="N29" s="1059"/>
      <c r="O29" s="1059"/>
      <c r="P29" s="1059"/>
      <c r="Q29" s="1059"/>
      <c r="R29" s="1059"/>
      <c r="S29" s="1059"/>
      <c r="T29" s="1059"/>
      <c r="U29" s="1059"/>
      <c r="V29" s="1059"/>
      <c r="W29" s="1059"/>
      <c r="X29" s="1059"/>
      <c r="Y29" s="1072" t="s">
        <v>946</v>
      </c>
    </row>
    <row r="30" spans="2:26" x14ac:dyDescent="0.3">
      <c r="B30" s="1468"/>
      <c r="C30" s="1063"/>
      <c r="D30" s="1064"/>
      <c r="E30" s="1064"/>
      <c r="F30" s="1064"/>
      <c r="G30" s="1064"/>
      <c r="H30" s="1064"/>
      <c r="I30" s="1064"/>
      <c r="J30" s="1064"/>
      <c r="K30" s="1064"/>
      <c r="L30" s="1064"/>
      <c r="M30" s="1064"/>
      <c r="N30" s="1064"/>
      <c r="O30" s="1064"/>
      <c r="P30" s="1065" t="s">
        <v>960</v>
      </c>
      <c r="Q30" s="1066"/>
      <c r="R30" s="1066"/>
      <c r="S30" s="1066"/>
      <c r="T30" s="1066"/>
      <c r="U30" s="1066"/>
      <c r="V30" s="1066"/>
      <c r="W30" s="1066"/>
      <c r="X30" s="1066"/>
      <c r="Y30" s="1073" t="s">
        <v>946</v>
      </c>
    </row>
    <row r="31" spans="2:26" x14ac:dyDescent="0.3">
      <c r="B31" s="1466" t="s">
        <v>932</v>
      </c>
      <c r="C31" s="1069"/>
      <c r="D31" s="1056"/>
      <c r="E31" s="1056"/>
      <c r="F31" s="1056"/>
      <c r="G31" s="1056"/>
      <c r="H31" s="1056"/>
      <c r="I31" s="1056"/>
      <c r="J31" s="1070" t="s">
        <v>963</v>
      </c>
      <c r="K31" s="1054"/>
      <c r="L31" s="1054"/>
      <c r="M31" s="1054"/>
      <c r="N31" s="1054"/>
      <c r="O31" s="1054"/>
      <c r="P31" s="1055" t="s">
        <v>946</v>
      </c>
      <c r="Q31" s="1056"/>
      <c r="R31" s="1056"/>
      <c r="S31" s="1071"/>
      <c r="T31" s="1056"/>
      <c r="U31" s="1056"/>
      <c r="V31" s="1056"/>
      <c r="W31" s="1056"/>
      <c r="X31" s="1056"/>
      <c r="Y31" s="1057"/>
    </row>
    <row r="32" spans="2:26" x14ac:dyDescent="0.3">
      <c r="B32" s="1467"/>
      <c r="C32" s="1058" t="s">
        <v>959</v>
      </c>
      <c r="D32" s="1059"/>
      <c r="E32" s="1059"/>
      <c r="F32" s="1059"/>
      <c r="G32" s="1059"/>
      <c r="H32" s="1059"/>
      <c r="I32" s="1059"/>
      <c r="J32" s="1059"/>
      <c r="K32" s="1059"/>
      <c r="L32" s="1059"/>
      <c r="M32" s="1059"/>
      <c r="N32" s="1059"/>
      <c r="O32" s="1059"/>
      <c r="P32" s="1059"/>
      <c r="Q32" s="1059"/>
      <c r="R32" s="1059"/>
      <c r="S32" s="1059"/>
      <c r="T32" s="1059"/>
      <c r="U32" s="1059"/>
      <c r="V32" s="1059"/>
      <c r="W32" s="1059"/>
      <c r="X32" s="1059"/>
      <c r="Y32" s="1072" t="s">
        <v>946</v>
      </c>
    </row>
    <row r="33" spans="2:25" x14ac:dyDescent="0.3">
      <c r="B33" s="1468"/>
      <c r="C33" s="1063"/>
      <c r="D33" s="1064"/>
      <c r="E33" s="1064"/>
      <c r="F33" s="1064"/>
      <c r="G33" s="1064"/>
      <c r="H33" s="1064"/>
      <c r="I33" s="1064"/>
      <c r="J33" s="1064"/>
      <c r="K33" s="1064"/>
      <c r="L33" s="1064"/>
      <c r="M33" s="1064"/>
      <c r="N33" s="1064"/>
      <c r="O33" s="1064"/>
      <c r="P33" s="1065" t="s">
        <v>960</v>
      </c>
      <c r="Q33" s="1066"/>
      <c r="R33" s="1066"/>
      <c r="S33" s="1066"/>
      <c r="T33" s="1066"/>
      <c r="U33" s="1066"/>
      <c r="V33" s="1066"/>
      <c r="W33" s="1066"/>
      <c r="X33" s="1066"/>
      <c r="Y33" s="1073" t="s">
        <v>946</v>
      </c>
    </row>
    <row r="34" spans="2:25" x14ac:dyDescent="0.3">
      <c r="B34" s="811" t="s">
        <v>925</v>
      </c>
      <c r="C34" s="1074"/>
      <c r="D34" s="959"/>
      <c r="E34" s="959"/>
      <c r="F34" s="959"/>
      <c r="G34" s="959"/>
      <c r="H34" s="959"/>
      <c r="I34" s="959"/>
      <c r="J34" s="959"/>
      <c r="K34" s="959"/>
      <c r="L34" s="959"/>
      <c r="M34" s="959"/>
      <c r="N34" s="959"/>
      <c r="O34" s="959"/>
      <c r="P34" s="959"/>
      <c r="Q34" s="959"/>
      <c r="R34" s="959"/>
      <c r="S34" s="959"/>
      <c r="T34" s="1075"/>
      <c r="U34" s="1257" t="s">
        <v>1129</v>
      </c>
      <c r="V34" s="959"/>
      <c r="W34" s="959"/>
      <c r="X34" s="959"/>
      <c r="Y34" s="1033"/>
    </row>
    <row r="35" spans="2:25" x14ac:dyDescent="0.3">
      <c r="B35" s="811" t="s">
        <v>927</v>
      </c>
      <c r="C35" s="1074"/>
      <c r="D35" s="959"/>
      <c r="E35" s="959"/>
      <c r="F35" s="959"/>
      <c r="G35" s="959"/>
      <c r="H35" s="959"/>
      <c r="I35" s="959"/>
      <c r="J35" s="959"/>
      <c r="K35" s="959"/>
      <c r="L35" s="959"/>
      <c r="M35" s="959"/>
      <c r="N35" s="959"/>
      <c r="O35" s="959"/>
      <c r="P35" s="959"/>
      <c r="Q35" s="959"/>
      <c r="R35" s="959"/>
      <c r="S35" s="959"/>
      <c r="T35" s="1075"/>
      <c r="U35" s="1257" t="s">
        <v>1129</v>
      </c>
      <c r="V35" s="959"/>
      <c r="W35" s="959"/>
      <c r="X35" s="959"/>
      <c r="Y35" s="1033"/>
    </row>
    <row r="36" spans="2:25" x14ac:dyDescent="0.3">
      <c r="B36" s="811" t="s">
        <v>928</v>
      </c>
      <c r="C36" s="1074"/>
      <c r="D36" s="959"/>
      <c r="E36" s="959"/>
      <c r="F36" s="959"/>
      <c r="G36" s="959"/>
      <c r="H36" s="959"/>
      <c r="I36" s="959"/>
      <c r="J36" s="959"/>
      <c r="K36" s="959"/>
      <c r="L36" s="959"/>
      <c r="M36" s="959"/>
      <c r="N36" s="959"/>
      <c r="O36" s="959"/>
      <c r="P36" s="959"/>
      <c r="Q36" s="959"/>
      <c r="R36" s="959"/>
      <c r="S36" s="959"/>
      <c r="T36" s="959"/>
      <c r="U36" s="959"/>
      <c r="V36" s="959"/>
      <c r="W36" s="959"/>
      <c r="X36" s="1077"/>
      <c r="Y36" s="1078" t="s">
        <v>709</v>
      </c>
    </row>
    <row r="37" spans="2:25" ht="17.25" thickBot="1" x14ac:dyDescent="0.35">
      <c r="B37" s="813" t="s">
        <v>929</v>
      </c>
      <c r="C37" s="1079"/>
      <c r="D37" s="1080"/>
      <c r="E37" s="1080"/>
      <c r="F37" s="1080"/>
      <c r="G37" s="1080"/>
      <c r="H37" s="1080"/>
      <c r="I37" s="1080"/>
      <c r="J37" s="1080"/>
      <c r="K37" s="1080"/>
      <c r="L37" s="1080"/>
      <c r="M37" s="1080"/>
      <c r="N37" s="1080"/>
      <c r="O37" s="1080"/>
      <c r="P37" s="1080"/>
      <c r="Q37" s="1080"/>
      <c r="R37" s="1080"/>
      <c r="S37" s="1080"/>
      <c r="T37" s="1080"/>
      <c r="U37" s="1080"/>
      <c r="V37" s="1080"/>
      <c r="W37" s="1080"/>
      <c r="X37" s="1081"/>
      <c r="Y37" s="1082" t="s">
        <v>709</v>
      </c>
    </row>
  </sheetData>
  <mergeCells count="5">
    <mergeCell ref="B3:B4"/>
    <mergeCell ref="B22:B24"/>
    <mergeCell ref="B25:B27"/>
    <mergeCell ref="B28:B30"/>
    <mergeCell ref="B31:B33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48B9-E606-435A-8F42-8CC98F50CC48}">
  <dimension ref="B2:Z37"/>
  <sheetViews>
    <sheetView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O23" sqref="O23"/>
    </sheetView>
  </sheetViews>
  <sheetFormatPr defaultRowHeight="16.5" x14ac:dyDescent="0.3"/>
  <cols>
    <col min="1" max="1" width="4.875" customWidth="1"/>
    <col min="2" max="2" width="43.875" customWidth="1"/>
    <col min="3" max="25" width="8.875" customWidth="1"/>
  </cols>
  <sheetData>
    <row r="2" spans="2:26" ht="23.25" customHeight="1" thickBot="1" x14ac:dyDescent="0.35">
      <c r="B2" s="951" t="s">
        <v>942</v>
      </c>
      <c r="Y2" s="600" t="s">
        <v>943</v>
      </c>
    </row>
    <row r="3" spans="2:26" x14ac:dyDescent="0.3">
      <c r="B3" s="1464" t="s">
        <v>949</v>
      </c>
      <c r="C3" s="952" t="s">
        <v>687</v>
      </c>
      <c r="D3" s="953" t="s">
        <v>688</v>
      </c>
      <c r="E3" s="953" t="s">
        <v>689</v>
      </c>
      <c r="F3" s="953" t="s">
        <v>690</v>
      </c>
      <c r="G3" s="953" t="s">
        <v>691</v>
      </c>
      <c r="H3" s="953" t="s">
        <v>718</v>
      </c>
      <c r="I3" s="953" t="s">
        <v>692</v>
      </c>
      <c r="J3" s="953" t="s">
        <v>693</v>
      </c>
      <c r="K3" s="953" t="s">
        <v>694</v>
      </c>
      <c r="L3" s="953" t="s">
        <v>695</v>
      </c>
      <c r="M3" s="953" t="s">
        <v>696</v>
      </c>
      <c r="N3" s="953" t="s">
        <v>697</v>
      </c>
      <c r="O3" s="953" t="s">
        <v>698</v>
      </c>
      <c r="P3" s="953" t="s">
        <v>699</v>
      </c>
      <c r="Q3" s="953" t="s">
        <v>700</v>
      </c>
      <c r="R3" s="953" t="s">
        <v>701</v>
      </c>
      <c r="S3" s="953" t="s">
        <v>702</v>
      </c>
      <c r="T3" s="953" t="s">
        <v>703</v>
      </c>
      <c r="U3" s="953" t="s">
        <v>719</v>
      </c>
      <c r="V3" s="953" t="s">
        <v>704</v>
      </c>
      <c r="W3" s="953" t="s">
        <v>705</v>
      </c>
      <c r="X3" s="953" t="s">
        <v>706</v>
      </c>
      <c r="Y3" s="954" t="s">
        <v>707</v>
      </c>
    </row>
    <row r="4" spans="2:26" ht="17.25" thickBot="1" x14ac:dyDescent="0.35">
      <c r="B4" s="1465"/>
      <c r="C4" s="955">
        <v>1</v>
      </c>
      <c r="D4" s="956">
        <v>2</v>
      </c>
      <c r="E4" s="956">
        <v>3</v>
      </c>
      <c r="F4" s="956">
        <v>4</v>
      </c>
      <c r="G4" s="956">
        <v>5</v>
      </c>
      <c r="H4" s="956">
        <v>6</v>
      </c>
      <c r="I4" s="956">
        <v>7</v>
      </c>
      <c r="J4" s="956">
        <v>8</v>
      </c>
      <c r="K4" s="956">
        <v>9</v>
      </c>
      <c r="L4" s="956">
        <v>10</v>
      </c>
      <c r="M4" s="956">
        <v>11</v>
      </c>
      <c r="N4" s="956">
        <v>12</v>
      </c>
      <c r="O4" s="956">
        <v>13</v>
      </c>
      <c r="P4" s="956">
        <v>14</v>
      </c>
      <c r="Q4" s="956">
        <v>15</v>
      </c>
      <c r="R4" s="956">
        <v>16</v>
      </c>
      <c r="S4" s="956">
        <v>17</v>
      </c>
      <c r="T4" s="956">
        <v>18</v>
      </c>
      <c r="U4" s="956">
        <v>19</v>
      </c>
      <c r="V4" s="956">
        <v>20</v>
      </c>
      <c r="W4" s="956">
        <v>21</v>
      </c>
      <c r="X4" s="956">
        <v>22</v>
      </c>
      <c r="Y4" s="957">
        <v>23</v>
      </c>
    </row>
    <row r="5" spans="2:26" x14ac:dyDescent="0.3">
      <c r="B5" s="810" t="s">
        <v>944</v>
      </c>
      <c r="C5" s="1027"/>
      <c r="D5" s="1027"/>
      <c r="E5" s="1027"/>
      <c r="F5" s="1027"/>
      <c r="G5" s="1027"/>
      <c r="H5" s="1028"/>
      <c r="I5" s="1029" t="s">
        <v>933</v>
      </c>
      <c r="J5" s="958"/>
      <c r="K5" s="958"/>
      <c r="L5" s="958"/>
      <c r="M5" s="958"/>
      <c r="N5" s="958"/>
      <c r="O5" s="958"/>
      <c r="P5" s="958"/>
      <c r="Q5" s="958"/>
      <c r="R5" s="958"/>
      <c r="S5" s="958"/>
      <c r="T5" s="958"/>
      <c r="U5" s="958"/>
      <c r="V5" s="958"/>
      <c r="W5" s="958"/>
      <c r="X5" s="958"/>
      <c r="Y5" s="1030"/>
    </row>
    <row r="6" spans="2:26" x14ac:dyDescent="0.3">
      <c r="B6" s="811" t="s">
        <v>911</v>
      </c>
      <c r="C6" s="1031"/>
      <c r="D6" s="1031"/>
      <c r="E6" s="1031"/>
      <c r="F6" s="1031"/>
      <c r="G6" s="1031"/>
      <c r="H6" s="1032" t="s">
        <v>933</v>
      </c>
      <c r="I6" s="959"/>
      <c r="J6" s="959"/>
      <c r="K6" s="959"/>
      <c r="L6" s="959"/>
      <c r="M6" s="959"/>
      <c r="N6" s="959"/>
      <c r="O6" s="959"/>
      <c r="P6" s="959"/>
      <c r="Q6" s="959"/>
      <c r="R6" s="959"/>
      <c r="S6" s="959"/>
      <c r="T6" s="959"/>
      <c r="U6" s="959"/>
      <c r="V6" s="959"/>
      <c r="W6" s="959"/>
      <c r="X6" s="959"/>
      <c r="Y6" s="1033"/>
    </row>
    <row r="7" spans="2:26" x14ac:dyDescent="0.3">
      <c r="B7" s="1034" t="s">
        <v>912</v>
      </c>
      <c r="C7" s="1035"/>
      <c r="D7" s="1036"/>
      <c r="E7" s="1036"/>
      <c r="F7" s="1036"/>
      <c r="G7" s="1036"/>
      <c r="H7" s="1036"/>
      <c r="I7" s="1037"/>
      <c r="J7" s="1037"/>
      <c r="K7" s="1038" t="s">
        <v>933</v>
      </c>
      <c r="L7" s="1039"/>
      <c r="M7" s="1039"/>
      <c r="N7" s="1039"/>
      <c r="O7" s="1039"/>
      <c r="P7" s="1039"/>
      <c r="Q7" s="1039"/>
      <c r="R7" s="1039"/>
      <c r="S7" s="1039"/>
      <c r="T7" s="1039"/>
      <c r="U7" s="1039"/>
      <c r="V7" s="1039"/>
      <c r="W7" s="1039"/>
      <c r="X7" s="1039"/>
      <c r="Y7" s="1040"/>
      <c r="Z7" s="82"/>
    </row>
    <row r="8" spans="2:26" x14ac:dyDescent="0.3">
      <c r="B8" s="1034" t="s">
        <v>950</v>
      </c>
      <c r="C8" s="1035" t="s">
        <v>945</v>
      </c>
      <c r="D8" s="1036"/>
      <c r="E8" s="1036"/>
      <c r="F8" s="1036"/>
      <c r="G8" s="1036"/>
      <c r="H8" s="1036"/>
      <c r="I8" s="1036"/>
      <c r="J8" s="1036"/>
      <c r="K8" s="1036"/>
      <c r="L8" s="1037"/>
      <c r="M8" s="1037"/>
      <c r="N8" s="1038" t="s">
        <v>933</v>
      </c>
      <c r="O8" s="1039"/>
      <c r="P8" s="1039"/>
      <c r="Q8" s="1039"/>
      <c r="R8" s="1039"/>
      <c r="S8" s="1039"/>
      <c r="T8" s="1039"/>
      <c r="U8" s="1039"/>
      <c r="V8" s="1039"/>
      <c r="W8" s="1039"/>
      <c r="X8" s="1039"/>
      <c r="Y8" s="1040"/>
      <c r="Z8" s="82"/>
    </row>
    <row r="9" spans="2:26" s="1041" customFormat="1" x14ac:dyDescent="0.3">
      <c r="B9" s="1034" t="s">
        <v>923</v>
      </c>
      <c r="C9" s="1035" t="s">
        <v>920</v>
      </c>
      <c r="D9" s="1036"/>
      <c r="E9" s="1036"/>
      <c r="F9" s="1036"/>
      <c r="G9" s="1036"/>
      <c r="H9" s="1036"/>
      <c r="I9" s="1036"/>
      <c r="J9" s="1038" t="s">
        <v>933</v>
      </c>
      <c r="K9" s="1039"/>
      <c r="L9" s="1039"/>
      <c r="M9" s="1039"/>
      <c r="N9" s="1039"/>
      <c r="O9" s="1039"/>
      <c r="P9" s="1039"/>
      <c r="Q9" s="1039"/>
      <c r="R9" s="1039"/>
      <c r="S9" s="1039"/>
      <c r="T9" s="1039"/>
      <c r="U9" s="1039"/>
      <c r="V9" s="1039"/>
      <c r="W9" s="1039"/>
      <c r="X9" s="1039"/>
      <c r="Y9" s="1040"/>
      <c r="Z9" s="82"/>
    </row>
    <row r="10" spans="2:26" s="1041" customFormat="1" x14ac:dyDescent="0.3">
      <c r="B10" s="1034" t="s">
        <v>922</v>
      </c>
      <c r="C10" s="1035" t="s">
        <v>920</v>
      </c>
      <c r="D10" s="1036"/>
      <c r="E10" s="1036"/>
      <c r="F10" s="1036"/>
      <c r="G10" s="1036"/>
      <c r="H10" s="1036"/>
      <c r="I10" s="1036"/>
      <c r="J10" s="1036"/>
      <c r="K10" s="1038" t="s">
        <v>933</v>
      </c>
      <c r="L10" s="1039"/>
      <c r="M10" s="1039"/>
      <c r="N10" s="1039"/>
      <c r="O10" s="1039"/>
      <c r="P10" s="1039"/>
      <c r="Q10" s="1039"/>
      <c r="R10" s="1039"/>
      <c r="S10" s="1039"/>
      <c r="T10" s="1039"/>
      <c r="U10" s="1039"/>
      <c r="V10" s="1039"/>
      <c r="W10" s="1039"/>
      <c r="X10" s="1039"/>
      <c r="Y10" s="1040"/>
      <c r="Z10" s="82"/>
    </row>
    <row r="11" spans="2:26" s="1041" customFormat="1" x14ac:dyDescent="0.3">
      <c r="B11" s="1034" t="s">
        <v>921</v>
      </c>
      <c r="C11" s="1035" t="s">
        <v>920</v>
      </c>
      <c r="D11" s="1036"/>
      <c r="E11" s="1036"/>
      <c r="F11" s="1036"/>
      <c r="G11" s="1036"/>
      <c r="H11" s="1037"/>
      <c r="I11" s="1036"/>
      <c r="J11" s="1036"/>
      <c r="K11" s="1036"/>
      <c r="L11" s="1038" t="s">
        <v>933</v>
      </c>
      <c r="M11" s="1039"/>
      <c r="N11" s="1039"/>
      <c r="O11" s="1039"/>
      <c r="P11" s="1039"/>
      <c r="Q11" s="1039"/>
      <c r="R11" s="1039"/>
      <c r="S11" s="1039"/>
      <c r="T11" s="1039"/>
      <c r="U11" s="1039"/>
      <c r="V11" s="1039"/>
      <c r="W11" s="1039"/>
      <c r="X11" s="1039"/>
      <c r="Y11" s="1040"/>
      <c r="Z11" s="82"/>
    </row>
    <row r="12" spans="2:26" s="1041" customFormat="1" x14ac:dyDescent="0.3">
      <c r="B12" s="1034" t="s">
        <v>924</v>
      </c>
      <c r="C12" s="1035" t="s">
        <v>920</v>
      </c>
      <c r="D12" s="1036"/>
      <c r="E12" s="1036"/>
      <c r="F12" s="1036"/>
      <c r="G12" s="1036"/>
      <c r="H12" s="1036"/>
      <c r="I12" s="1036"/>
      <c r="J12" s="1036"/>
      <c r="K12" s="1036"/>
      <c r="L12" s="1036"/>
      <c r="M12" s="1036"/>
      <c r="N12" s="1038" t="s">
        <v>933</v>
      </c>
      <c r="O12" s="1039"/>
      <c r="P12" s="1039"/>
      <c r="Q12" s="1039"/>
      <c r="R12" s="1039"/>
      <c r="S12" s="1039"/>
      <c r="T12" s="1039"/>
      <c r="U12" s="1039"/>
      <c r="V12" s="1039"/>
      <c r="W12" s="1039"/>
      <c r="X12" s="1039"/>
      <c r="Y12" s="1040"/>
      <c r="Z12" s="82"/>
    </row>
    <row r="13" spans="2:26" s="1041" customFormat="1" x14ac:dyDescent="0.3">
      <c r="B13" s="1034" t="s">
        <v>913</v>
      </c>
      <c r="C13" s="1036" t="s">
        <v>951</v>
      </c>
      <c r="D13" s="1036"/>
      <c r="E13" s="1036"/>
      <c r="F13" s="1036"/>
      <c r="G13" s="1036"/>
      <c r="H13" s="1038" t="s">
        <v>933</v>
      </c>
      <c r="I13" s="1039"/>
      <c r="J13" s="1039"/>
      <c r="K13" s="1039"/>
      <c r="L13" s="1039"/>
      <c r="M13" s="1039"/>
      <c r="N13" s="1039"/>
      <c r="O13" s="1039"/>
      <c r="P13" s="1039"/>
      <c r="Q13" s="1039"/>
      <c r="R13" s="1039"/>
      <c r="S13" s="1039"/>
      <c r="T13" s="1039"/>
      <c r="U13" s="1039"/>
      <c r="V13" s="1039"/>
      <c r="W13" s="1039"/>
      <c r="X13" s="1039"/>
      <c r="Y13" s="1040"/>
      <c r="Z13" s="82"/>
    </row>
    <row r="14" spans="2:26" s="1041" customFormat="1" x14ac:dyDescent="0.3">
      <c r="B14" s="1034" t="s">
        <v>914</v>
      </c>
      <c r="C14" s="1036" t="s">
        <v>951</v>
      </c>
      <c r="D14" s="1036"/>
      <c r="E14" s="1036"/>
      <c r="F14" s="1036"/>
      <c r="G14" s="1036"/>
      <c r="H14" s="1038" t="s">
        <v>933</v>
      </c>
      <c r="I14" s="1039"/>
      <c r="J14" s="1039"/>
      <c r="K14" s="1039"/>
      <c r="L14" s="1039"/>
      <c r="M14" s="1039"/>
      <c r="N14" s="1039"/>
      <c r="O14" s="1039"/>
      <c r="P14" s="1039"/>
      <c r="Q14" s="1039"/>
      <c r="R14" s="1039"/>
      <c r="S14" s="1039"/>
      <c r="T14" s="1039"/>
      <c r="U14" s="1039"/>
      <c r="V14" s="1039"/>
      <c r="W14" s="1039"/>
      <c r="X14" s="1039"/>
      <c r="Y14" s="1040"/>
      <c r="Z14" s="82"/>
    </row>
    <row r="15" spans="2:26" s="1041" customFormat="1" x14ac:dyDescent="0.3">
      <c r="B15" s="1034" t="s">
        <v>915</v>
      </c>
      <c r="C15" s="1036" t="s">
        <v>951</v>
      </c>
      <c r="D15" s="1036"/>
      <c r="E15" s="1036"/>
      <c r="F15" s="1036"/>
      <c r="G15" s="1036"/>
      <c r="H15" s="1038" t="s">
        <v>933</v>
      </c>
      <c r="I15" s="1039"/>
      <c r="J15" s="1039"/>
      <c r="K15" s="1039"/>
      <c r="L15" s="1039"/>
      <c r="M15" s="1039"/>
      <c r="N15" s="1039"/>
      <c r="O15" s="1039"/>
      <c r="P15" s="1039"/>
      <c r="Q15" s="1039"/>
      <c r="R15" s="1039"/>
      <c r="S15" s="1039"/>
      <c r="T15" s="1039"/>
      <c r="U15" s="1039"/>
      <c r="V15" s="1039"/>
      <c r="W15" s="1039"/>
      <c r="X15" s="1039"/>
      <c r="Y15" s="1040"/>
      <c r="Z15" s="82"/>
    </row>
    <row r="16" spans="2:26" x14ac:dyDescent="0.3">
      <c r="B16" s="1042" t="s">
        <v>910</v>
      </c>
      <c r="C16" s="1043"/>
      <c r="D16" s="1044"/>
      <c r="E16" s="1044"/>
      <c r="F16" s="1044"/>
      <c r="G16" s="1044"/>
      <c r="H16" s="1045"/>
      <c r="I16" s="1046" t="s">
        <v>946</v>
      </c>
      <c r="J16" s="1047"/>
      <c r="K16" s="1047"/>
      <c r="L16" s="1047"/>
      <c r="M16" s="1047"/>
      <c r="N16" s="1047"/>
      <c r="O16" s="1047"/>
      <c r="P16" s="1047"/>
      <c r="Q16" s="1047"/>
      <c r="R16" s="1047"/>
      <c r="S16" s="1047"/>
      <c r="T16" s="1047"/>
      <c r="U16" s="1047"/>
      <c r="V16" s="1047"/>
      <c r="W16" s="1047"/>
      <c r="X16" s="1047"/>
      <c r="Y16" s="1048"/>
      <c r="Z16" s="82"/>
    </row>
    <row r="17" spans="2:26" x14ac:dyDescent="0.3">
      <c r="B17" s="1042" t="s">
        <v>955</v>
      </c>
      <c r="C17" s="1049"/>
      <c r="D17" s="1046" t="s">
        <v>946</v>
      </c>
      <c r="E17" s="1047"/>
      <c r="F17" s="1047"/>
      <c r="G17" s="1047"/>
      <c r="H17" s="1047"/>
      <c r="I17" s="1047"/>
      <c r="J17" s="1047"/>
      <c r="K17" s="1047"/>
      <c r="L17" s="1047"/>
      <c r="M17" s="1047"/>
      <c r="N17" s="1047"/>
      <c r="O17" s="1047"/>
      <c r="P17" s="1047"/>
      <c r="Q17" s="1047"/>
      <c r="R17" s="1047"/>
      <c r="S17" s="1047"/>
      <c r="T17" s="1047"/>
      <c r="U17" s="1047"/>
      <c r="V17" s="1047"/>
      <c r="W17" s="1047"/>
      <c r="X17" s="1047"/>
      <c r="Y17" s="1048"/>
      <c r="Z17" s="82"/>
    </row>
    <row r="18" spans="2:26" x14ac:dyDescent="0.3">
      <c r="B18" s="811" t="s">
        <v>916</v>
      </c>
      <c r="C18" s="959"/>
      <c r="D18" s="1050" t="s">
        <v>956</v>
      </c>
      <c r="E18" s="1050"/>
      <c r="F18" s="1050"/>
      <c r="G18" s="1051" t="s">
        <v>946</v>
      </c>
      <c r="H18" s="959"/>
      <c r="I18" s="959"/>
      <c r="J18" s="959"/>
      <c r="K18" s="959"/>
      <c r="L18" s="1052" t="s">
        <v>957</v>
      </c>
      <c r="M18" s="1050"/>
      <c r="N18" s="1050"/>
      <c r="O18" s="1050"/>
      <c r="P18" s="1050"/>
      <c r="Q18" s="1050"/>
      <c r="R18" s="1046" t="s">
        <v>946</v>
      </c>
      <c r="S18" s="959"/>
      <c r="T18" s="959"/>
      <c r="U18" s="959"/>
      <c r="V18" s="959"/>
      <c r="W18" s="959"/>
      <c r="X18" s="959"/>
      <c r="Y18" s="1033"/>
    </row>
    <row r="19" spans="2:26" x14ac:dyDescent="0.3">
      <c r="B19" s="811" t="s">
        <v>917</v>
      </c>
      <c r="C19" s="959"/>
      <c r="D19" s="1050" t="s">
        <v>956</v>
      </c>
      <c r="E19" s="1050"/>
      <c r="F19" s="1050"/>
      <c r="G19" s="1051" t="s">
        <v>946</v>
      </c>
      <c r="H19" s="959"/>
      <c r="I19" s="959"/>
      <c r="J19" s="959"/>
      <c r="K19" s="959"/>
      <c r="L19" s="959"/>
      <c r="M19" s="1052" t="s">
        <v>957</v>
      </c>
      <c r="N19" s="1050"/>
      <c r="O19" s="1050"/>
      <c r="P19" s="1050"/>
      <c r="Q19" s="1050"/>
      <c r="R19" s="1050"/>
      <c r="S19" s="1046" t="s">
        <v>946</v>
      </c>
      <c r="T19" s="959"/>
      <c r="U19" s="959"/>
      <c r="V19" s="959"/>
      <c r="W19" s="959"/>
      <c r="X19" s="959"/>
      <c r="Y19" s="1033"/>
    </row>
    <row r="20" spans="2:26" x14ac:dyDescent="0.3">
      <c r="B20" s="811" t="s">
        <v>918</v>
      </c>
      <c r="C20" s="959"/>
      <c r="D20" s="1050" t="s">
        <v>956</v>
      </c>
      <c r="E20" s="1050"/>
      <c r="F20" s="1050"/>
      <c r="G20" s="1050"/>
      <c r="H20" s="1046" t="s">
        <v>946</v>
      </c>
      <c r="I20" s="959"/>
      <c r="J20" s="959"/>
      <c r="K20" s="959"/>
      <c r="L20" s="959"/>
      <c r="M20" s="959"/>
      <c r="N20" s="959"/>
      <c r="O20" s="1052" t="s">
        <v>957</v>
      </c>
      <c r="P20" s="1050"/>
      <c r="Q20" s="1050"/>
      <c r="R20" s="1050"/>
      <c r="S20" s="1050"/>
      <c r="T20" s="1046" t="s">
        <v>946</v>
      </c>
      <c r="U20" s="959"/>
      <c r="V20" s="959"/>
      <c r="W20" s="959"/>
      <c r="X20" s="959"/>
      <c r="Y20" s="1033"/>
    </row>
    <row r="21" spans="2:26" x14ac:dyDescent="0.3">
      <c r="B21" s="811" t="s">
        <v>919</v>
      </c>
      <c r="C21" s="959"/>
      <c r="D21" s="1050" t="s">
        <v>956</v>
      </c>
      <c r="E21" s="1050"/>
      <c r="F21" s="1050"/>
      <c r="G21" s="1050"/>
      <c r="H21" s="1046" t="s">
        <v>946</v>
      </c>
      <c r="I21" s="959"/>
      <c r="J21" s="959"/>
      <c r="K21" s="959"/>
      <c r="L21" s="959"/>
      <c r="M21" s="959"/>
      <c r="N21" s="959"/>
      <c r="O21" s="1052" t="s">
        <v>957</v>
      </c>
      <c r="P21" s="1050"/>
      <c r="Q21" s="1050"/>
      <c r="R21" s="1050"/>
      <c r="S21" s="1050"/>
      <c r="T21" s="1046" t="s">
        <v>946</v>
      </c>
      <c r="U21" s="959"/>
      <c r="V21" s="959"/>
      <c r="W21" s="959"/>
      <c r="X21" s="959"/>
      <c r="Y21" s="1033"/>
    </row>
    <row r="22" spans="2:26" x14ac:dyDescent="0.3">
      <c r="B22" s="1466" t="s">
        <v>926</v>
      </c>
      <c r="C22" s="1053" t="s">
        <v>958</v>
      </c>
      <c r="D22" s="1054"/>
      <c r="E22" s="1054"/>
      <c r="F22" s="1054"/>
      <c r="G22" s="1054"/>
      <c r="H22" s="1054"/>
      <c r="I22" s="1054"/>
      <c r="J22" s="1054"/>
      <c r="K22" s="1054"/>
      <c r="L22" s="1055" t="s">
        <v>946</v>
      </c>
      <c r="M22" s="1056"/>
      <c r="N22" s="1056"/>
      <c r="O22" s="1056"/>
      <c r="P22" s="1056"/>
      <c r="Q22" s="1056"/>
      <c r="R22" s="1056"/>
      <c r="S22" s="1056"/>
      <c r="T22" s="1056"/>
      <c r="U22" s="1056"/>
      <c r="V22" s="1056"/>
      <c r="W22" s="1056"/>
      <c r="X22" s="1056"/>
      <c r="Y22" s="1057"/>
    </row>
    <row r="23" spans="2:26" x14ac:dyDescent="0.3">
      <c r="B23" s="1467"/>
      <c r="C23" s="1058" t="s">
        <v>959</v>
      </c>
      <c r="D23" s="1059"/>
      <c r="E23" s="1059"/>
      <c r="F23" s="1059"/>
      <c r="G23" s="1059"/>
      <c r="H23" s="1059"/>
      <c r="I23" s="1059"/>
      <c r="J23" s="1059"/>
      <c r="K23" s="1059"/>
      <c r="L23" s="1059"/>
      <c r="M23" s="1059"/>
      <c r="N23" s="1059"/>
      <c r="O23" s="1059"/>
      <c r="P23" s="1059"/>
      <c r="Q23" s="1059"/>
      <c r="R23" s="1059"/>
      <c r="S23" s="1060" t="s">
        <v>946</v>
      </c>
      <c r="T23" s="1061"/>
      <c r="U23" s="1061"/>
      <c r="V23" s="1061"/>
      <c r="W23" s="1061"/>
      <c r="X23" s="1061"/>
      <c r="Y23" s="1062"/>
    </row>
    <row r="24" spans="2:26" x14ac:dyDescent="0.3">
      <c r="B24" s="1468"/>
      <c r="C24" s="1063"/>
      <c r="D24" s="1064"/>
      <c r="E24" s="1064"/>
      <c r="F24" s="1064"/>
      <c r="G24" s="1064"/>
      <c r="H24" s="1064"/>
      <c r="I24" s="1064"/>
      <c r="J24" s="1064"/>
      <c r="K24" s="1064"/>
      <c r="L24" s="1065" t="s">
        <v>960</v>
      </c>
      <c r="M24" s="1066"/>
      <c r="N24" s="1066"/>
      <c r="O24" s="1066"/>
      <c r="P24" s="1066"/>
      <c r="Q24" s="1066"/>
      <c r="R24" s="1066"/>
      <c r="S24" s="1067" t="s">
        <v>946</v>
      </c>
      <c r="T24" s="1064"/>
      <c r="U24" s="1064"/>
      <c r="V24" s="1064"/>
      <c r="W24" s="1064"/>
      <c r="X24" s="1064"/>
      <c r="Y24" s="1068"/>
    </row>
    <row r="25" spans="2:26" x14ac:dyDescent="0.3">
      <c r="B25" s="1466" t="s">
        <v>930</v>
      </c>
      <c r="C25" s="1069"/>
      <c r="D25" s="1056"/>
      <c r="E25" s="1056"/>
      <c r="F25" s="1056"/>
      <c r="G25" s="1056"/>
      <c r="H25" s="1056"/>
      <c r="I25" s="1056"/>
      <c r="J25" s="1070" t="s">
        <v>961</v>
      </c>
      <c r="K25" s="1054"/>
      <c r="L25" s="1054"/>
      <c r="M25" s="1054"/>
      <c r="N25" s="1054"/>
      <c r="O25" s="1054"/>
      <c r="P25" s="1054"/>
      <c r="Q25" s="1055" t="s">
        <v>946</v>
      </c>
      <c r="R25" s="1056"/>
      <c r="S25" s="1071"/>
      <c r="T25" s="1056"/>
      <c r="U25" s="1056"/>
      <c r="V25" s="1056"/>
      <c r="W25" s="1056"/>
      <c r="X25" s="1056"/>
      <c r="Y25" s="1057"/>
    </row>
    <row r="26" spans="2:26" x14ac:dyDescent="0.3">
      <c r="B26" s="1467"/>
      <c r="C26" s="1058" t="s">
        <v>959</v>
      </c>
      <c r="D26" s="1059"/>
      <c r="E26" s="1059"/>
      <c r="F26" s="1059"/>
      <c r="G26" s="1059"/>
      <c r="H26" s="1059"/>
      <c r="I26" s="1059"/>
      <c r="J26" s="1059"/>
      <c r="K26" s="1059"/>
      <c r="L26" s="1059"/>
      <c r="M26" s="1059"/>
      <c r="N26" s="1059"/>
      <c r="O26" s="1059"/>
      <c r="P26" s="1059"/>
      <c r="Q26" s="1059"/>
      <c r="R26" s="1059"/>
      <c r="S26" s="1059"/>
      <c r="T26" s="1059"/>
      <c r="U26" s="1059"/>
      <c r="V26" s="1059"/>
      <c r="W26" s="1060" t="s">
        <v>946</v>
      </c>
      <c r="X26" s="1061"/>
      <c r="Y26" s="1062"/>
    </row>
    <row r="27" spans="2:26" x14ac:dyDescent="0.3">
      <c r="B27" s="1468"/>
      <c r="C27" s="1063"/>
      <c r="D27" s="1064"/>
      <c r="E27" s="1064"/>
      <c r="F27" s="1064"/>
      <c r="G27" s="1064"/>
      <c r="H27" s="1064"/>
      <c r="I27" s="1064"/>
      <c r="J27" s="1064"/>
      <c r="K27" s="1064"/>
      <c r="L27" s="1064"/>
      <c r="M27" s="1065" t="s">
        <v>960</v>
      </c>
      <c r="N27" s="1066"/>
      <c r="O27" s="1066"/>
      <c r="P27" s="1066"/>
      <c r="Q27" s="1066"/>
      <c r="R27" s="1066"/>
      <c r="S27" s="1066"/>
      <c r="T27" s="1066"/>
      <c r="U27" s="1066"/>
      <c r="V27" s="1066"/>
      <c r="W27" s="1067" t="s">
        <v>946</v>
      </c>
      <c r="X27" s="1064"/>
      <c r="Y27" s="1068"/>
    </row>
    <row r="28" spans="2:26" x14ac:dyDescent="0.3">
      <c r="B28" s="1466" t="s">
        <v>931</v>
      </c>
      <c r="C28" s="1069"/>
      <c r="D28" s="1056"/>
      <c r="E28" s="1056"/>
      <c r="F28" s="1056"/>
      <c r="G28" s="1056"/>
      <c r="H28" s="1056"/>
      <c r="I28" s="1056"/>
      <c r="J28" s="1070" t="s">
        <v>962</v>
      </c>
      <c r="K28" s="1054"/>
      <c r="L28" s="1054"/>
      <c r="M28" s="1054"/>
      <c r="N28" s="1054"/>
      <c r="O28" s="1055" t="s">
        <v>946</v>
      </c>
      <c r="P28" s="1056"/>
      <c r="Q28" s="1056"/>
      <c r="R28" s="1056"/>
      <c r="S28" s="1071"/>
      <c r="T28" s="1056"/>
      <c r="U28" s="1056"/>
      <c r="V28" s="1056"/>
      <c r="W28" s="1056"/>
      <c r="X28" s="1056"/>
      <c r="Y28" s="1057"/>
    </row>
    <row r="29" spans="2:26" x14ac:dyDescent="0.3">
      <c r="B29" s="1467"/>
      <c r="C29" s="1058" t="s">
        <v>959</v>
      </c>
      <c r="D29" s="1059"/>
      <c r="E29" s="1059"/>
      <c r="F29" s="1059"/>
      <c r="G29" s="1059"/>
      <c r="H29" s="1059"/>
      <c r="I29" s="1059"/>
      <c r="J29" s="1059"/>
      <c r="K29" s="1059"/>
      <c r="L29" s="1059"/>
      <c r="M29" s="1059"/>
      <c r="N29" s="1059"/>
      <c r="O29" s="1059"/>
      <c r="P29" s="1059"/>
      <c r="Q29" s="1059"/>
      <c r="R29" s="1059"/>
      <c r="S29" s="1059"/>
      <c r="T29" s="1059"/>
      <c r="U29" s="1059"/>
      <c r="V29" s="1059"/>
      <c r="W29" s="1059"/>
      <c r="X29" s="1059"/>
      <c r="Y29" s="1072" t="s">
        <v>946</v>
      </c>
    </row>
    <row r="30" spans="2:26" x14ac:dyDescent="0.3">
      <c r="B30" s="1468"/>
      <c r="C30" s="1063"/>
      <c r="D30" s="1064"/>
      <c r="E30" s="1064"/>
      <c r="F30" s="1064"/>
      <c r="G30" s="1064"/>
      <c r="H30" s="1064"/>
      <c r="I30" s="1064"/>
      <c r="J30" s="1064"/>
      <c r="K30" s="1064"/>
      <c r="L30" s="1064"/>
      <c r="M30" s="1064"/>
      <c r="N30" s="1064"/>
      <c r="O30" s="1065" t="s">
        <v>960</v>
      </c>
      <c r="P30" s="1066"/>
      <c r="Q30" s="1066"/>
      <c r="R30" s="1066"/>
      <c r="S30" s="1066"/>
      <c r="T30" s="1066"/>
      <c r="U30" s="1066"/>
      <c r="V30" s="1066"/>
      <c r="W30" s="1066"/>
      <c r="X30" s="1066"/>
      <c r="Y30" s="1073" t="s">
        <v>946</v>
      </c>
    </row>
    <row r="31" spans="2:26" x14ac:dyDescent="0.3">
      <c r="B31" s="1466" t="s">
        <v>932</v>
      </c>
      <c r="C31" s="1069"/>
      <c r="D31" s="1056"/>
      <c r="E31" s="1056"/>
      <c r="F31" s="1056"/>
      <c r="G31" s="1056"/>
      <c r="H31" s="1056"/>
      <c r="I31" s="1056"/>
      <c r="J31" s="1070" t="s">
        <v>963</v>
      </c>
      <c r="K31" s="1054"/>
      <c r="L31" s="1054"/>
      <c r="M31" s="1054"/>
      <c r="N31" s="1054"/>
      <c r="O31" s="1055" t="s">
        <v>946</v>
      </c>
      <c r="P31" s="1056"/>
      <c r="Q31" s="1056"/>
      <c r="R31" s="1056"/>
      <c r="S31" s="1071"/>
      <c r="T31" s="1056"/>
      <c r="U31" s="1056"/>
      <c r="V31" s="1056"/>
      <c r="W31" s="1056"/>
      <c r="X31" s="1056"/>
      <c r="Y31" s="1057"/>
    </row>
    <row r="32" spans="2:26" x14ac:dyDescent="0.3">
      <c r="B32" s="1467"/>
      <c r="C32" s="1058" t="s">
        <v>959</v>
      </c>
      <c r="D32" s="1059"/>
      <c r="E32" s="1059"/>
      <c r="F32" s="1059"/>
      <c r="G32" s="1059"/>
      <c r="H32" s="1059"/>
      <c r="I32" s="1059"/>
      <c r="J32" s="1059"/>
      <c r="K32" s="1059"/>
      <c r="L32" s="1059"/>
      <c r="M32" s="1059"/>
      <c r="N32" s="1059"/>
      <c r="O32" s="1059"/>
      <c r="P32" s="1059"/>
      <c r="Q32" s="1059"/>
      <c r="R32" s="1059"/>
      <c r="S32" s="1059"/>
      <c r="T32" s="1059"/>
      <c r="U32" s="1059"/>
      <c r="V32" s="1059"/>
      <c r="W32" s="1059"/>
      <c r="X32" s="1059"/>
      <c r="Y32" s="1072" t="s">
        <v>946</v>
      </c>
    </row>
    <row r="33" spans="2:25" x14ac:dyDescent="0.3">
      <c r="B33" s="1468"/>
      <c r="C33" s="1063"/>
      <c r="D33" s="1064"/>
      <c r="E33" s="1064"/>
      <c r="F33" s="1064"/>
      <c r="G33" s="1064"/>
      <c r="H33" s="1064"/>
      <c r="I33" s="1064"/>
      <c r="J33" s="1064"/>
      <c r="K33" s="1064"/>
      <c r="L33" s="1064"/>
      <c r="M33" s="1064"/>
      <c r="N33" s="1064"/>
      <c r="O33" s="1065" t="s">
        <v>960</v>
      </c>
      <c r="P33" s="1066"/>
      <c r="Q33" s="1066"/>
      <c r="R33" s="1066"/>
      <c r="S33" s="1066"/>
      <c r="T33" s="1066"/>
      <c r="U33" s="1066"/>
      <c r="V33" s="1066"/>
      <c r="W33" s="1066"/>
      <c r="X33" s="1066"/>
      <c r="Y33" s="1073" t="s">
        <v>946</v>
      </c>
    </row>
    <row r="34" spans="2:25" x14ac:dyDescent="0.3">
      <c r="B34" s="811" t="s">
        <v>925</v>
      </c>
      <c r="C34" s="1074"/>
      <c r="D34" s="959"/>
      <c r="E34" s="959"/>
      <c r="F34" s="959"/>
      <c r="G34" s="959"/>
      <c r="H34" s="959"/>
      <c r="I34" s="959"/>
      <c r="J34" s="959"/>
      <c r="K34" s="959"/>
      <c r="L34" s="959"/>
      <c r="M34" s="959"/>
      <c r="N34" s="959"/>
      <c r="O34" s="959"/>
      <c r="P34" s="959"/>
      <c r="Q34" s="959"/>
      <c r="R34" s="1075"/>
      <c r="S34" s="1076" t="s">
        <v>686</v>
      </c>
      <c r="T34" s="959"/>
      <c r="U34" s="959"/>
      <c r="V34" s="959"/>
      <c r="W34" s="959"/>
      <c r="X34" s="959"/>
      <c r="Y34" s="1033"/>
    </row>
    <row r="35" spans="2:25" x14ac:dyDescent="0.3">
      <c r="B35" s="811" t="s">
        <v>927</v>
      </c>
      <c r="C35" s="1074"/>
      <c r="D35" s="959"/>
      <c r="E35" s="959"/>
      <c r="F35" s="959"/>
      <c r="G35" s="959"/>
      <c r="H35" s="959"/>
      <c r="I35" s="959"/>
      <c r="J35" s="959"/>
      <c r="K35" s="959"/>
      <c r="L35" s="959"/>
      <c r="M35" s="959"/>
      <c r="N35" s="959"/>
      <c r="O35" s="959"/>
      <c r="P35" s="959"/>
      <c r="Q35" s="959"/>
      <c r="R35" s="959"/>
      <c r="S35" s="959"/>
      <c r="T35" s="959"/>
      <c r="U35" s="959"/>
      <c r="V35" s="1075"/>
      <c r="W35" s="1076" t="s">
        <v>708</v>
      </c>
      <c r="X35" s="959"/>
      <c r="Y35" s="1033"/>
    </row>
    <row r="36" spans="2:25" x14ac:dyDescent="0.3">
      <c r="B36" s="811" t="s">
        <v>928</v>
      </c>
      <c r="C36" s="1074"/>
      <c r="D36" s="959"/>
      <c r="E36" s="959"/>
      <c r="F36" s="959"/>
      <c r="G36" s="959"/>
      <c r="H36" s="959"/>
      <c r="I36" s="959"/>
      <c r="J36" s="959"/>
      <c r="K36" s="959"/>
      <c r="L36" s="959"/>
      <c r="M36" s="959"/>
      <c r="N36" s="959"/>
      <c r="O36" s="959"/>
      <c r="P36" s="959"/>
      <c r="Q36" s="959"/>
      <c r="R36" s="959"/>
      <c r="S36" s="959"/>
      <c r="T36" s="959"/>
      <c r="U36" s="959"/>
      <c r="V36" s="959"/>
      <c r="W36" s="959"/>
      <c r="X36" s="1077"/>
      <c r="Y36" s="1078" t="s">
        <v>709</v>
      </c>
    </row>
    <row r="37" spans="2:25" ht="17.25" thickBot="1" x14ac:dyDescent="0.35">
      <c r="B37" s="813" t="s">
        <v>929</v>
      </c>
      <c r="C37" s="1079"/>
      <c r="D37" s="1080"/>
      <c r="E37" s="1080"/>
      <c r="F37" s="1080"/>
      <c r="G37" s="1080"/>
      <c r="H37" s="1080"/>
      <c r="I37" s="1080"/>
      <c r="J37" s="1080"/>
      <c r="K37" s="1080"/>
      <c r="L37" s="1080"/>
      <c r="M37" s="1080"/>
      <c r="N37" s="1080"/>
      <c r="O37" s="1080"/>
      <c r="P37" s="1080"/>
      <c r="Q37" s="1080"/>
      <c r="R37" s="1080"/>
      <c r="S37" s="1080"/>
      <c r="T37" s="1080"/>
      <c r="U37" s="1080"/>
      <c r="V37" s="1080"/>
      <c r="W37" s="1080"/>
      <c r="X37" s="1081"/>
      <c r="Y37" s="1082" t="s">
        <v>709</v>
      </c>
    </row>
  </sheetData>
  <mergeCells count="5">
    <mergeCell ref="B3:B4"/>
    <mergeCell ref="B22:B24"/>
    <mergeCell ref="B25:B27"/>
    <mergeCell ref="B28:B30"/>
    <mergeCell ref="B31:B33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502C-36DA-4363-A2F6-43EF0DBAAC39}">
  <sheetPr>
    <tabColor rgb="FFC00000"/>
    <pageSetUpPr fitToPage="1"/>
  </sheetPr>
  <dimension ref="A1:AJ89"/>
  <sheetViews>
    <sheetView topLeftCell="G1" zoomScale="85" zoomScaleNormal="85" zoomScaleSheetLayoutView="100" zoomScalePageLayoutView="85" workbookViewId="0">
      <selection activeCell="G13" sqref="G13"/>
    </sheetView>
  </sheetViews>
  <sheetFormatPr defaultRowHeight="16.5" x14ac:dyDescent="0.3"/>
  <cols>
    <col min="1" max="1" width="1.625" customWidth="1"/>
    <col min="2" max="5" width="3.375" style="2" customWidth="1"/>
    <col min="6" max="6" width="57.25" style="3" customWidth="1"/>
    <col min="7" max="7" width="25.625" style="925" bestFit="1" customWidth="1"/>
    <col min="8" max="9" width="16.625" style="3" customWidth="1"/>
    <col min="10" max="10" width="6.625" style="3" customWidth="1"/>
    <col min="11" max="13" width="16.625" style="1" customWidth="1"/>
    <col min="14" max="14" width="12.625" style="5" customWidth="1"/>
    <col min="15" max="15" width="9.625" style="1" customWidth="1"/>
    <col min="16" max="16" width="12.625" style="1" customWidth="1"/>
    <col min="17" max="18" width="22.375" customWidth="1"/>
    <col min="19" max="20" width="21.875" style="93" customWidth="1"/>
    <col min="21" max="21" width="8.125" style="760" customWidth="1"/>
    <col min="22" max="22" width="11.5" style="716" bestFit="1" customWidth="1"/>
    <col min="23" max="23" width="49.75" style="562" bestFit="1" customWidth="1"/>
  </cols>
  <sheetData>
    <row r="1" spans="1:34" ht="9.9499999999999993" customHeight="1" x14ac:dyDescent="0.3"/>
    <row r="2" spans="1:34" ht="26.25" x14ac:dyDescent="0.3">
      <c r="A2" s="1445" t="s">
        <v>583</v>
      </c>
      <c r="B2" s="1445"/>
      <c r="C2" s="1445"/>
      <c r="D2" s="1445"/>
      <c r="E2" s="1445"/>
      <c r="F2" s="1445"/>
      <c r="G2" s="1445"/>
      <c r="H2" s="1445"/>
      <c r="I2" s="1445"/>
      <c r="J2" s="1445"/>
      <c r="K2" s="1445"/>
      <c r="L2" s="1445"/>
      <c r="M2" s="1445"/>
      <c r="N2" s="1445"/>
      <c r="O2" s="1445"/>
      <c r="P2" s="1445"/>
      <c r="Q2" s="1445"/>
      <c r="R2" s="1445"/>
      <c r="S2" s="1445"/>
      <c r="T2" s="1224"/>
      <c r="U2" s="761"/>
      <c r="V2" s="717"/>
    </row>
    <row r="3" spans="1:34" ht="17.25" thickBot="1" x14ac:dyDescent="0.35">
      <c r="A3" t="s">
        <v>1131</v>
      </c>
      <c r="Q3" s="1446">
        <v>45469</v>
      </c>
      <c r="R3" s="1446"/>
      <c r="S3" s="1446"/>
      <c r="T3" s="1225">
        <v>45498</v>
      </c>
      <c r="U3" s="762"/>
      <c r="V3" s="718"/>
    </row>
    <row r="4" spans="1:34" ht="18" thickBot="1" x14ac:dyDescent="0.35">
      <c r="B4" s="1318" t="s">
        <v>491</v>
      </c>
      <c r="C4" s="1319"/>
      <c r="D4" s="1319"/>
      <c r="E4" s="1320"/>
      <c r="F4" s="6" t="s">
        <v>56</v>
      </c>
      <c r="G4" s="6" t="s">
        <v>55</v>
      </c>
      <c r="H4" s="6" t="s">
        <v>0</v>
      </c>
      <c r="I4" s="6" t="s">
        <v>43</v>
      </c>
      <c r="J4" s="6" t="s">
        <v>4</v>
      </c>
      <c r="K4" s="7" t="s">
        <v>12</v>
      </c>
      <c r="L4" s="8" t="s">
        <v>39</v>
      </c>
      <c r="M4" s="8" t="s">
        <v>5</v>
      </c>
      <c r="N4" s="141" t="s">
        <v>13</v>
      </c>
      <c r="O4" s="1321" t="s">
        <v>6</v>
      </c>
      <c r="P4" s="1322"/>
      <c r="Q4" s="1319" t="s">
        <v>3</v>
      </c>
      <c r="R4" s="1323"/>
      <c r="S4" s="71" t="s">
        <v>59</v>
      </c>
      <c r="T4" s="71" t="s">
        <v>933</v>
      </c>
      <c r="U4" s="762"/>
      <c r="V4" s="718"/>
    </row>
    <row r="5" spans="1:34" s="82" customFormat="1" ht="17.25" thickBot="1" x14ac:dyDescent="0.35">
      <c r="B5" s="122" t="s">
        <v>2</v>
      </c>
      <c r="C5" s="116"/>
      <c r="D5" s="116"/>
      <c r="E5" s="117"/>
      <c r="F5" s="118" t="s">
        <v>265</v>
      </c>
      <c r="G5" s="926"/>
      <c r="H5" s="119"/>
      <c r="I5" s="119"/>
      <c r="J5" s="119"/>
      <c r="K5" s="272"/>
      <c r="L5" s="120"/>
      <c r="M5" s="121"/>
      <c r="N5" s="135"/>
      <c r="O5" s="1447"/>
      <c r="P5" s="1448"/>
      <c r="Q5" s="1326"/>
      <c r="R5" s="1327"/>
      <c r="S5" s="115"/>
      <c r="T5" s="115"/>
      <c r="U5" s="763"/>
      <c r="V5" s="719"/>
      <c r="W5" s="562"/>
      <c r="X5"/>
      <c r="Y5"/>
      <c r="Z5"/>
      <c r="AA5"/>
      <c r="AB5"/>
      <c r="AC5"/>
      <c r="AD5"/>
      <c r="AE5"/>
      <c r="AF5"/>
      <c r="AG5"/>
      <c r="AH5"/>
    </row>
    <row r="6" spans="1:34" s="369" customFormat="1" x14ac:dyDescent="0.3">
      <c r="B6" s="498"/>
      <c r="C6" s="155" t="s">
        <v>2</v>
      </c>
      <c r="D6" s="155"/>
      <c r="E6" s="151"/>
      <c r="F6" s="269" t="s">
        <v>578</v>
      </c>
      <c r="G6" s="990" t="s">
        <v>512</v>
      </c>
      <c r="H6" s="185" t="s">
        <v>131</v>
      </c>
      <c r="I6" s="185" t="s">
        <v>131</v>
      </c>
      <c r="J6" s="184">
        <v>1</v>
      </c>
      <c r="K6" s="169">
        <f>(16960+2700+810)*0.5*1.071*1400</f>
        <v>15346359</v>
      </c>
      <c r="L6" s="55">
        <f>21492000+4038000+1220000</f>
        <v>26750000</v>
      </c>
      <c r="M6" s="164">
        <f>J6*K6</f>
        <v>15346359</v>
      </c>
      <c r="N6" s="158">
        <v>0</v>
      </c>
      <c r="O6" s="1328">
        <f>J6*L6/(1-N6)</f>
        <v>26750000</v>
      </c>
      <c r="P6" s="1329"/>
      <c r="Q6" s="1330" t="s">
        <v>437</v>
      </c>
      <c r="R6" s="1331"/>
      <c r="S6" s="152" t="s">
        <v>1132</v>
      </c>
      <c r="T6" s="152"/>
      <c r="U6" s="682"/>
      <c r="V6" s="720"/>
      <c r="W6" s="562" t="s">
        <v>495</v>
      </c>
      <c r="X6" s="370"/>
      <c r="Y6" s="370"/>
      <c r="Z6" s="370"/>
      <c r="AA6" s="370"/>
      <c r="AB6" s="370"/>
      <c r="AC6" s="370"/>
      <c r="AD6" s="370"/>
      <c r="AE6" s="370"/>
      <c r="AF6" s="370"/>
      <c r="AG6" s="370"/>
      <c r="AH6" s="370"/>
    </row>
    <row r="7" spans="1:34" s="369" customFormat="1" x14ac:dyDescent="0.3">
      <c r="B7" s="498"/>
      <c r="C7" s="155"/>
      <c r="D7" s="155" t="s">
        <v>2</v>
      </c>
      <c r="E7" s="151"/>
      <c r="F7" s="269" t="s">
        <v>369</v>
      </c>
      <c r="G7" s="991">
        <v>701978</v>
      </c>
      <c r="H7" s="185" t="s">
        <v>131</v>
      </c>
      <c r="I7" s="185" t="s">
        <v>131</v>
      </c>
      <c r="J7" s="184">
        <v>2</v>
      </c>
      <c r="K7" s="169">
        <f>(1200)*0.6*1.071*1400</f>
        <v>1079568</v>
      </c>
      <c r="L7" s="55">
        <v>2025000</v>
      </c>
      <c r="M7" s="164">
        <f>J7*K7</f>
        <v>2159136</v>
      </c>
      <c r="N7" s="158">
        <v>0</v>
      </c>
      <c r="O7" s="1328">
        <f>J7*L7/(1-N7)</f>
        <v>4050000</v>
      </c>
      <c r="P7" s="1329"/>
      <c r="Q7" s="1330" t="s">
        <v>509</v>
      </c>
      <c r="R7" s="1331"/>
      <c r="S7" s="289" t="s">
        <v>1133</v>
      </c>
      <c r="T7" s="1226"/>
      <c r="U7" s="682"/>
      <c r="V7" s="720"/>
      <c r="W7" s="562"/>
      <c r="X7" s="370"/>
      <c r="Y7" s="370"/>
      <c r="Z7" s="370"/>
      <c r="AA7" s="370"/>
      <c r="AB7" s="370"/>
      <c r="AC7" s="370"/>
      <c r="AD7" s="370"/>
      <c r="AE7" s="370"/>
      <c r="AF7" s="370"/>
      <c r="AG7" s="370"/>
      <c r="AH7" s="370"/>
    </row>
    <row r="8" spans="1:34" s="369" customFormat="1" x14ac:dyDescent="0.3">
      <c r="A8" s="649"/>
      <c r="B8" s="498"/>
      <c r="C8" s="155"/>
      <c r="D8" s="155" t="s">
        <v>2</v>
      </c>
      <c r="E8" s="151"/>
      <c r="F8" s="269" t="s">
        <v>549</v>
      </c>
      <c r="G8" s="991">
        <v>701937</v>
      </c>
      <c r="H8" s="185" t="s">
        <v>131</v>
      </c>
      <c r="I8" s="185" t="s">
        <v>131</v>
      </c>
      <c r="J8" s="184">
        <v>1</v>
      </c>
      <c r="K8" s="169"/>
      <c r="L8" s="55"/>
      <c r="M8" s="164"/>
      <c r="N8" s="158">
        <v>0</v>
      </c>
      <c r="O8" s="1328">
        <f>J8*L8/(1-N8)</f>
        <v>0</v>
      </c>
      <c r="P8" s="1329"/>
      <c r="Q8" s="1330" t="s">
        <v>556</v>
      </c>
      <c r="R8" s="1331"/>
      <c r="S8" s="1025" t="s">
        <v>1134</v>
      </c>
      <c r="T8" s="1226"/>
      <c r="U8" s="682"/>
      <c r="V8" s="720"/>
      <c r="W8" s="562" t="s">
        <v>492</v>
      </c>
      <c r="X8" s="370"/>
      <c r="Y8" s="370"/>
      <c r="Z8" s="370"/>
      <c r="AA8" s="370"/>
      <c r="AB8" s="370"/>
      <c r="AC8" s="370"/>
      <c r="AD8" s="370"/>
      <c r="AE8" s="370"/>
      <c r="AF8" s="370"/>
      <c r="AG8" s="370"/>
      <c r="AH8" s="370"/>
    </row>
    <row r="9" spans="1:34" s="413" customFormat="1" x14ac:dyDescent="0.3">
      <c r="B9" s="496"/>
      <c r="C9" s="497"/>
      <c r="D9" s="416" t="s">
        <v>2</v>
      </c>
      <c r="E9" s="497"/>
      <c r="F9" s="417" t="s">
        <v>489</v>
      </c>
      <c r="G9" s="991">
        <v>702916</v>
      </c>
      <c r="H9" s="416" t="s">
        <v>131</v>
      </c>
      <c r="I9" s="56" t="s">
        <v>131</v>
      </c>
      <c r="J9" s="416">
        <v>1</v>
      </c>
      <c r="K9" s="169">
        <f>(6450)*0.6*1.071*1400</f>
        <v>5802677.9999999991</v>
      </c>
      <c r="L9" s="169">
        <v>8712000</v>
      </c>
      <c r="M9" s="418">
        <f t="shared" ref="M9:M16" si="0">J9*K9</f>
        <v>5802677.9999999991</v>
      </c>
      <c r="N9" s="419">
        <v>0</v>
      </c>
      <c r="O9" s="1472">
        <f>J9*L9/(1-N9)</f>
        <v>8712000</v>
      </c>
      <c r="P9" s="1473"/>
      <c r="Q9" s="1474" t="s">
        <v>575</v>
      </c>
      <c r="R9" s="1475"/>
      <c r="S9" s="1025" t="s">
        <v>1135</v>
      </c>
      <c r="T9" s="1226"/>
      <c r="U9" s="764" t="s">
        <v>576</v>
      </c>
      <c r="V9" s="721"/>
      <c r="W9" s="569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</row>
    <row r="10" spans="1:34" s="369" customFormat="1" x14ac:dyDescent="0.3">
      <c r="B10" s="498"/>
      <c r="C10" s="155" t="s">
        <v>73</v>
      </c>
      <c r="D10" s="155"/>
      <c r="E10" s="151"/>
      <c r="F10" s="269" t="s">
        <v>399</v>
      </c>
      <c r="G10" s="991" t="s">
        <v>336</v>
      </c>
      <c r="H10" s="185" t="s">
        <v>337</v>
      </c>
      <c r="I10" s="185" t="s">
        <v>337</v>
      </c>
      <c r="J10" s="184">
        <v>1</v>
      </c>
      <c r="K10" s="55">
        <f>690000*8.7116</f>
        <v>6011004.0000000009</v>
      </c>
      <c r="L10" s="169">
        <v>11825000</v>
      </c>
      <c r="M10" s="164">
        <f>J10*K10</f>
        <v>6011004.0000000009</v>
      </c>
      <c r="N10" s="158">
        <v>0</v>
      </c>
      <c r="O10" s="1328">
        <f t="shared" ref="O10" si="1">J10*L10/(1-N10)</f>
        <v>11825000</v>
      </c>
      <c r="P10" s="1329"/>
      <c r="Q10" s="1451" t="s">
        <v>586</v>
      </c>
      <c r="R10" s="1452"/>
      <c r="S10" s="1025" t="s">
        <v>954</v>
      </c>
      <c r="T10" s="1226" t="s">
        <v>1126</v>
      </c>
      <c r="U10" s="682" t="s">
        <v>585</v>
      </c>
      <c r="V10" s="720"/>
      <c r="W10" s="568"/>
      <c r="X10" s="370"/>
      <c r="Y10" s="370"/>
      <c r="Z10" s="370"/>
      <c r="AA10" s="370"/>
      <c r="AB10" s="370"/>
      <c r="AC10" s="370"/>
      <c r="AD10" s="370"/>
      <c r="AE10" s="370"/>
      <c r="AF10" s="370"/>
      <c r="AG10" s="370"/>
      <c r="AH10" s="370"/>
    </row>
    <row r="11" spans="1:34" s="84" customFormat="1" x14ac:dyDescent="0.3">
      <c r="B11" s="498"/>
      <c r="C11" s="499" t="s">
        <v>73</v>
      </c>
      <c r="D11" s="499"/>
      <c r="E11" s="151"/>
      <c r="F11" s="156" t="s">
        <v>759</v>
      </c>
      <c r="G11" s="991" t="s">
        <v>425</v>
      </c>
      <c r="H11" s="155" t="s">
        <v>142</v>
      </c>
      <c r="I11" s="56" t="s">
        <v>64</v>
      </c>
      <c r="J11" s="155">
        <v>1</v>
      </c>
      <c r="K11" s="55">
        <f>L11*0.75</f>
        <v>1731750</v>
      </c>
      <c r="L11" s="55">
        <v>2309000</v>
      </c>
      <c r="M11" s="164">
        <f t="shared" si="0"/>
        <v>1731750</v>
      </c>
      <c r="N11" s="158">
        <v>0</v>
      </c>
      <c r="O11" s="1328">
        <f t="shared" ref="O11:O16" si="2">J11*L11/(1-N11)</f>
        <v>2309000</v>
      </c>
      <c r="P11" s="1329"/>
      <c r="Q11" s="1330" t="s">
        <v>426</v>
      </c>
      <c r="R11" s="1331"/>
      <c r="S11" s="1025" t="s">
        <v>653</v>
      </c>
      <c r="T11" s="1226"/>
      <c r="U11" s="765"/>
      <c r="V11" s="722"/>
      <c r="W11" s="562"/>
      <c r="X11"/>
      <c r="Y11"/>
      <c r="Z11"/>
      <c r="AA11"/>
      <c r="AB11"/>
      <c r="AC11"/>
      <c r="AD11"/>
      <c r="AE11"/>
      <c r="AF11"/>
      <c r="AG11"/>
      <c r="AH11"/>
    </row>
    <row r="12" spans="1:34" s="528" customFormat="1" x14ac:dyDescent="0.3">
      <c r="B12" s="62"/>
      <c r="C12" s="63" t="s">
        <v>2</v>
      </c>
      <c r="D12" s="63"/>
      <c r="E12" s="61"/>
      <c r="F12" s="174" t="s">
        <v>459</v>
      </c>
      <c r="G12" s="991" t="s">
        <v>195</v>
      </c>
      <c r="H12" s="56" t="s">
        <v>142</v>
      </c>
      <c r="I12" s="56" t="s">
        <v>64</v>
      </c>
      <c r="J12" s="56">
        <v>1</v>
      </c>
      <c r="K12" s="55">
        <f>L12*0.75</f>
        <v>14394750</v>
      </c>
      <c r="L12" s="55">
        <f>19193000</f>
        <v>19193000</v>
      </c>
      <c r="M12" s="418">
        <f t="shared" si="0"/>
        <v>14394750</v>
      </c>
      <c r="N12" s="503">
        <v>0</v>
      </c>
      <c r="O12" s="1472">
        <f>L12*J12</f>
        <v>19193000</v>
      </c>
      <c r="P12" s="1473"/>
      <c r="Q12" s="1484" t="s">
        <v>401</v>
      </c>
      <c r="R12" s="1485"/>
      <c r="S12" s="1025" t="s">
        <v>653</v>
      </c>
      <c r="T12" s="1226"/>
      <c r="U12" s="815" t="s">
        <v>680</v>
      </c>
      <c r="V12" s="723"/>
      <c r="W12" s="563"/>
      <c r="X12" s="70"/>
      <c r="Y12" s="70"/>
      <c r="Z12" s="70"/>
      <c r="AA12" s="70"/>
      <c r="AB12" s="70"/>
      <c r="AC12" s="70"/>
      <c r="AD12" s="70"/>
    </row>
    <row r="13" spans="1:34" s="528" customFormat="1" x14ac:dyDescent="0.3">
      <c r="B13" s="62"/>
      <c r="C13" s="63"/>
      <c r="D13" s="63" t="s">
        <v>2</v>
      </c>
      <c r="E13" s="61"/>
      <c r="F13" s="174" t="s">
        <v>460</v>
      </c>
      <c r="G13" s="991" t="s">
        <v>461</v>
      </c>
      <c r="H13" s="56" t="s">
        <v>142</v>
      </c>
      <c r="I13" s="56" t="s">
        <v>64</v>
      </c>
      <c r="J13" s="56">
        <v>1</v>
      </c>
      <c r="K13" s="55">
        <f>L13*0.75</f>
        <v>14008500</v>
      </c>
      <c r="L13" s="55">
        <v>18678000</v>
      </c>
      <c r="M13" s="418">
        <f t="shared" si="0"/>
        <v>14008500</v>
      </c>
      <c r="N13" s="503">
        <v>0</v>
      </c>
      <c r="O13" s="1472">
        <f>L13*J13</f>
        <v>18678000</v>
      </c>
      <c r="P13" s="1473"/>
      <c r="Q13" s="1486"/>
      <c r="R13" s="1487"/>
      <c r="S13" s="212" t="s">
        <v>653</v>
      </c>
      <c r="T13" s="212"/>
      <c r="U13" s="760"/>
      <c r="V13" s="716"/>
      <c r="W13" s="563"/>
      <c r="X13" s="70"/>
      <c r="Y13" s="70"/>
      <c r="Z13" s="70"/>
      <c r="AA13" s="70"/>
      <c r="AB13" s="70"/>
      <c r="AC13" s="70"/>
      <c r="AD13" s="70"/>
    </row>
    <row r="14" spans="1:34" s="84" customFormat="1" x14ac:dyDescent="0.3">
      <c r="B14" s="581"/>
      <c r="C14" s="184" t="s">
        <v>73</v>
      </c>
      <c r="D14" s="184"/>
      <c r="E14" s="582"/>
      <c r="F14" s="156" t="s">
        <v>427</v>
      </c>
      <c r="G14" s="991">
        <v>2470</v>
      </c>
      <c r="H14" s="155" t="s">
        <v>258</v>
      </c>
      <c r="I14" s="155"/>
      <c r="J14" s="184">
        <v>1</v>
      </c>
      <c r="K14" s="169">
        <f>L14*0.85</f>
        <v>14960000</v>
      </c>
      <c r="L14" s="55">
        <v>17600000</v>
      </c>
      <c r="M14" s="164">
        <f t="shared" si="0"/>
        <v>14960000</v>
      </c>
      <c r="N14" s="158">
        <v>0</v>
      </c>
      <c r="O14" s="1328">
        <f t="shared" si="2"/>
        <v>17600000</v>
      </c>
      <c r="P14" s="1329"/>
      <c r="Q14" s="1330" t="s">
        <v>263</v>
      </c>
      <c r="R14" s="1331"/>
      <c r="S14" s="204"/>
      <c r="T14" s="1226"/>
      <c r="U14" s="765"/>
      <c r="V14" s="722"/>
      <c r="W14" s="562"/>
      <c r="X14"/>
      <c r="Y14"/>
      <c r="Z14"/>
      <c r="AA14"/>
      <c r="AB14"/>
      <c r="AC14"/>
      <c r="AD14"/>
      <c r="AE14"/>
      <c r="AF14"/>
      <c r="AG14"/>
      <c r="AH14"/>
    </row>
    <row r="15" spans="1:34" s="84" customFormat="1" ht="49.5" x14ac:dyDescent="0.3">
      <c r="B15" s="581"/>
      <c r="C15" s="184" t="s">
        <v>73</v>
      </c>
      <c r="D15" s="184"/>
      <c r="E15" s="582"/>
      <c r="F15" s="156" t="s">
        <v>259</v>
      </c>
      <c r="G15" s="991" t="s">
        <v>325</v>
      </c>
      <c r="H15" s="155" t="s">
        <v>510</v>
      </c>
      <c r="I15" s="155" t="s">
        <v>1138</v>
      </c>
      <c r="J15" s="184">
        <v>1</v>
      </c>
      <c r="K15" s="169">
        <f>L15*0.85</f>
        <v>6273000</v>
      </c>
      <c r="L15" s="55">
        <v>7380000</v>
      </c>
      <c r="M15" s="164">
        <f t="shared" si="0"/>
        <v>6273000</v>
      </c>
      <c r="N15" s="158">
        <v>0</v>
      </c>
      <c r="O15" s="1328">
        <f t="shared" si="2"/>
        <v>7380000</v>
      </c>
      <c r="P15" s="1329"/>
      <c r="Q15" s="1330" t="s">
        <v>326</v>
      </c>
      <c r="R15" s="1331"/>
      <c r="S15" s="204"/>
      <c r="T15" s="1226"/>
      <c r="U15" s="765"/>
      <c r="V15" s="722"/>
      <c r="W15" s="568" t="s">
        <v>496</v>
      </c>
      <c r="X15"/>
      <c r="Y15"/>
      <c r="Z15"/>
      <c r="AA15"/>
      <c r="AB15"/>
      <c r="AC15"/>
      <c r="AD15"/>
      <c r="AE15"/>
      <c r="AF15"/>
      <c r="AG15"/>
      <c r="AH15"/>
    </row>
    <row r="16" spans="1:34" s="84" customFormat="1" x14ac:dyDescent="0.3">
      <c r="B16" s="581"/>
      <c r="C16" s="184" t="s">
        <v>2</v>
      </c>
      <c r="D16" s="184"/>
      <c r="E16" s="582"/>
      <c r="F16" s="156" t="s">
        <v>428</v>
      </c>
      <c r="G16" s="991">
        <v>3153</v>
      </c>
      <c r="H16" s="155" t="s">
        <v>711</v>
      </c>
      <c r="I16" s="155"/>
      <c r="J16" s="184">
        <v>1</v>
      </c>
      <c r="K16" s="169">
        <f t="shared" ref="K16" si="3">L16*0.75</f>
        <v>8088000</v>
      </c>
      <c r="L16" s="55">
        <v>10784000</v>
      </c>
      <c r="M16" s="164">
        <f t="shared" si="0"/>
        <v>8088000</v>
      </c>
      <c r="N16" s="158">
        <v>0</v>
      </c>
      <c r="O16" s="1328">
        <f t="shared" si="2"/>
        <v>10784000</v>
      </c>
      <c r="P16" s="1329"/>
      <c r="Q16" s="1330" t="s">
        <v>511</v>
      </c>
      <c r="R16" s="1331"/>
      <c r="S16" s="204"/>
      <c r="T16" s="1226" t="s">
        <v>1121</v>
      </c>
      <c r="U16" s="765"/>
      <c r="V16" s="722"/>
      <c r="W16" s="562" t="s">
        <v>497</v>
      </c>
      <c r="X16"/>
      <c r="Y16"/>
      <c r="Z16"/>
      <c r="AA16"/>
      <c r="AB16"/>
      <c r="AC16"/>
      <c r="AD16"/>
      <c r="AE16"/>
      <c r="AF16"/>
      <c r="AG16"/>
      <c r="AH16"/>
    </row>
    <row r="17" spans="1:36" s="82" customFormat="1" ht="17.25" thickBot="1" x14ac:dyDescent="0.35">
      <c r="B17" s="585"/>
      <c r="C17" s="492"/>
      <c r="D17" s="492"/>
      <c r="E17" s="586"/>
      <c r="F17" s="487"/>
      <c r="G17" s="484"/>
      <c r="H17" s="484"/>
      <c r="I17" s="484"/>
      <c r="J17" s="492"/>
      <c r="K17" s="493"/>
      <c r="L17" s="488"/>
      <c r="M17" s="485"/>
      <c r="N17" s="486"/>
      <c r="O17" s="1476"/>
      <c r="P17" s="1477"/>
      <c r="Q17" s="1478"/>
      <c r="R17" s="1479"/>
      <c r="S17" s="489"/>
      <c r="T17" s="1246"/>
      <c r="U17" s="766"/>
      <c r="V17" s="724"/>
      <c r="W17" s="562"/>
    </row>
    <row r="18" spans="1:36" s="84" customFormat="1" ht="17.25" thickBot="1" x14ac:dyDescent="0.35">
      <c r="B18" s="587" t="s">
        <v>2</v>
      </c>
      <c r="C18" s="588"/>
      <c r="D18" s="588"/>
      <c r="E18" s="589"/>
      <c r="F18" s="270" t="s">
        <v>266</v>
      </c>
      <c r="G18" s="921"/>
      <c r="H18" s="590"/>
      <c r="I18" s="590"/>
      <c r="J18" s="590"/>
      <c r="K18" s="590"/>
      <c r="L18" s="591"/>
      <c r="M18" s="592"/>
      <c r="N18" s="593"/>
      <c r="O18" s="1324"/>
      <c r="P18" s="1325"/>
      <c r="Q18" s="1326"/>
      <c r="R18" s="1327"/>
      <c r="S18" s="115"/>
      <c r="T18" s="115"/>
      <c r="U18" s="765"/>
      <c r="V18" s="722"/>
      <c r="W18" s="566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36" s="82" customFormat="1" x14ac:dyDescent="0.3">
      <c r="B19" s="500"/>
      <c r="C19" s="501" t="s">
        <v>2</v>
      </c>
      <c r="D19" s="144"/>
      <c r="E19" s="145"/>
      <c r="F19" s="146" t="s">
        <v>541</v>
      </c>
      <c r="G19" s="991" t="s">
        <v>278</v>
      </c>
      <c r="H19" s="144" t="s">
        <v>80</v>
      </c>
      <c r="I19" s="144" t="s">
        <v>240</v>
      </c>
      <c r="J19" s="144">
        <v>1</v>
      </c>
      <c r="K19" s="157">
        <f t="shared" ref="K19:K22" si="4">L19*0.95</f>
        <v>2422500</v>
      </c>
      <c r="L19" s="147">
        <v>2550000</v>
      </c>
      <c r="M19" s="163">
        <f>J19*K19</f>
        <v>2422500</v>
      </c>
      <c r="N19" s="148">
        <v>0</v>
      </c>
      <c r="O19" s="1480">
        <f t="shared" ref="O19:O22" si="5">J19*L19/(1-N19)</f>
        <v>2550000</v>
      </c>
      <c r="P19" s="1481"/>
      <c r="Q19" s="1482"/>
      <c r="R19" s="1483"/>
      <c r="S19" s="287" t="s">
        <v>645</v>
      </c>
      <c r="T19" s="287" t="s">
        <v>1137</v>
      </c>
      <c r="U19" s="766"/>
      <c r="V19" s="724"/>
      <c r="W19" s="562" t="s">
        <v>493</v>
      </c>
    </row>
    <row r="20" spans="1:36" x14ac:dyDescent="0.3">
      <c r="B20" s="498"/>
      <c r="C20" s="499"/>
      <c r="D20" s="499" t="s">
        <v>2</v>
      </c>
      <c r="E20" s="151"/>
      <c r="F20" s="156" t="s">
        <v>539</v>
      </c>
      <c r="G20" s="991" t="s">
        <v>422</v>
      </c>
      <c r="H20" s="155" t="s">
        <v>80</v>
      </c>
      <c r="I20" s="155" t="s">
        <v>430</v>
      </c>
      <c r="J20" s="155">
        <v>1</v>
      </c>
      <c r="K20" s="157">
        <f t="shared" si="4"/>
        <v>2242000</v>
      </c>
      <c r="L20" s="157">
        <v>2360000</v>
      </c>
      <c r="M20" s="164">
        <f t="shared" ref="M20:M22" si="6">J20*K20</f>
        <v>2242000</v>
      </c>
      <c r="N20" s="158">
        <v>0</v>
      </c>
      <c r="O20" s="1328">
        <f t="shared" si="5"/>
        <v>2360000</v>
      </c>
      <c r="P20" s="1329"/>
      <c r="Q20" s="1330" t="s">
        <v>582</v>
      </c>
      <c r="R20" s="1331"/>
      <c r="S20" s="152" t="s">
        <v>646</v>
      </c>
      <c r="T20" s="152" t="s">
        <v>1136</v>
      </c>
      <c r="U20" s="767" t="s">
        <v>552</v>
      </c>
      <c r="V20" s="725"/>
      <c r="W20" s="567" t="s">
        <v>494</v>
      </c>
      <c r="X20" s="3"/>
      <c r="Y20" s="79"/>
    </row>
    <row r="21" spans="1:36" x14ac:dyDescent="0.3">
      <c r="B21" s="498"/>
      <c r="C21" s="499"/>
      <c r="D21" s="499" t="s">
        <v>2</v>
      </c>
      <c r="E21" s="151"/>
      <c r="F21" s="156" t="s">
        <v>537</v>
      </c>
      <c r="G21" s="991" t="s">
        <v>316</v>
      </c>
      <c r="H21" s="155" t="s">
        <v>80</v>
      </c>
      <c r="I21" s="155" t="s">
        <v>430</v>
      </c>
      <c r="J21" s="155">
        <v>1</v>
      </c>
      <c r="K21" s="157">
        <f t="shared" si="4"/>
        <v>836000</v>
      </c>
      <c r="L21" s="157">
        <v>880000</v>
      </c>
      <c r="M21" s="164">
        <f t="shared" si="6"/>
        <v>836000</v>
      </c>
      <c r="N21" s="158">
        <v>0</v>
      </c>
      <c r="O21" s="1328">
        <f t="shared" si="5"/>
        <v>880000</v>
      </c>
      <c r="P21" s="1329"/>
      <c r="Q21" s="645" t="s">
        <v>581</v>
      </c>
      <c r="R21" s="646"/>
      <c r="S21" s="289" t="s">
        <v>646</v>
      </c>
      <c r="T21" s="1226" t="s">
        <v>1136</v>
      </c>
      <c r="U21" s="768" t="s">
        <v>533</v>
      </c>
      <c r="V21" s="726"/>
    </row>
    <row r="22" spans="1:36" x14ac:dyDescent="0.3">
      <c r="B22" s="581"/>
      <c r="C22" s="499"/>
      <c r="D22" s="499" t="s">
        <v>2</v>
      </c>
      <c r="E22" s="582"/>
      <c r="F22" s="156" t="s">
        <v>535</v>
      </c>
      <c r="G22" s="991" t="s">
        <v>720</v>
      </c>
      <c r="H22" s="155" t="s">
        <v>80</v>
      </c>
      <c r="I22" s="155" t="s">
        <v>430</v>
      </c>
      <c r="J22" s="184">
        <v>1</v>
      </c>
      <c r="K22" s="55">
        <f t="shared" si="4"/>
        <v>1396500</v>
      </c>
      <c r="L22" s="55">
        <v>1470000</v>
      </c>
      <c r="M22" s="164">
        <f t="shared" si="6"/>
        <v>1396500</v>
      </c>
      <c r="N22" s="158">
        <v>0</v>
      </c>
      <c r="O22" s="1328">
        <f t="shared" si="5"/>
        <v>1470000</v>
      </c>
      <c r="P22" s="1329"/>
      <c r="Q22" s="1451" t="s">
        <v>594</v>
      </c>
      <c r="R22" s="1452"/>
      <c r="S22" s="289" t="s">
        <v>646</v>
      </c>
      <c r="T22" s="1226" t="s">
        <v>1136</v>
      </c>
      <c r="U22" s="769" t="s">
        <v>555</v>
      </c>
      <c r="V22" s="727"/>
    </row>
    <row r="23" spans="1:36" s="84" customFormat="1" ht="17.25" thickBot="1" x14ac:dyDescent="0.35">
      <c r="B23" s="581"/>
      <c r="C23" s="184"/>
      <c r="D23" s="184"/>
      <c r="E23" s="582"/>
      <c r="F23" s="156"/>
      <c r="G23" s="155"/>
      <c r="H23" s="155"/>
      <c r="I23" s="155"/>
      <c r="J23" s="184"/>
      <c r="K23" s="199"/>
      <c r="L23" s="55"/>
      <c r="M23" s="164"/>
      <c r="N23" s="158"/>
      <c r="O23" s="643"/>
      <c r="P23" s="644"/>
      <c r="Q23" s="645"/>
      <c r="R23" s="646"/>
      <c r="S23" s="204"/>
      <c r="T23" s="1226"/>
      <c r="U23" s="765"/>
      <c r="V23" s="722"/>
      <c r="W23" s="562"/>
      <c r="X23"/>
      <c r="Y23"/>
      <c r="Z23"/>
      <c r="AA23"/>
      <c r="AB23"/>
      <c r="AC23"/>
      <c r="AD23"/>
      <c r="AE23"/>
      <c r="AF23"/>
      <c r="AG23"/>
      <c r="AH23"/>
    </row>
    <row r="24" spans="1:36" s="84" customFormat="1" ht="17.25" thickBot="1" x14ac:dyDescent="0.35">
      <c r="B24" s="587" t="s">
        <v>2</v>
      </c>
      <c r="C24" s="588"/>
      <c r="D24" s="588"/>
      <c r="E24" s="589"/>
      <c r="F24" s="270" t="s">
        <v>267</v>
      </c>
      <c r="G24" s="921"/>
      <c r="H24" s="590"/>
      <c r="I24" s="590"/>
      <c r="J24" s="590"/>
      <c r="K24" s="590"/>
      <c r="L24" s="591"/>
      <c r="M24" s="592"/>
      <c r="N24" s="593"/>
      <c r="O24" s="1324"/>
      <c r="P24" s="1325"/>
      <c r="Q24" s="1336"/>
      <c r="R24" s="1337"/>
      <c r="S24" s="115"/>
      <c r="T24" s="115"/>
      <c r="U24" s="765"/>
      <c r="V24" s="722"/>
      <c r="X24"/>
      <c r="Y24"/>
      <c r="Z24"/>
      <c r="AA24"/>
      <c r="AB24"/>
      <c r="AC24"/>
      <c r="AD24"/>
      <c r="AE24"/>
      <c r="AF24"/>
      <c r="AG24"/>
      <c r="AH24"/>
    </row>
    <row r="25" spans="1:36" s="82" customFormat="1" x14ac:dyDescent="0.3">
      <c r="B25" s="594"/>
      <c r="C25" s="176" t="s">
        <v>2</v>
      </c>
      <c r="D25" s="184"/>
      <c r="E25" s="595"/>
      <c r="F25" s="203" t="s">
        <v>417</v>
      </c>
      <c r="G25" s="176"/>
      <c r="H25" s="176" t="s">
        <v>60</v>
      </c>
      <c r="I25" s="155" t="s">
        <v>116</v>
      </c>
      <c r="J25" s="155">
        <v>1</v>
      </c>
      <c r="K25" s="157">
        <v>4500000</v>
      </c>
      <c r="L25" s="157">
        <v>4500000</v>
      </c>
      <c r="M25" s="164">
        <f>J25*K25</f>
        <v>4500000</v>
      </c>
      <c r="N25" s="158">
        <v>0.3</v>
      </c>
      <c r="O25" s="1480">
        <f>J25*L25*(1+N25)</f>
        <v>5850000</v>
      </c>
      <c r="P25" s="1481"/>
      <c r="Q25" s="1330" t="s">
        <v>420</v>
      </c>
      <c r="R25" s="1331"/>
      <c r="S25" s="152" t="s">
        <v>647</v>
      </c>
      <c r="T25" s="152"/>
      <c r="U25" s="770" t="s">
        <v>631</v>
      </c>
      <c r="V25" s="728">
        <f>(2000000+(300000*5))*1.2</f>
        <v>4200000</v>
      </c>
      <c r="W25" s="562"/>
    </row>
    <row r="26" spans="1:36" s="82" customFormat="1" x14ac:dyDescent="0.3">
      <c r="B26" s="498"/>
      <c r="C26" s="499"/>
      <c r="D26" s="155" t="s">
        <v>2</v>
      </c>
      <c r="E26" s="151"/>
      <c r="F26" s="156" t="s">
        <v>245</v>
      </c>
      <c r="G26" s="991" t="s">
        <v>246</v>
      </c>
      <c r="H26" s="155" t="s">
        <v>183</v>
      </c>
      <c r="I26" s="155" t="s">
        <v>116</v>
      </c>
      <c r="J26" s="155">
        <v>1</v>
      </c>
      <c r="K26" s="157">
        <v>200000</v>
      </c>
      <c r="L26" s="157">
        <v>200000</v>
      </c>
      <c r="M26" s="164">
        <f t="shared" ref="M26:M27" si="7">J26*K26</f>
        <v>200000</v>
      </c>
      <c r="N26" s="158">
        <v>0.3</v>
      </c>
      <c r="O26" s="1328">
        <f t="shared" ref="O26:O45" si="8">J26*L26*(1+N26)</f>
        <v>260000</v>
      </c>
      <c r="P26" s="1329"/>
      <c r="Q26" s="1330"/>
      <c r="R26" s="1331"/>
      <c r="S26" s="152"/>
      <c r="T26" s="152"/>
      <c r="U26" s="770"/>
      <c r="V26" s="728"/>
      <c r="W26" s="562"/>
    </row>
    <row r="27" spans="1:36" s="84" customFormat="1" ht="33" x14ac:dyDescent="0.3">
      <c r="B27" s="581"/>
      <c r="C27" s="499"/>
      <c r="D27" s="155" t="s">
        <v>2</v>
      </c>
      <c r="E27" s="582"/>
      <c r="F27" s="156" t="s">
        <v>343</v>
      </c>
      <c r="G27" s="991" t="s">
        <v>334</v>
      </c>
      <c r="H27" s="155" t="s">
        <v>328</v>
      </c>
      <c r="I27" s="155" t="s">
        <v>116</v>
      </c>
      <c r="J27" s="184">
        <v>1</v>
      </c>
      <c r="K27" s="169">
        <v>450000</v>
      </c>
      <c r="L27" s="169">
        <v>500000</v>
      </c>
      <c r="M27" s="164">
        <f t="shared" si="7"/>
        <v>450000</v>
      </c>
      <c r="N27" s="158">
        <v>0</v>
      </c>
      <c r="O27" s="1328">
        <f>J27*L27/(1-N27)</f>
        <v>500000</v>
      </c>
      <c r="P27" s="1329"/>
      <c r="Q27" s="1330" t="s">
        <v>526</v>
      </c>
      <c r="R27" s="1331"/>
      <c r="S27" s="204"/>
      <c r="T27" s="152" t="s">
        <v>1123</v>
      </c>
      <c r="U27" s="760"/>
      <c r="V27" s="716"/>
      <c r="W27" s="562"/>
      <c r="X27"/>
      <c r="Y27"/>
      <c r="Z27"/>
      <c r="AA27"/>
      <c r="AB27"/>
      <c r="AC27"/>
      <c r="AD27"/>
      <c r="AE27"/>
      <c r="AF27"/>
      <c r="AG27"/>
      <c r="AH27"/>
    </row>
    <row r="28" spans="1:36" s="84" customFormat="1" x14ac:dyDescent="0.3">
      <c r="B28" s="496"/>
      <c r="C28" s="416" t="s">
        <v>2</v>
      </c>
      <c r="D28" s="56"/>
      <c r="E28" s="819"/>
      <c r="F28" s="848" t="s">
        <v>268</v>
      </c>
      <c r="G28" s="991" t="s">
        <v>60</v>
      </c>
      <c r="H28" s="416" t="s">
        <v>60</v>
      </c>
      <c r="I28" s="56" t="s">
        <v>725</v>
      </c>
      <c r="J28" s="56">
        <v>1</v>
      </c>
      <c r="K28" s="55">
        <v>1000000</v>
      </c>
      <c r="L28" s="55">
        <v>1000000</v>
      </c>
      <c r="M28" s="418">
        <f>J28*K28</f>
        <v>1000000</v>
      </c>
      <c r="N28" s="503">
        <v>0.3</v>
      </c>
      <c r="O28" s="1472">
        <f t="shared" ref="O28:O30" si="9">J28*L28*(1+N28)</f>
        <v>1300000</v>
      </c>
      <c r="P28" s="1473"/>
      <c r="Q28" s="1490"/>
      <c r="R28" s="1491"/>
      <c r="S28" s="152"/>
      <c r="T28" s="152"/>
      <c r="U28" s="413" t="s">
        <v>630</v>
      </c>
      <c r="V28" s="728">
        <f>(500000+(300000*1))*1.2</f>
        <v>960000</v>
      </c>
    </row>
    <row r="29" spans="1:36" s="413" customFormat="1" x14ac:dyDescent="0.3">
      <c r="A29" s="82"/>
      <c r="B29" s="496"/>
      <c r="C29" s="416"/>
      <c r="D29" s="56" t="s">
        <v>2</v>
      </c>
      <c r="E29" s="819"/>
      <c r="F29" s="848" t="s">
        <v>519</v>
      </c>
      <c r="G29" s="991" t="s">
        <v>520</v>
      </c>
      <c r="H29" s="416" t="s">
        <v>521</v>
      </c>
      <c r="I29" s="56" t="s">
        <v>725</v>
      </c>
      <c r="J29" s="56">
        <v>1</v>
      </c>
      <c r="K29" s="55">
        <v>20000</v>
      </c>
      <c r="L29" s="55">
        <v>20000</v>
      </c>
      <c r="M29" s="418">
        <f t="shared" ref="M29" si="10">J29*K29</f>
        <v>20000</v>
      </c>
      <c r="N29" s="503">
        <v>0.3</v>
      </c>
      <c r="O29" s="1472">
        <f t="shared" si="9"/>
        <v>26000</v>
      </c>
      <c r="P29" s="1473"/>
      <c r="Q29" s="1490"/>
      <c r="R29" s="1491"/>
      <c r="S29" s="152"/>
      <c r="T29" s="152" t="s">
        <v>1123</v>
      </c>
      <c r="V29" s="728"/>
    </row>
    <row r="30" spans="1:36" s="413" customFormat="1" x14ac:dyDescent="0.3">
      <c r="A30" s="82"/>
      <c r="B30" s="496"/>
      <c r="C30" s="416"/>
      <c r="D30" s="56" t="s">
        <v>2</v>
      </c>
      <c r="E30" s="819"/>
      <c r="F30" s="820" t="s">
        <v>909</v>
      </c>
      <c r="G30" s="991" t="s">
        <v>907</v>
      </c>
      <c r="H30" s="416" t="s">
        <v>518</v>
      </c>
      <c r="I30" s="56" t="s">
        <v>725</v>
      </c>
      <c r="J30" s="56">
        <v>1</v>
      </c>
      <c r="K30" s="55">
        <v>50000</v>
      </c>
      <c r="L30" s="55">
        <v>50000</v>
      </c>
      <c r="M30" s="418">
        <f t="shared" ref="M30" si="11">J30*K30</f>
        <v>50000</v>
      </c>
      <c r="N30" s="503">
        <v>0.3</v>
      </c>
      <c r="O30" s="1472">
        <f t="shared" si="9"/>
        <v>65000</v>
      </c>
      <c r="P30" s="1473"/>
      <c r="Q30" s="1490"/>
      <c r="R30" s="1491"/>
      <c r="S30" s="152"/>
      <c r="T30" s="152"/>
      <c r="V30" s="728"/>
    </row>
    <row r="31" spans="1:36" s="82" customFormat="1" x14ac:dyDescent="0.3">
      <c r="A31" s="670"/>
      <c r="B31" s="960"/>
      <c r="C31" s="961"/>
      <c r="D31" s="961" t="s">
        <v>2</v>
      </c>
      <c r="E31" s="962"/>
      <c r="F31" s="963" t="s">
        <v>269</v>
      </c>
      <c r="G31" s="992" t="s">
        <v>270</v>
      </c>
      <c r="H31" s="961" t="s">
        <v>271</v>
      </c>
      <c r="I31" s="964" t="s">
        <v>116</v>
      </c>
      <c r="J31" s="964">
        <v>0</v>
      </c>
      <c r="K31" s="965">
        <v>120000</v>
      </c>
      <c r="L31" s="965">
        <v>120000</v>
      </c>
      <c r="M31" s="966">
        <f t="shared" ref="M31" si="12">J31*K31</f>
        <v>0</v>
      </c>
      <c r="N31" s="967">
        <v>0.3</v>
      </c>
      <c r="O31" s="1443">
        <f t="shared" ref="O31" si="13">J31*L31*(1+N31)</f>
        <v>0</v>
      </c>
      <c r="P31" s="1444"/>
      <c r="Q31" s="968" t="s">
        <v>584</v>
      </c>
      <c r="R31" s="969"/>
      <c r="S31" s="970" t="s">
        <v>947</v>
      </c>
      <c r="T31" s="970"/>
      <c r="U31" s="770"/>
      <c r="V31" s="728"/>
      <c r="W31" s="562"/>
    </row>
    <row r="32" spans="1:36" s="82" customFormat="1" x14ac:dyDescent="0.3">
      <c r="B32" s="594"/>
      <c r="C32" s="176"/>
      <c r="D32" s="176" t="s">
        <v>2</v>
      </c>
      <c r="E32" s="595"/>
      <c r="F32" s="203" t="s">
        <v>272</v>
      </c>
      <c r="G32" s="991" t="s">
        <v>757</v>
      </c>
      <c r="H32" s="184" t="s">
        <v>626</v>
      </c>
      <c r="I32" s="155" t="s">
        <v>116</v>
      </c>
      <c r="J32" s="155">
        <v>1</v>
      </c>
      <c r="K32" s="157">
        <v>250000</v>
      </c>
      <c r="L32" s="157">
        <v>250000</v>
      </c>
      <c r="M32" s="164">
        <f t="shared" ref="M32" si="14">J32*K32</f>
        <v>250000</v>
      </c>
      <c r="N32" s="158">
        <v>0.3</v>
      </c>
      <c r="O32" s="1328">
        <f t="shared" si="8"/>
        <v>325000</v>
      </c>
      <c r="P32" s="1329"/>
      <c r="Q32" s="1330" t="s">
        <v>572</v>
      </c>
      <c r="R32" s="1331"/>
      <c r="S32" s="152"/>
      <c r="T32" s="152" t="s">
        <v>1123</v>
      </c>
      <c r="U32" s="770"/>
      <c r="V32" s="728"/>
      <c r="W32" s="715" t="s">
        <v>627</v>
      </c>
    </row>
    <row r="33" spans="1:34" s="82" customFormat="1" x14ac:dyDescent="0.3">
      <c r="B33" s="594"/>
      <c r="C33" s="176" t="s">
        <v>2</v>
      </c>
      <c r="D33" s="184"/>
      <c r="E33" s="595"/>
      <c r="F33" s="203" t="s">
        <v>429</v>
      </c>
      <c r="G33" s="991"/>
      <c r="H33" s="176" t="s">
        <v>60</v>
      </c>
      <c r="I33" s="155" t="s">
        <v>116</v>
      </c>
      <c r="J33" s="155">
        <v>1</v>
      </c>
      <c r="K33" s="157">
        <v>3500000</v>
      </c>
      <c r="L33" s="157">
        <v>3500000</v>
      </c>
      <c r="M33" s="164">
        <f t="shared" ref="M33:M39" si="15">J33*K33</f>
        <v>3500000</v>
      </c>
      <c r="N33" s="158">
        <v>0.3</v>
      </c>
      <c r="O33" s="1328">
        <f t="shared" ref="O33:O39" si="16">J33*L33*(1+N33)</f>
        <v>4550000</v>
      </c>
      <c r="P33" s="1329"/>
      <c r="Q33" s="1488"/>
      <c r="R33" s="1489"/>
      <c r="S33" s="152"/>
      <c r="T33" s="152"/>
      <c r="U33" s="770" t="s">
        <v>629</v>
      </c>
      <c r="V33" s="728">
        <f>(2000000+(300000*3))*1.2</f>
        <v>3480000</v>
      </c>
      <c r="W33" s="562"/>
    </row>
    <row r="34" spans="1:34" s="82" customFormat="1" x14ac:dyDescent="0.3">
      <c r="B34" s="496"/>
      <c r="C34" s="416" t="s">
        <v>2</v>
      </c>
      <c r="D34" s="416"/>
      <c r="E34" s="819"/>
      <c r="F34" s="174" t="s">
        <v>727</v>
      </c>
      <c r="G34" s="991" t="s">
        <v>758</v>
      </c>
      <c r="H34" s="56" t="s">
        <v>726</v>
      </c>
      <c r="I34" s="56" t="s">
        <v>251</v>
      </c>
      <c r="J34" s="56">
        <v>1</v>
      </c>
      <c r="K34" s="55">
        <v>140000</v>
      </c>
      <c r="L34" s="157">
        <v>200000</v>
      </c>
      <c r="M34" s="164">
        <f t="shared" si="15"/>
        <v>140000</v>
      </c>
      <c r="N34" s="158">
        <v>0.3</v>
      </c>
      <c r="O34" s="1328">
        <f t="shared" si="16"/>
        <v>260000</v>
      </c>
      <c r="P34" s="1329"/>
      <c r="Q34" s="1330"/>
      <c r="R34" s="1331"/>
      <c r="S34" s="152" t="s">
        <v>1130</v>
      </c>
      <c r="T34" s="152"/>
      <c r="U34" s="770"/>
      <c r="V34" s="728"/>
      <c r="W34" s="562"/>
    </row>
    <row r="35" spans="1:34" s="82" customFormat="1" x14ac:dyDescent="0.3">
      <c r="B35" s="594"/>
      <c r="C35" s="176" t="s">
        <v>2</v>
      </c>
      <c r="D35" s="176"/>
      <c r="E35" s="582"/>
      <c r="F35" s="156" t="s">
        <v>252</v>
      </c>
      <c r="G35" s="705" t="s">
        <v>729</v>
      </c>
      <c r="H35" s="155" t="s">
        <v>254</v>
      </c>
      <c r="I35" s="155" t="s">
        <v>254</v>
      </c>
      <c r="J35" s="184">
        <v>1</v>
      </c>
      <c r="K35" s="55">
        <v>2630000</v>
      </c>
      <c r="L35" s="55">
        <v>3000000</v>
      </c>
      <c r="M35" s="164">
        <f t="shared" si="15"/>
        <v>2630000</v>
      </c>
      <c r="N35" s="158">
        <v>0.3</v>
      </c>
      <c r="O35" s="1328">
        <f t="shared" si="16"/>
        <v>3900000</v>
      </c>
      <c r="P35" s="1329"/>
      <c r="Q35" s="1330"/>
      <c r="R35" s="1331"/>
      <c r="S35" s="152" t="s">
        <v>760</v>
      </c>
      <c r="T35" s="152" t="s">
        <v>1122</v>
      </c>
      <c r="U35" s="770"/>
      <c r="V35" s="728"/>
      <c r="W35" s="562"/>
    </row>
    <row r="36" spans="1:34" s="82" customFormat="1" x14ac:dyDescent="0.3">
      <c r="B36" s="594"/>
      <c r="C36" s="416"/>
      <c r="D36" s="416" t="s">
        <v>2</v>
      </c>
      <c r="E36" s="819"/>
      <c r="F36" s="820" t="s">
        <v>619</v>
      </c>
      <c r="G36" s="991" t="s">
        <v>1062</v>
      </c>
      <c r="H36" s="184" t="s">
        <v>636</v>
      </c>
      <c r="I36" s="184" t="s">
        <v>636</v>
      </c>
      <c r="J36" s="155">
        <v>1</v>
      </c>
      <c r="K36" s="157">
        <v>7500</v>
      </c>
      <c r="L36" s="157">
        <v>70000</v>
      </c>
      <c r="M36" s="164">
        <f>J36*K36</f>
        <v>7500</v>
      </c>
      <c r="N36" s="158">
        <v>0.3</v>
      </c>
      <c r="O36" s="1328">
        <f>J36*L36*(1+N36)</f>
        <v>91000</v>
      </c>
      <c r="P36" s="1329"/>
      <c r="Q36" s="660" t="s">
        <v>561</v>
      </c>
      <c r="R36" s="661"/>
      <c r="S36" s="152"/>
      <c r="T36" s="152"/>
      <c r="U36" s="770"/>
      <c r="V36" s="728"/>
      <c r="W36" s="562"/>
    </row>
    <row r="37" spans="1:34" s="82" customFormat="1" x14ac:dyDescent="0.3">
      <c r="B37" s="594"/>
      <c r="C37" s="416"/>
      <c r="D37" s="416" t="s">
        <v>2</v>
      </c>
      <c r="E37" s="819"/>
      <c r="F37" s="820" t="s">
        <v>620</v>
      </c>
      <c r="G37" s="991" t="s">
        <v>1064</v>
      </c>
      <c r="H37" s="184" t="s">
        <v>636</v>
      </c>
      <c r="I37" s="184" t="s">
        <v>636</v>
      </c>
      <c r="J37" s="155">
        <v>1</v>
      </c>
      <c r="K37" s="157">
        <v>7500</v>
      </c>
      <c r="L37" s="157">
        <v>70000</v>
      </c>
      <c r="M37" s="164">
        <f>J37*K37</f>
        <v>7500</v>
      </c>
      <c r="N37" s="158">
        <v>0.3</v>
      </c>
      <c r="O37" s="1328">
        <f>J37*L37*(1+N37)</f>
        <v>91000</v>
      </c>
      <c r="P37" s="1329"/>
      <c r="Q37" s="660" t="s">
        <v>561</v>
      </c>
      <c r="R37" s="661"/>
      <c r="S37" s="152"/>
      <c r="T37" s="152"/>
      <c r="U37" s="770"/>
      <c r="V37" s="728"/>
      <c r="W37" s="562"/>
    </row>
    <row r="38" spans="1:34" s="82" customFormat="1" x14ac:dyDescent="0.3">
      <c r="B38" s="594"/>
      <c r="C38" s="416" t="s">
        <v>2</v>
      </c>
      <c r="D38" s="416"/>
      <c r="E38" s="819"/>
      <c r="F38" s="822" t="s">
        <v>355</v>
      </c>
      <c r="G38" s="991" t="s">
        <v>1058</v>
      </c>
      <c r="H38" s="184" t="s">
        <v>636</v>
      </c>
      <c r="I38" s="184" t="s">
        <v>636</v>
      </c>
      <c r="J38" s="155">
        <v>1</v>
      </c>
      <c r="K38" s="157">
        <v>7500</v>
      </c>
      <c r="L38" s="157">
        <v>70000</v>
      </c>
      <c r="M38" s="164">
        <f t="shared" si="15"/>
        <v>7500</v>
      </c>
      <c r="N38" s="158">
        <v>0.3</v>
      </c>
      <c r="O38" s="1328">
        <f t="shared" si="16"/>
        <v>91000</v>
      </c>
      <c r="P38" s="1329"/>
      <c r="Q38" s="1330" t="s">
        <v>571</v>
      </c>
      <c r="R38" s="1331"/>
      <c r="S38" s="1469" t="s">
        <v>733</v>
      </c>
      <c r="T38" s="1469"/>
      <c r="U38" s="770"/>
      <c r="V38" s="728"/>
      <c r="W38" s="562" t="s">
        <v>500</v>
      </c>
      <c r="Y38" s="82">
        <v>0.2</v>
      </c>
    </row>
    <row r="39" spans="1:34" s="82" customFormat="1" x14ac:dyDescent="0.3">
      <c r="B39" s="594"/>
      <c r="C39" s="416"/>
      <c r="D39" s="416" t="s">
        <v>2</v>
      </c>
      <c r="E39" s="819"/>
      <c r="F39" s="820" t="s">
        <v>354</v>
      </c>
      <c r="G39" s="991" t="s">
        <v>1029</v>
      </c>
      <c r="H39" s="184" t="s">
        <v>636</v>
      </c>
      <c r="I39" s="184" t="s">
        <v>636</v>
      </c>
      <c r="J39" s="155">
        <v>1</v>
      </c>
      <c r="K39" s="157">
        <v>7500</v>
      </c>
      <c r="L39" s="157">
        <v>70000</v>
      </c>
      <c r="M39" s="164">
        <f t="shared" si="15"/>
        <v>7500</v>
      </c>
      <c r="N39" s="158">
        <v>0.3</v>
      </c>
      <c r="O39" s="1328">
        <f t="shared" si="16"/>
        <v>91000</v>
      </c>
      <c r="P39" s="1329"/>
      <c r="Q39" s="645" t="s">
        <v>564</v>
      </c>
      <c r="R39" s="646"/>
      <c r="S39" s="1470"/>
      <c r="T39" s="1470"/>
      <c r="U39" s="770"/>
      <c r="V39" s="728"/>
      <c r="W39" s="562"/>
    </row>
    <row r="40" spans="1:34" s="413" customFormat="1" x14ac:dyDescent="0.3">
      <c r="A40" s="82"/>
      <c r="B40" s="594"/>
      <c r="C40" s="416"/>
      <c r="D40" s="56" t="s">
        <v>2</v>
      </c>
      <c r="E40" s="819"/>
      <c r="F40" s="820" t="s">
        <v>616</v>
      </c>
      <c r="G40" s="991" t="s">
        <v>515</v>
      </c>
      <c r="H40" s="184" t="s">
        <v>636</v>
      </c>
      <c r="I40" s="184" t="s">
        <v>636</v>
      </c>
      <c r="J40" s="155">
        <v>1</v>
      </c>
      <c r="K40" s="157">
        <v>750000</v>
      </c>
      <c r="L40" s="157">
        <v>450000</v>
      </c>
      <c r="M40" s="164">
        <f t="shared" ref="M40:M41" si="17">J40*K40</f>
        <v>750000</v>
      </c>
      <c r="N40" s="158">
        <v>0.3</v>
      </c>
      <c r="O40" s="1328">
        <f t="shared" ref="O40:O41" si="18">J40*L40*(1+N40)</f>
        <v>585000</v>
      </c>
      <c r="P40" s="1329"/>
      <c r="Q40" s="1451" t="s">
        <v>617</v>
      </c>
      <c r="R40" s="1452"/>
      <c r="S40" s="1470"/>
      <c r="T40" s="1470"/>
      <c r="U40" s="770"/>
      <c r="V40" s="728"/>
    </row>
    <row r="41" spans="1:34" s="413" customFormat="1" x14ac:dyDescent="0.3">
      <c r="A41" s="82"/>
      <c r="B41" s="594"/>
      <c r="C41" s="416"/>
      <c r="D41" s="56" t="s">
        <v>2</v>
      </c>
      <c r="E41" s="819"/>
      <c r="F41" s="820" t="s">
        <v>634</v>
      </c>
      <c r="G41" s="991" t="s">
        <v>514</v>
      </c>
      <c r="H41" s="184" t="s">
        <v>636</v>
      </c>
      <c r="I41" s="184" t="s">
        <v>636</v>
      </c>
      <c r="J41" s="155">
        <v>1</v>
      </c>
      <c r="K41" s="157">
        <v>0</v>
      </c>
      <c r="L41" s="157">
        <v>1000000</v>
      </c>
      <c r="M41" s="164">
        <f t="shared" si="17"/>
        <v>0</v>
      </c>
      <c r="N41" s="158">
        <v>0.3</v>
      </c>
      <c r="O41" s="1328">
        <f t="shared" si="18"/>
        <v>1300000</v>
      </c>
      <c r="P41" s="1329"/>
      <c r="Q41" s="1451" t="s">
        <v>618</v>
      </c>
      <c r="R41" s="1452"/>
      <c r="S41" s="1470"/>
      <c r="T41" s="1470"/>
      <c r="U41" s="770"/>
      <c r="V41" s="728"/>
    </row>
    <row r="42" spans="1:34" s="82" customFormat="1" x14ac:dyDescent="0.3">
      <c r="B42" s="594"/>
      <c r="C42" s="416"/>
      <c r="D42" s="416" t="s">
        <v>2</v>
      </c>
      <c r="E42" s="819"/>
      <c r="F42" s="820" t="s">
        <v>611</v>
      </c>
      <c r="G42" s="991" t="s">
        <v>722</v>
      </c>
      <c r="H42" s="184" t="s">
        <v>636</v>
      </c>
      <c r="I42" s="184" t="s">
        <v>636</v>
      </c>
      <c r="J42" s="155">
        <v>1</v>
      </c>
      <c r="K42" s="157">
        <v>30000</v>
      </c>
      <c r="L42" s="157">
        <v>70000</v>
      </c>
      <c r="M42" s="164">
        <f>J42*K42</f>
        <v>30000</v>
      </c>
      <c r="N42" s="158">
        <v>0.3</v>
      </c>
      <c r="O42" s="1328">
        <f t="shared" si="8"/>
        <v>91000</v>
      </c>
      <c r="P42" s="1329"/>
      <c r="Q42" s="645" t="s">
        <v>1059</v>
      </c>
      <c r="R42" s="646"/>
      <c r="S42" s="1470"/>
      <c r="T42" s="1470"/>
      <c r="U42" s="766"/>
      <c r="V42" s="724"/>
      <c r="W42" s="562"/>
    </row>
    <row r="43" spans="1:34" s="82" customFormat="1" x14ac:dyDescent="0.3">
      <c r="B43" s="594"/>
      <c r="C43" s="416"/>
      <c r="D43" s="416" t="s">
        <v>2</v>
      </c>
      <c r="E43" s="819"/>
      <c r="F43" s="820" t="s">
        <v>612</v>
      </c>
      <c r="G43" s="991" t="s">
        <v>723</v>
      </c>
      <c r="H43" s="184" t="s">
        <v>636</v>
      </c>
      <c r="I43" s="184" t="s">
        <v>636</v>
      </c>
      <c r="J43" s="155">
        <v>1</v>
      </c>
      <c r="K43" s="157">
        <v>30000</v>
      </c>
      <c r="L43" s="157">
        <v>70000</v>
      </c>
      <c r="M43" s="164">
        <f>J43*K43</f>
        <v>30000</v>
      </c>
      <c r="N43" s="158">
        <v>0.3</v>
      </c>
      <c r="O43" s="1328">
        <f t="shared" si="8"/>
        <v>91000</v>
      </c>
      <c r="P43" s="1329"/>
      <c r="Q43" s="645" t="s">
        <v>1060</v>
      </c>
      <c r="R43" s="646"/>
      <c r="S43" s="1470"/>
      <c r="T43" s="1470"/>
      <c r="U43" s="766"/>
      <c r="V43" s="724"/>
      <c r="W43" s="562"/>
    </row>
    <row r="44" spans="1:34" s="82" customFormat="1" x14ac:dyDescent="0.3">
      <c r="B44" s="594"/>
      <c r="C44" s="416"/>
      <c r="D44" s="416" t="s">
        <v>2</v>
      </c>
      <c r="E44" s="819"/>
      <c r="F44" s="820" t="s">
        <v>357</v>
      </c>
      <c r="G44" s="991" t="s">
        <v>1058</v>
      </c>
      <c r="H44" s="184" t="s">
        <v>636</v>
      </c>
      <c r="I44" s="184" t="s">
        <v>636</v>
      </c>
      <c r="J44" s="155">
        <v>1</v>
      </c>
      <c r="K44" s="157">
        <v>7500</v>
      </c>
      <c r="L44" s="157">
        <v>70000</v>
      </c>
      <c r="M44" s="157">
        <f t="shared" ref="M44:M45" si="19">J44*K44</f>
        <v>7500</v>
      </c>
      <c r="N44" s="158">
        <v>0.3</v>
      </c>
      <c r="O44" s="1328">
        <f t="shared" si="8"/>
        <v>91000</v>
      </c>
      <c r="P44" s="1329"/>
      <c r="Q44" s="1330" t="s">
        <v>361</v>
      </c>
      <c r="R44" s="1331"/>
      <c r="S44" s="1470"/>
      <c r="T44" s="1470"/>
      <c r="U44" s="766"/>
      <c r="V44" s="724"/>
      <c r="W44" s="562"/>
    </row>
    <row r="45" spans="1:34" s="413" customFormat="1" x14ac:dyDescent="0.3">
      <c r="A45" s="82"/>
      <c r="B45" s="594"/>
      <c r="C45" s="416"/>
      <c r="D45" s="416" t="s">
        <v>2</v>
      </c>
      <c r="E45" s="819"/>
      <c r="F45" s="820" t="s">
        <v>587</v>
      </c>
      <c r="G45" s="991" t="s">
        <v>728</v>
      </c>
      <c r="H45" s="184" t="s">
        <v>636</v>
      </c>
      <c r="I45" s="184" t="s">
        <v>636</v>
      </c>
      <c r="J45" s="155">
        <v>1</v>
      </c>
      <c r="K45" s="157">
        <v>21000</v>
      </c>
      <c r="L45" s="157">
        <v>21000</v>
      </c>
      <c r="M45" s="157">
        <f t="shared" si="19"/>
        <v>21000</v>
      </c>
      <c r="N45" s="158">
        <v>0.3</v>
      </c>
      <c r="O45" s="1328">
        <f t="shared" si="8"/>
        <v>27300</v>
      </c>
      <c r="P45" s="1329"/>
      <c r="Q45" s="1451" t="s">
        <v>589</v>
      </c>
      <c r="R45" s="1452"/>
      <c r="S45" s="1471"/>
      <c r="T45" s="1471"/>
      <c r="U45" s="770"/>
      <c r="V45" s="728"/>
    </row>
    <row r="46" spans="1:34" s="84" customFormat="1" ht="17.25" thickBot="1" x14ac:dyDescent="0.35">
      <c r="B46" s="581"/>
      <c r="C46" s="184"/>
      <c r="D46" s="184"/>
      <c r="E46" s="582"/>
      <c r="F46" s="156"/>
      <c r="G46" s="155"/>
      <c r="H46" s="155"/>
      <c r="I46" s="155"/>
      <c r="J46" s="184"/>
      <c r="K46" s="199"/>
      <c r="L46" s="55"/>
      <c r="M46" s="164"/>
      <c r="N46" s="158"/>
      <c r="O46" s="1128"/>
      <c r="P46" s="1129"/>
      <c r="Q46" s="1130"/>
      <c r="R46" s="1131"/>
      <c r="S46" s="204"/>
      <c r="T46" s="1226"/>
      <c r="U46" s="765"/>
      <c r="V46" s="722"/>
      <c r="W46" s="562"/>
      <c r="X46"/>
      <c r="Y46"/>
      <c r="Z46"/>
      <c r="AA46"/>
      <c r="AB46"/>
      <c r="AC46"/>
      <c r="AD46"/>
      <c r="AE46"/>
      <c r="AF46"/>
      <c r="AG46"/>
      <c r="AH46"/>
    </row>
    <row r="47" spans="1:34" s="84" customFormat="1" ht="17.25" thickBot="1" x14ac:dyDescent="0.35">
      <c r="B47" s="587" t="s">
        <v>2</v>
      </c>
      <c r="C47" s="588"/>
      <c r="D47" s="588"/>
      <c r="E47" s="589"/>
      <c r="F47" s="1136" t="s">
        <v>1065</v>
      </c>
      <c r="G47" s="1127"/>
      <c r="H47" s="590"/>
      <c r="I47" s="590"/>
      <c r="J47" s="590"/>
      <c r="K47" s="590"/>
      <c r="L47" s="591"/>
      <c r="M47" s="592"/>
      <c r="N47" s="593"/>
      <c r="O47" s="1324"/>
      <c r="P47" s="1325"/>
      <c r="Q47" s="1336"/>
      <c r="R47" s="1337"/>
      <c r="S47" s="1233"/>
      <c r="T47" s="115"/>
      <c r="U47" s="765"/>
      <c r="V47" s="722"/>
      <c r="X47"/>
      <c r="Y47"/>
      <c r="Z47"/>
      <c r="AA47"/>
      <c r="AB47"/>
      <c r="AC47"/>
      <c r="AD47"/>
      <c r="AE47"/>
      <c r="AF47"/>
      <c r="AG47"/>
      <c r="AH47"/>
    </row>
    <row r="48" spans="1:34" s="413" customFormat="1" x14ac:dyDescent="0.3">
      <c r="A48" s="82"/>
      <c r="B48" s="594"/>
      <c r="C48" s="416"/>
      <c r="D48" s="56" t="s">
        <v>2</v>
      </c>
      <c r="E48" s="819"/>
      <c r="F48" s="820" t="s">
        <v>619</v>
      </c>
      <c r="G48" s="991" t="s">
        <v>1062</v>
      </c>
      <c r="H48" s="184" t="s">
        <v>636</v>
      </c>
      <c r="I48" s="184" t="s">
        <v>636</v>
      </c>
      <c r="J48" s="155">
        <v>2</v>
      </c>
      <c r="K48" s="157">
        <v>7500</v>
      </c>
      <c r="L48" s="157">
        <v>70000</v>
      </c>
      <c r="M48" s="164">
        <f>J48*K48</f>
        <v>15000</v>
      </c>
      <c r="N48" s="158"/>
      <c r="O48" s="1328"/>
      <c r="P48" s="1329" t="s">
        <v>561</v>
      </c>
      <c r="Q48" s="1451"/>
      <c r="R48" s="1452"/>
      <c r="S48" s="1130"/>
      <c r="T48" s="152"/>
      <c r="U48" s="770"/>
      <c r="V48" s="728"/>
    </row>
    <row r="49" spans="1:34" s="413" customFormat="1" x14ac:dyDescent="0.3">
      <c r="A49" s="82"/>
      <c r="B49" s="594"/>
      <c r="C49" s="416"/>
      <c r="D49" s="56" t="s">
        <v>2</v>
      </c>
      <c r="E49" s="819"/>
      <c r="F49" s="820" t="s">
        <v>620</v>
      </c>
      <c r="G49" s="991" t="s">
        <v>1064</v>
      </c>
      <c r="H49" s="184" t="s">
        <v>636</v>
      </c>
      <c r="I49" s="184" t="s">
        <v>636</v>
      </c>
      <c r="J49" s="155">
        <v>2</v>
      </c>
      <c r="K49" s="157">
        <v>7500</v>
      </c>
      <c r="L49" s="157">
        <v>70000</v>
      </c>
      <c r="M49" s="164">
        <f>J49*K49</f>
        <v>15000</v>
      </c>
      <c r="N49" s="158"/>
      <c r="O49" s="1328"/>
      <c r="P49" s="1329" t="s">
        <v>561</v>
      </c>
      <c r="Q49" s="1451"/>
      <c r="R49" s="1452"/>
      <c r="S49" s="1130"/>
      <c r="T49" s="152"/>
      <c r="U49" s="770"/>
      <c r="V49" s="728"/>
    </row>
    <row r="50" spans="1:34" s="413" customFormat="1" x14ac:dyDescent="0.3">
      <c r="A50" s="82"/>
      <c r="B50" s="594"/>
      <c r="C50" s="416"/>
      <c r="D50" s="56" t="s">
        <v>2</v>
      </c>
      <c r="E50" s="819"/>
      <c r="F50" s="820" t="s">
        <v>587</v>
      </c>
      <c r="G50" s="991" t="s">
        <v>728</v>
      </c>
      <c r="H50" s="184" t="s">
        <v>636</v>
      </c>
      <c r="I50" s="184" t="s">
        <v>636</v>
      </c>
      <c r="J50" s="155">
        <v>4</v>
      </c>
      <c r="K50" s="157">
        <v>21000</v>
      </c>
      <c r="L50" s="157">
        <v>21000</v>
      </c>
      <c r="M50" s="164">
        <f t="shared" ref="M50:M52" si="20">J50*K50</f>
        <v>84000</v>
      </c>
      <c r="N50" s="158"/>
      <c r="O50" s="1328"/>
      <c r="P50" s="1329" t="s">
        <v>589</v>
      </c>
      <c r="Q50" s="1451"/>
      <c r="R50" s="1452"/>
      <c r="S50" s="1130"/>
      <c r="T50" s="152"/>
      <c r="U50" s="770"/>
      <c r="V50" s="728"/>
    </row>
    <row r="51" spans="1:34" s="413" customFormat="1" x14ac:dyDescent="0.3">
      <c r="A51" s="82"/>
      <c r="B51" s="594"/>
      <c r="C51" s="416"/>
      <c r="D51" s="56" t="s">
        <v>2</v>
      </c>
      <c r="E51" s="819"/>
      <c r="F51" s="820" t="s">
        <v>354</v>
      </c>
      <c r="G51" s="991" t="s">
        <v>1029</v>
      </c>
      <c r="H51" s="184" t="s">
        <v>636</v>
      </c>
      <c r="I51" s="184" t="s">
        <v>636</v>
      </c>
      <c r="J51" s="155">
        <v>3</v>
      </c>
      <c r="K51" s="157">
        <v>7500</v>
      </c>
      <c r="L51" s="157">
        <v>70000</v>
      </c>
      <c r="M51" s="164">
        <f t="shared" si="20"/>
        <v>22500</v>
      </c>
      <c r="N51" s="158"/>
      <c r="O51" s="1328"/>
      <c r="P51" s="1329" t="s">
        <v>561</v>
      </c>
      <c r="Q51" s="1451"/>
      <c r="R51" s="1452"/>
      <c r="S51" s="1130"/>
      <c r="T51" s="152"/>
      <c r="U51" s="770"/>
      <c r="V51" s="728"/>
    </row>
    <row r="52" spans="1:34" s="413" customFormat="1" x14ac:dyDescent="0.3">
      <c r="A52" s="82"/>
      <c r="B52" s="594"/>
      <c r="C52" s="416"/>
      <c r="D52" s="56" t="s">
        <v>2</v>
      </c>
      <c r="E52" s="819"/>
      <c r="F52" s="820" t="s">
        <v>355</v>
      </c>
      <c r="G52" s="991" t="s">
        <v>1066</v>
      </c>
      <c r="H52" s="184" t="s">
        <v>636</v>
      </c>
      <c r="I52" s="184" t="s">
        <v>636</v>
      </c>
      <c r="J52" s="155">
        <v>6</v>
      </c>
      <c r="K52" s="157">
        <v>7500</v>
      </c>
      <c r="L52" s="157">
        <v>70000</v>
      </c>
      <c r="M52" s="164">
        <f t="shared" si="20"/>
        <v>45000</v>
      </c>
      <c r="N52" s="158"/>
      <c r="O52" s="1328"/>
      <c r="P52" s="1329" t="s">
        <v>571</v>
      </c>
      <c r="Q52" s="1451"/>
      <c r="R52" s="1452"/>
      <c r="S52" s="1130"/>
      <c r="T52" s="152"/>
      <c r="U52" s="770"/>
      <c r="V52" s="728"/>
    </row>
    <row r="53" spans="1:34" s="84" customFormat="1" ht="17.25" thickBot="1" x14ac:dyDescent="0.35">
      <c r="B53" s="581"/>
      <c r="C53" s="184"/>
      <c r="D53" s="184"/>
      <c r="E53" s="582"/>
      <c r="F53" s="156"/>
      <c r="G53" s="155"/>
      <c r="H53" s="155"/>
      <c r="I53" s="155"/>
      <c r="J53" s="184"/>
      <c r="K53" s="199"/>
      <c r="L53" s="199"/>
      <c r="M53" s="164"/>
      <c r="N53" s="158"/>
      <c r="O53" s="1328"/>
      <c r="P53" s="1329"/>
      <c r="Q53" s="1496"/>
      <c r="R53" s="1497"/>
      <c r="S53" s="1234"/>
      <c r="T53" s="1226"/>
      <c r="U53" s="765"/>
      <c r="V53" s="722"/>
      <c r="W53" s="562"/>
      <c r="X53"/>
      <c r="Y53"/>
      <c r="Z53"/>
      <c r="AA53"/>
      <c r="AB53"/>
      <c r="AC53"/>
      <c r="AD53"/>
      <c r="AE53"/>
      <c r="AF53"/>
      <c r="AG53"/>
      <c r="AH53"/>
    </row>
    <row r="54" spans="1:34" s="84" customFormat="1" ht="18" thickBot="1" x14ac:dyDescent="0.35">
      <c r="B54" s="1338" t="s">
        <v>53</v>
      </c>
      <c r="C54" s="1339"/>
      <c r="D54" s="1339"/>
      <c r="E54" s="1339"/>
      <c r="F54" s="1339"/>
      <c r="G54" s="1339"/>
      <c r="H54" s="1339"/>
      <c r="I54" s="1339"/>
      <c r="J54" s="1339"/>
      <c r="K54" s="1339"/>
      <c r="L54" s="1340"/>
      <c r="M54" s="123">
        <f>SUM(M5:M53)</f>
        <v>109462177</v>
      </c>
      <c r="N54" s="136"/>
      <c r="O54" s="1341">
        <f>SUM(O5:P53)</f>
        <v>154126300</v>
      </c>
      <c r="P54" s="1342"/>
      <c r="Q54" s="1343"/>
      <c r="R54" s="1344"/>
      <c r="S54" s="1235"/>
      <c r="T54" s="130"/>
      <c r="U54" s="765"/>
      <c r="V54" s="722"/>
      <c r="W54" s="562"/>
      <c r="X54"/>
      <c r="Y54"/>
      <c r="Z54"/>
      <c r="AA54"/>
      <c r="AB54"/>
      <c r="AC54"/>
      <c r="AD54"/>
      <c r="AE54"/>
      <c r="AF54"/>
      <c r="AG54"/>
      <c r="AH54"/>
    </row>
    <row r="55" spans="1:34" s="84" customFormat="1" ht="17.25" thickBot="1" x14ac:dyDescent="0.35">
      <c r="B55" s="122" t="s">
        <v>2</v>
      </c>
      <c r="C55" s="116"/>
      <c r="D55" s="116"/>
      <c r="E55" s="117"/>
      <c r="F55" s="118" t="s">
        <v>321</v>
      </c>
      <c r="G55" s="926"/>
      <c r="H55" s="119"/>
      <c r="I55" s="119"/>
      <c r="J55" s="119"/>
      <c r="K55" s="119"/>
      <c r="L55" s="120"/>
      <c r="M55" s="121"/>
      <c r="N55" s="135"/>
      <c r="O55" s="1447"/>
      <c r="P55" s="1448"/>
      <c r="Q55" s="1326"/>
      <c r="R55" s="1327"/>
      <c r="S55" s="1233"/>
      <c r="T55" s="115"/>
      <c r="U55" s="765"/>
      <c r="V55" s="722"/>
      <c r="W55" s="562"/>
      <c r="X55"/>
      <c r="Y55"/>
      <c r="Z55"/>
      <c r="AA55"/>
      <c r="AB55"/>
      <c r="AC55"/>
      <c r="AD55"/>
      <c r="AE55"/>
      <c r="AF55"/>
      <c r="AG55"/>
      <c r="AH55"/>
    </row>
    <row r="56" spans="1:34" s="84" customFormat="1" x14ac:dyDescent="0.3">
      <c r="B56" s="131"/>
      <c r="C56" s="132" t="s">
        <v>73</v>
      </c>
      <c r="D56" s="133"/>
      <c r="E56" s="165"/>
      <c r="F56" s="227" t="s">
        <v>319</v>
      </c>
      <c r="G56" s="222" t="s">
        <v>94</v>
      </c>
      <c r="H56" s="222" t="s">
        <v>130</v>
      </c>
      <c r="I56" s="222" t="s">
        <v>131</v>
      </c>
      <c r="J56" s="371">
        <v>15</v>
      </c>
      <c r="K56" s="274">
        <v>307000</v>
      </c>
      <c r="L56" s="274">
        <v>307000</v>
      </c>
      <c r="M56" s="230">
        <f t="shared" ref="M56:M57" si="21">J56*K56</f>
        <v>4605000</v>
      </c>
      <c r="N56" s="148"/>
      <c r="O56" s="1365">
        <f t="shared" ref="O56:O57" si="22">L56*J56</f>
        <v>4605000</v>
      </c>
      <c r="P56" s="1366"/>
      <c r="Q56" s="1492"/>
      <c r="R56" s="1493"/>
      <c r="S56" s="1236"/>
      <c r="T56" s="207"/>
      <c r="U56" s="765"/>
      <c r="V56" s="722"/>
      <c r="W56" s="562"/>
      <c r="X56"/>
      <c r="Y56"/>
      <c r="Z56"/>
      <c r="AA56"/>
      <c r="AB56"/>
      <c r="AC56"/>
      <c r="AD56"/>
      <c r="AE56"/>
      <c r="AF56"/>
      <c r="AG56"/>
      <c r="AH56"/>
    </row>
    <row r="57" spans="1:34" s="84" customFormat="1" x14ac:dyDescent="0.3">
      <c r="A57" s="695"/>
      <c r="B57" s="62"/>
      <c r="C57" s="63" t="s">
        <v>73</v>
      </c>
      <c r="D57" s="56"/>
      <c r="E57" s="823"/>
      <c r="F57" s="824" t="s">
        <v>320</v>
      </c>
      <c r="G57" s="825" t="s">
        <v>94</v>
      </c>
      <c r="H57" s="825" t="s">
        <v>130</v>
      </c>
      <c r="I57" s="825" t="s">
        <v>131</v>
      </c>
      <c r="J57" s="826">
        <v>55</v>
      </c>
      <c r="K57" s="840">
        <v>307000</v>
      </c>
      <c r="L57" s="840">
        <v>307000</v>
      </c>
      <c r="M57" s="827">
        <f t="shared" si="21"/>
        <v>16885000</v>
      </c>
      <c r="N57" s="158"/>
      <c r="O57" s="1328">
        <f t="shared" si="22"/>
        <v>16885000</v>
      </c>
      <c r="P57" s="1329"/>
      <c r="Q57" s="1494"/>
      <c r="R57" s="1495"/>
      <c r="S57" s="1237"/>
      <c r="T57" s="212"/>
      <c r="U57" s="765"/>
      <c r="V57" s="722"/>
      <c r="W57" s="562"/>
      <c r="X57"/>
      <c r="Y57"/>
      <c r="Z57"/>
      <c r="AA57"/>
      <c r="AB57"/>
      <c r="AC57"/>
      <c r="AD57"/>
      <c r="AE57"/>
      <c r="AF57"/>
      <c r="AG57"/>
      <c r="AH57"/>
    </row>
    <row r="58" spans="1:34" s="84" customFormat="1" ht="17.25" thickBot="1" x14ac:dyDescent="0.35">
      <c r="B58" s="213"/>
      <c r="C58" s="214"/>
      <c r="D58" s="215"/>
      <c r="E58" s="216"/>
      <c r="F58" s="229"/>
      <c r="G58" s="224"/>
      <c r="H58" s="224"/>
      <c r="I58" s="224"/>
      <c r="J58" s="373"/>
      <c r="K58" s="225"/>
      <c r="L58" s="225"/>
      <c r="M58" s="226"/>
      <c r="N58" s="162"/>
      <c r="O58" s="1365">
        <f t="shared" ref="O58" si="23">L58</f>
        <v>0</v>
      </c>
      <c r="P58" s="1366"/>
      <c r="Q58" s="1453"/>
      <c r="R58" s="1454"/>
      <c r="S58" s="1238"/>
      <c r="T58" s="217"/>
      <c r="U58" s="765"/>
      <c r="V58" s="722"/>
      <c r="W58" s="562"/>
      <c r="X58"/>
      <c r="Y58"/>
      <c r="Z58"/>
      <c r="AA58"/>
      <c r="AB58"/>
      <c r="AC58"/>
      <c r="AD58"/>
      <c r="AE58"/>
      <c r="AF58"/>
      <c r="AG58"/>
      <c r="AH58"/>
    </row>
    <row r="59" spans="1:34" s="84" customFormat="1" ht="17.25" thickBot="1" x14ac:dyDescent="0.35">
      <c r="B59" s="122" t="s">
        <v>2</v>
      </c>
      <c r="C59" s="116"/>
      <c r="D59" s="116"/>
      <c r="E59" s="117"/>
      <c r="F59" s="218" t="s">
        <v>322</v>
      </c>
      <c r="G59" s="971"/>
      <c r="H59" s="219"/>
      <c r="I59" s="219"/>
      <c r="J59" s="219"/>
      <c r="K59" s="220"/>
      <c r="L59" s="220"/>
      <c r="M59" s="221"/>
      <c r="N59" s="135"/>
      <c r="O59" s="1447"/>
      <c r="P59" s="1448"/>
      <c r="Q59" s="1447"/>
      <c r="R59" s="1448"/>
      <c r="S59" s="1233"/>
      <c r="T59" s="115"/>
      <c r="U59" s="765"/>
      <c r="V59" s="722"/>
      <c r="W59" s="562"/>
      <c r="X59"/>
      <c r="Y59"/>
      <c r="Z59"/>
      <c r="AA59"/>
      <c r="AB59"/>
      <c r="AC59"/>
      <c r="AD59"/>
      <c r="AE59"/>
      <c r="AF59"/>
      <c r="AG59"/>
      <c r="AH59"/>
    </row>
    <row r="60" spans="1:34" x14ac:dyDescent="0.3">
      <c r="B60" s="64"/>
      <c r="C60" s="65" t="s">
        <v>2</v>
      </c>
      <c r="D60" s="65"/>
      <c r="E60" s="66"/>
      <c r="F60" s="88" t="s">
        <v>7</v>
      </c>
      <c r="G60" s="80"/>
      <c r="H60" s="223" t="s">
        <v>130</v>
      </c>
      <c r="I60" s="223" t="s">
        <v>131</v>
      </c>
      <c r="J60" s="80">
        <v>5</v>
      </c>
      <c r="K60" s="277">
        <v>307000</v>
      </c>
      <c r="L60" s="277">
        <v>307000</v>
      </c>
      <c r="M60" s="112">
        <f>K60*J60</f>
        <v>1535000</v>
      </c>
      <c r="N60" s="137"/>
      <c r="O60" s="1365">
        <f t="shared" ref="O60:O66" si="24">L60*J60</f>
        <v>1535000</v>
      </c>
      <c r="P60" s="1366"/>
      <c r="Q60" s="1359"/>
      <c r="R60" s="1360"/>
      <c r="S60" s="1239"/>
      <c r="T60" s="94"/>
      <c r="U60" s="763"/>
      <c r="V60" s="719"/>
      <c r="W60" s="564"/>
      <c r="X60" s="103"/>
      <c r="Y60" s="103"/>
      <c r="Z60" s="103"/>
      <c r="AA60" s="103"/>
      <c r="AB60" s="103"/>
      <c r="AC60" s="103"/>
      <c r="AD60" s="103"/>
      <c r="AE60" s="103"/>
      <c r="AF60" s="103"/>
      <c r="AG60" s="103"/>
      <c r="AH60" s="103"/>
    </row>
    <row r="61" spans="1:34" x14ac:dyDescent="0.3">
      <c r="B61" s="62"/>
      <c r="C61" s="63" t="s">
        <v>2</v>
      </c>
      <c r="D61" s="63"/>
      <c r="E61" s="61"/>
      <c r="F61" s="89" t="s">
        <v>11</v>
      </c>
      <c r="G61" s="56"/>
      <c r="H61" s="223" t="s">
        <v>130</v>
      </c>
      <c r="I61" s="223" t="s">
        <v>131</v>
      </c>
      <c r="J61" s="56">
        <v>3</v>
      </c>
      <c r="K61" s="55">
        <v>307000</v>
      </c>
      <c r="L61" s="55">
        <v>307000</v>
      </c>
      <c r="M61" s="113">
        <f t="shared" ref="M61:M66" si="25">K61*J61</f>
        <v>921000</v>
      </c>
      <c r="N61" s="138"/>
      <c r="O61" s="1365">
        <f t="shared" si="24"/>
        <v>921000</v>
      </c>
      <c r="P61" s="1366"/>
      <c r="Q61" s="1361"/>
      <c r="R61" s="1362"/>
      <c r="S61" s="1240"/>
      <c r="T61" s="95"/>
      <c r="U61" s="763"/>
      <c r="V61" s="719"/>
    </row>
    <row r="62" spans="1:34" x14ac:dyDescent="0.3">
      <c r="B62" s="62"/>
      <c r="C62" s="63" t="s">
        <v>2</v>
      </c>
      <c r="D62" s="63"/>
      <c r="E62" s="61"/>
      <c r="F62" s="89" t="s">
        <v>41</v>
      </c>
      <c r="G62" s="56"/>
      <c r="H62" s="223" t="s">
        <v>130</v>
      </c>
      <c r="I62" s="223" t="s">
        <v>131</v>
      </c>
      <c r="J62" s="56">
        <v>5</v>
      </c>
      <c r="K62" s="55">
        <v>307000</v>
      </c>
      <c r="L62" s="55">
        <v>307000</v>
      </c>
      <c r="M62" s="113">
        <f t="shared" si="25"/>
        <v>1535000</v>
      </c>
      <c r="N62" s="138"/>
      <c r="O62" s="1365">
        <f t="shared" si="24"/>
        <v>1535000</v>
      </c>
      <c r="P62" s="1366"/>
      <c r="Q62" s="1361"/>
      <c r="R62" s="1362"/>
      <c r="S62" s="1240"/>
      <c r="T62" s="95"/>
      <c r="U62" s="763"/>
      <c r="V62" s="719"/>
    </row>
    <row r="63" spans="1:34" x14ac:dyDescent="0.3">
      <c r="B63" s="62"/>
      <c r="C63" s="63" t="s">
        <v>2</v>
      </c>
      <c r="D63" s="63"/>
      <c r="E63" s="61"/>
      <c r="F63" s="89" t="s">
        <v>10</v>
      </c>
      <c r="G63" s="56"/>
      <c r="H63" s="223" t="s">
        <v>130</v>
      </c>
      <c r="I63" s="223" t="s">
        <v>131</v>
      </c>
      <c r="J63" s="56">
        <v>3</v>
      </c>
      <c r="K63" s="55">
        <v>307000</v>
      </c>
      <c r="L63" s="55">
        <v>307000</v>
      </c>
      <c r="M63" s="113">
        <f t="shared" si="25"/>
        <v>921000</v>
      </c>
      <c r="N63" s="138"/>
      <c r="O63" s="1365">
        <f t="shared" si="24"/>
        <v>921000</v>
      </c>
      <c r="P63" s="1366"/>
      <c r="Q63" s="1361"/>
      <c r="R63" s="1362"/>
      <c r="S63" s="1240"/>
      <c r="T63" s="95"/>
      <c r="U63" s="763"/>
      <c r="V63" s="719"/>
    </row>
    <row r="64" spans="1:34" x14ac:dyDescent="0.3">
      <c r="B64" s="62"/>
      <c r="C64" s="63" t="s">
        <v>2</v>
      </c>
      <c r="D64" s="63"/>
      <c r="E64" s="61"/>
      <c r="F64" s="89" t="s">
        <v>61</v>
      </c>
      <c r="G64" s="56"/>
      <c r="H64" s="223" t="s">
        <v>130</v>
      </c>
      <c r="I64" s="223" t="s">
        <v>131</v>
      </c>
      <c r="J64" s="56">
        <v>2</v>
      </c>
      <c r="K64" s="55">
        <v>307000</v>
      </c>
      <c r="L64" s="55">
        <v>307000</v>
      </c>
      <c r="M64" s="113">
        <f t="shared" si="25"/>
        <v>614000</v>
      </c>
      <c r="N64" s="138"/>
      <c r="O64" s="1365">
        <f t="shared" si="24"/>
        <v>614000</v>
      </c>
      <c r="P64" s="1366"/>
      <c r="Q64" s="1361"/>
      <c r="R64" s="1362"/>
      <c r="S64" s="1240"/>
      <c r="T64" s="95"/>
      <c r="U64" s="764"/>
      <c r="V64" s="721"/>
    </row>
    <row r="65" spans="2:34" x14ac:dyDescent="0.3">
      <c r="B65" s="67"/>
      <c r="C65" s="63" t="s">
        <v>2</v>
      </c>
      <c r="D65" s="68"/>
      <c r="E65" s="69"/>
      <c r="F65" s="90" t="s">
        <v>9</v>
      </c>
      <c r="G65" s="56"/>
      <c r="H65" s="223" t="s">
        <v>130</v>
      </c>
      <c r="I65" s="223" t="s">
        <v>131</v>
      </c>
      <c r="J65" s="56">
        <v>5</v>
      </c>
      <c r="K65" s="55">
        <v>307000</v>
      </c>
      <c r="L65" s="55">
        <v>307000</v>
      </c>
      <c r="M65" s="113">
        <f t="shared" si="25"/>
        <v>1535000</v>
      </c>
      <c r="N65" s="138"/>
      <c r="O65" s="1365">
        <f t="shared" si="24"/>
        <v>1535000</v>
      </c>
      <c r="P65" s="1366"/>
      <c r="Q65" s="1361"/>
      <c r="R65" s="1362"/>
      <c r="S65" s="1240"/>
      <c r="T65" s="95"/>
    </row>
    <row r="66" spans="2:34" ht="17.25" thickBot="1" x14ac:dyDescent="0.35">
      <c r="B66" s="57"/>
      <c r="C66" s="58" t="s">
        <v>2</v>
      </c>
      <c r="D66" s="58"/>
      <c r="E66" s="60"/>
      <c r="F66" s="91" t="s">
        <v>8</v>
      </c>
      <c r="G66" s="59"/>
      <c r="H66" s="223" t="s">
        <v>130</v>
      </c>
      <c r="I66" s="223" t="s">
        <v>131</v>
      </c>
      <c r="J66" s="59">
        <v>2</v>
      </c>
      <c r="K66" s="169">
        <v>307000</v>
      </c>
      <c r="L66" s="169">
        <v>307000</v>
      </c>
      <c r="M66" s="114">
        <f t="shared" si="25"/>
        <v>614000</v>
      </c>
      <c r="N66" s="139"/>
      <c r="O66" s="1365">
        <f t="shared" si="24"/>
        <v>614000</v>
      </c>
      <c r="P66" s="1366"/>
      <c r="Q66" s="1363"/>
      <c r="R66" s="1364"/>
      <c r="S66" s="1241"/>
      <c r="T66" s="96"/>
    </row>
    <row r="67" spans="2:34" ht="18" thickBot="1" x14ac:dyDescent="0.35">
      <c r="B67" s="1345" t="s">
        <v>46</v>
      </c>
      <c r="C67" s="1346"/>
      <c r="D67" s="1346"/>
      <c r="E67" s="1346"/>
      <c r="F67" s="1346"/>
      <c r="G67" s="1346"/>
      <c r="H67" s="1346"/>
      <c r="I67" s="1346"/>
      <c r="J67" s="1346"/>
      <c r="K67" s="1346"/>
      <c r="L67" s="1347"/>
      <c r="M67" s="124">
        <f>SUM(M55:M66)</f>
        <v>29165000</v>
      </c>
      <c r="N67" s="140"/>
      <c r="O67" s="1348">
        <f>SUM(O55:P66)</f>
        <v>29165000</v>
      </c>
      <c r="P67" s="1349"/>
      <c r="Q67" s="1350"/>
      <c r="R67" s="1350"/>
      <c r="S67" s="1350"/>
      <c r="T67" s="1242"/>
    </row>
    <row r="68" spans="2:34" ht="20.25" thickBot="1" x14ac:dyDescent="0.35">
      <c r="B68" s="1352" t="s">
        <v>52</v>
      </c>
      <c r="C68" s="1353"/>
      <c r="D68" s="1353"/>
      <c r="E68" s="1353"/>
      <c r="F68" s="1353"/>
      <c r="G68" s="1353"/>
      <c r="H68" s="1353"/>
      <c r="I68" s="1353"/>
      <c r="J68" s="1353"/>
      <c r="K68" s="1353"/>
      <c r="L68" s="1353"/>
      <c r="M68" s="125"/>
      <c r="N68" s="134">
        <v>0.03</v>
      </c>
      <c r="O68" s="1354">
        <f>ROUNDDOWN(O54*N68,-3)</f>
        <v>4623000</v>
      </c>
      <c r="P68" s="1355"/>
      <c r="Q68" s="1356"/>
      <c r="R68" s="1357"/>
      <c r="S68" s="1357"/>
      <c r="T68" s="1243"/>
      <c r="W68" s="565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2:34" ht="20.25" thickBot="1" x14ac:dyDescent="0.35">
      <c r="B69" s="1352" t="s">
        <v>54</v>
      </c>
      <c r="C69" s="1353"/>
      <c r="D69" s="1353"/>
      <c r="E69" s="1353"/>
      <c r="F69" s="1353"/>
      <c r="G69" s="1353"/>
      <c r="H69" s="1353"/>
      <c r="I69" s="1353"/>
      <c r="J69" s="1353"/>
      <c r="K69" s="1353"/>
      <c r="L69" s="1353"/>
      <c r="M69" s="127"/>
      <c r="N69" s="128"/>
      <c r="O69" s="1354">
        <f>SUM(O68,O67,O54)</f>
        <v>187914300</v>
      </c>
      <c r="P69" s="1355"/>
      <c r="Q69" s="1374"/>
      <c r="R69" s="1375"/>
      <c r="S69" s="1375"/>
      <c r="T69" s="1244"/>
      <c r="W69" s="565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2:34" ht="20.25" thickBot="1" x14ac:dyDescent="0.35">
      <c r="B70" s="1352" t="s">
        <v>51</v>
      </c>
      <c r="C70" s="1353"/>
      <c r="D70" s="1353"/>
      <c r="E70" s="1353"/>
      <c r="F70" s="1353"/>
      <c r="G70" s="1353"/>
      <c r="H70" s="1353"/>
      <c r="I70" s="1353"/>
      <c r="J70" s="1353"/>
      <c r="K70" s="1353"/>
      <c r="L70" s="1353"/>
      <c r="M70" s="129"/>
      <c r="N70" s="126">
        <v>0.1</v>
      </c>
      <c r="O70" s="1381">
        <f>ROUNDDOWN(O69*N70,-3)</f>
        <v>18791000</v>
      </c>
      <c r="P70" s="1382"/>
      <c r="Q70" s="1383"/>
      <c r="R70" s="1384"/>
      <c r="S70" s="1384"/>
      <c r="T70" s="1244"/>
      <c r="W70" s="565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2:34" ht="21" thickBot="1" x14ac:dyDescent="0.35">
      <c r="B71" s="1367" t="s">
        <v>44</v>
      </c>
      <c r="C71" s="1368"/>
      <c r="D71" s="1368"/>
      <c r="E71" s="1368"/>
      <c r="F71" s="1368"/>
      <c r="G71" s="1368"/>
      <c r="H71" s="1368"/>
      <c r="I71" s="1368"/>
      <c r="J71" s="1368"/>
      <c r="K71" s="1368"/>
      <c r="L71" s="1368"/>
      <c r="M71" s="92"/>
      <c r="N71" s="111"/>
      <c r="O71" s="1369">
        <f>ROUNDDOWN(SUM(O69:P70), -6)</f>
        <v>206000000</v>
      </c>
      <c r="P71" s="1370"/>
      <c r="Q71" s="1371"/>
      <c r="R71" s="1372"/>
      <c r="S71" s="1372"/>
      <c r="T71" s="1245"/>
      <c r="W71" s="565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2:34" ht="21" thickBot="1" x14ac:dyDescent="0.35">
      <c r="B72" s="104"/>
      <c r="C72" s="104"/>
      <c r="D72" s="104"/>
      <c r="E72" s="104"/>
      <c r="F72" s="105"/>
      <c r="G72" s="105"/>
      <c r="H72" s="105"/>
      <c r="I72" s="105"/>
      <c r="J72" s="105"/>
      <c r="K72" s="105"/>
      <c r="L72" s="105"/>
      <c r="M72" s="106"/>
      <c r="N72" s="107"/>
      <c r="O72" s="107"/>
      <c r="P72" s="107"/>
      <c r="Q72" s="108"/>
      <c r="R72" s="108"/>
      <c r="S72" s="108"/>
      <c r="T72" s="108"/>
      <c r="W72" s="565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2:34" ht="18" thickBot="1" x14ac:dyDescent="0.35">
      <c r="B73" s="1374" t="s">
        <v>50</v>
      </c>
      <c r="C73" s="1375"/>
      <c r="D73" s="1375"/>
      <c r="E73" s="1376"/>
      <c r="F73" s="109"/>
      <c r="G73" s="109" t="s">
        <v>643</v>
      </c>
      <c r="H73" s="109"/>
      <c r="I73" s="109"/>
      <c r="J73" s="109"/>
      <c r="K73" s="110"/>
      <c r="L73" s="110"/>
      <c r="M73" s="110"/>
      <c r="N73" s="77" t="s">
        <v>14</v>
      </c>
      <c r="O73" s="1377" t="s">
        <v>15</v>
      </c>
      <c r="P73" s="1378"/>
      <c r="Q73" s="1379" t="s">
        <v>17</v>
      </c>
      <c r="R73" s="1380"/>
      <c r="S73" s="166" t="s">
        <v>16</v>
      </c>
      <c r="T73" s="166" t="s">
        <v>16</v>
      </c>
    </row>
    <row r="74" spans="2:34" ht="18" customHeight="1" x14ac:dyDescent="0.3">
      <c r="B74" s="102">
        <v>1</v>
      </c>
      <c r="C74" s="1400" t="s">
        <v>635</v>
      </c>
      <c r="D74" s="1401"/>
      <c r="E74" s="1401"/>
      <c r="F74" s="1401"/>
      <c r="G74" s="1401"/>
      <c r="H74" s="1401"/>
      <c r="I74" s="1401"/>
      <c r="J74" s="1402"/>
      <c r="N74" s="11">
        <v>0</v>
      </c>
      <c r="O74" s="1403">
        <f>$O$71/(1+N74)</f>
        <v>206000000</v>
      </c>
      <c r="P74" s="1404"/>
      <c r="Q74" s="1405">
        <f>O74-$M$54</f>
        <v>96537823</v>
      </c>
      <c r="R74" s="1406"/>
      <c r="S74" s="160">
        <f>Q74/O74</f>
        <v>0.4686302087378641</v>
      </c>
      <c r="T74" s="160" t="e">
        <f>R74/P74</f>
        <v>#DIV/0!</v>
      </c>
    </row>
    <row r="75" spans="2:34" ht="18" customHeight="1" x14ac:dyDescent="0.3">
      <c r="B75" s="100">
        <v>2</v>
      </c>
      <c r="C75" s="1458"/>
      <c r="D75" s="1456"/>
      <c r="E75" s="1456"/>
      <c r="F75" s="1456"/>
      <c r="G75" s="1456"/>
      <c r="H75" s="1456"/>
      <c r="I75" s="1456"/>
      <c r="J75" s="1457"/>
      <c r="N75" s="9">
        <v>0.1</v>
      </c>
      <c r="O75" s="1389">
        <f>$O$71/(1+N75)</f>
        <v>187272727.27272725</v>
      </c>
      <c r="P75" s="1390"/>
      <c r="Q75" s="1391">
        <f t="shared" ref="Q75:Q78" si="26">O75-$M$54</f>
        <v>77810550.272727251</v>
      </c>
      <c r="R75" s="1392"/>
      <c r="S75" s="161">
        <f t="shared" ref="S75:T78" si="27">Q75/O75</f>
        <v>0.41549322961165042</v>
      </c>
      <c r="T75" s="161" t="e">
        <f t="shared" si="27"/>
        <v>#DIV/0!</v>
      </c>
    </row>
    <row r="76" spans="2:34" ht="18" customHeight="1" x14ac:dyDescent="0.3">
      <c r="B76" s="100">
        <v>3</v>
      </c>
      <c r="C76" s="1455"/>
      <c r="D76" s="1456"/>
      <c r="E76" s="1456"/>
      <c r="F76" s="1456"/>
      <c r="G76" s="1456"/>
      <c r="H76" s="1456"/>
      <c r="I76" s="1456"/>
      <c r="J76" s="1457"/>
      <c r="N76" s="10">
        <v>0.15</v>
      </c>
      <c r="O76" s="1389">
        <f t="shared" ref="O76:O77" si="28">$O$71/(1+N76)</f>
        <v>179130434.78260872</v>
      </c>
      <c r="P76" s="1390"/>
      <c r="Q76" s="1391">
        <f t="shared" si="26"/>
        <v>69668257.782608718</v>
      </c>
      <c r="R76" s="1392"/>
      <c r="S76" s="161">
        <f t="shared" si="27"/>
        <v>0.38892474004854377</v>
      </c>
      <c r="T76" s="161" t="e">
        <f t="shared" si="27"/>
        <v>#DIV/0!</v>
      </c>
    </row>
    <row r="77" spans="2:34" s="103" customFormat="1" ht="18" customHeight="1" x14ac:dyDescent="0.3">
      <c r="B77" s="100">
        <v>4</v>
      </c>
      <c r="C77" s="1455"/>
      <c r="D77" s="1456"/>
      <c r="E77" s="1456"/>
      <c r="F77" s="1456"/>
      <c r="G77" s="1456"/>
      <c r="H77" s="1456"/>
      <c r="I77" s="1456"/>
      <c r="J77" s="1457"/>
      <c r="K77" s="1"/>
      <c r="L77" s="1"/>
      <c r="M77" s="1"/>
      <c r="N77" s="10">
        <v>0.2</v>
      </c>
      <c r="O77" s="1389">
        <f t="shared" si="28"/>
        <v>171666666.66666669</v>
      </c>
      <c r="P77" s="1390"/>
      <c r="Q77" s="1391">
        <f t="shared" si="26"/>
        <v>62204489.666666687</v>
      </c>
      <c r="R77" s="1392"/>
      <c r="S77" s="161">
        <f t="shared" si="27"/>
        <v>0.36235625048543696</v>
      </c>
      <c r="T77" s="161" t="e">
        <f t="shared" si="27"/>
        <v>#DIV/0!</v>
      </c>
      <c r="U77" s="771"/>
      <c r="V77" s="729"/>
      <c r="W77" s="562"/>
      <c r="X77"/>
      <c r="Y77"/>
      <c r="Z77"/>
      <c r="AA77"/>
      <c r="AB77"/>
      <c r="AC77"/>
      <c r="AD77"/>
      <c r="AE77"/>
      <c r="AF77"/>
      <c r="AG77"/>
      <c r="AH77"/>
    </row>
    <row r="78" spans="2:34" ht="18" customHeight="1" thickBot="1" x14ac:dyDescent="0.35">
      <c r="B78" s="100">
        <v>5</v>
      </c>
      <c r="C78" s="1393"/>
      <c r="D78" s="1394"/>
      <c r="E78" s="1394"/>
      <c r="F78" s="1394"/>
      <c r="G78" s="1394"/>
      <c r="H78" s="1394"/>
      <c r="I78" s="1394"/>
      <c r="J78" s="1395"/>
      <c r="N78" s="12" t="s">
        <v>45</v>
      </c>
      <c r="O78" s="1396">
        <v>0</v>
      </c>
      <c r="P78" s="1397"/>
      <c r="Q78" s="1398">
        <f t="shared" si="26"/>
        <v>-109462177</v>
      </c>
      <c r="R78" s="1399"/>
      <c r="S78" s="99" t="e">
        <f t="shared" si="27"/>
        <v>#DIV/0!</v>
      </c>
      <c r="T78" s="99" t="e">
        <f t="shared" si="27"/>
        <v>#DIV/0!</v>
      </c>
    </row>
    <row r="79" spans="2:34" ht="18" customHeight="1" thickBot="1" x14ac:dyDescent="0.35">
      <c r="B79" s="100">
        <v>6</v>
      </c>
      <c r="C79" s="1393"/>
      <c r="D79" s="1394"/>
      <c r="E79" s="1394"/>
      <c r="F79" s="1394"/>
      <c r="G79" s="1394"/>
      <c r="H79" s="1394"/>
      <c r="I79" s="1394"/>
      <c r="J79" s="1395"/>
    </row>
    <row r="80" spans="2:34" ht="18" customHeight="1" thickBot="1" x14ac:dyDescent="0.35">
      <c r="B80" s="100">
        <v>7</v>
      </c>
      <c r="C80" s="638"/>
      <c r="D80" s="639"/>
      <c r="E80" s="639"/>
      <c r="F80" s="639"/>
      <c r="G80" s="972"/>
      <c r="H80" s="639"/>
      <c r="I80" s="639"/>
      <c r="J80" s="640"/>
      <c r="N80" s="1410" t="s">
        <v>47</v>
      </c>
      <c r="O80" s="1411"/>
      <c r="P80" s="1412" t="s">
        <v>48</v>
      </c>
      <c r="Q80" s="1413"/>
      <c r="R80" s="1414" t="s">
        <v>49</v>
      </c>
      <c r="S80" s="1415"/>
      <c r="T80" s="1232"/>
    </row>
    <row r="81" spans="1:34" ht="18" customHeight="1" x14ac:dyDescent="0.3">
      <c r="B81" s="100">
        <v>8</v>
      </c>
      <c r="C81" s="1393"/>
      <c r="D81" s="1394"/>
      <c r="E81" s="1394"/>
      <c r="F81" s="1394"/>
      <c r="G81" s="1394"/>
      <c r="H81" s="1394"/>
      <c r="I81" s="1394"/>
      <c r="J81" s="1395"/>
      <c r="N81" s="1416"/>
      <c r="O81" s="1417"/>
      <c r="P81" s="1422"/>
      <c r="Q81" s="1423"/>
      <c r="R81" s="1428"/>
      <c r="S81" s="1429"/>
      <c r="T81" s="1227"/>
    </row>
    <row r="82" spans="1:34" ht="18" customHeight="1" x14ac:dyDescent="0.3">
      <c r="B82" s="100"/>
      <c r="C82" s="1434"/>
      <c r="D82" s="1435"/>
      <c r="E82" s="1435"/>
      <c r="F82" s="1435"/>
      <c r="G82" s="1435"/>
      <c r="H82" s="1435"/>
      <c r="I82" s="1435"/>
      <c r="J82" s="1436"/>
      <c r="N82" s="1418"/>
      <c r="O82" s="1419"/>
      <c r="P82" s="1424"/>
      <c r="Q82" s="1425"/>
      <c r="R82" s="1430"/>
      <c r="S82" s="1431"/>
      <c r="T82" s="1227"/>
    </row>
    <row r="83" spans="1:34" ht="18" customHeight="1" x14ac:dyDescent="0.3">
      <c r="B83" s="100"/>
      <c r="C83" s="1434"/>
      <c r="D83" s="1435"/>
      <c r="E83" s="1435"/>
      <c r="F83" s="1435"/>
      <c r="G83" s="1435"/>
      <c r="H83" s="1435"/>
      <c r="I83" s="1435"/>
      <c r="J83" s="1436"/>
      <c r="N83" s="1418"/>
      <c r="O83" s="1419"/>
      <c r="P83" s="1424"/>
      <c r="Q83" s="1425"/>
      <c r="R83" s="1430"/>
      <c r="S83" s="1431"/>
      <c r="T83" s="1227"/>
    </row>
    <row r="84" spans="1:34" ht="18" customHeight="1" thickBot="1" x14ac:dyDescent="0.35">
      <c r="B84" s="101"/>
      <c r="C84" s="1407"/>
      <c r="D84" s="1408"/>
      <c r="E84" s="1408"/>
      <c r="F84" s="1408"/>
      <c r="G84" s="1408"/>
      <c r="H84" s="1408"/>
      <c r="I84" s="1408"/>
      <c r="J84" s="1409"/>
      <c r="N84" s="1420"/>
      <c r="O84" s="1421"/>
      <c r="P84" s="1426"/>
      <c r="Q84" s="1427"/>
      <c r="R84" s="1432"/>
      <c r="S84" s="1433"/>
      <c r="T84" s="1227"/>
    </row>
    <row r="85" spans="1:34" s="3" customFormat="1" ht="17.25" x14ac:dyDescent="0.3">
      <c r="A85"/>
      <c r="B85" s="2"/>
      <c r="C85" s="2"/>
      <c r="D85" s="2"/>
      <c r="E85" s="2"/>
      <c r="G85" s="925"/>
      <c r="K85" s="1"/>
      <c r="L85" s="1"/>
      <c r="M85" s="1"/>
      <c r="N85" s="5"/>
      <c r="O85" s="1"/>
      <c r="P85" s="1"/>
      <c r="Q85"/>
      <c r="R85"/>
      <c r="S85" s="93"/>
      <c r="T85" s="93"/>
      <c r="U85" s="772"/>
      <c r="V85" s="730"/>
      <c r="W85" s="562"/>
      <c r="X85"/>
      <c r="Y85"/>
      <c r="Z85"/>
      <c r="AA85"/>
      <c r="AB85"/>
      <c r="AC85"/>
      <c r="AD85"/>
      <c r="AE85"/>
      <c r="AF85"/>
      <c r="AG85"/>
      <c r="AH85"/>
    </row>
    <row r="86" spans="1:34" s="3" customFormat="1" x14ac:dyDescent="0.3">
      <c r="A86"/>
      <c r="B86" s="2"/>
      <c r="C86" s="2"/>
      <c r="D86" s="2"/>
      <c r="E86" s="2"/>
      <c r="G86" s="925"/>
      <c r="K86" s="1"/>
      <c r="L86" s="1"/>
      <c r="M86" s="1"/>
      <c r="N86" s="5"/>
      <c r="O86" s="1"/>
      <c r="P86" s="1"/>
      <c r="Q86"/>
      <c r="R86"/>
      <c r="S86" s="93"/>
      <c r="T86" s="93"/>
      <c r="U86" s="773"/>
      <c r="V86" s="731"/>
      <c r="W86" s="562"/>
      <c r="X86"/>
      <c r="Y86"/>
      <c r="Z86"/>
      <c r="AA86"/>
      <c r="AB86"/>
      <c r="AC86"/>
      <c r="AD86"/>
      <c r="AE86"/>
      <c r="AF86"/>
      <c r="AG86"/>
      <c r="AH86"/>
    </row>
    <row r="87" spans="1:34" s="3" customFormat="1" x14ac:dyDescent="0.3">
      <c r="A87"/>
      <c r="B87" s="2"/>
      <c r="C87" s="2"/>
      <c r="D87" s="2"/>
      <c r="E87" s="2"/>
      <c r="G87" s="925"/>
      <c r="K87" s="395"/>
      <c r="L87" s="1"/>
      <c r="M87" s="1"/>
      <c r="N87" s="5"/>
      <c r="O87" s="1"/>
      <c r="P87" s="1"/>
      <c r="Q87"/>
      <c r="R87"/>
      <c r="S87" s="93"/>
      <c r="T87" s="93"/>
      <c r="U87" s="773"/>
      <c r="V87" s="731"/>
      <c r="W87" s="562"/>
      <c r="X87"/>
      <c r="Y87"/>
      <c r="Z87"/>
      <c r="AA87"/>
      <c r="AB87"/>
      <c r="AC87"/>
      <c r="AD87"/>
      <c r="AE87"/>
      <c r="AF87"/>
      <c r="AG87"/>
      <c r="AH87"/>
    </row>
    <row r="88" spans="1:34" s="3" customFormat="1" x14ac:dyDescent="0.3">
      <c r="A88"/>
      <c r="B88" s="2"/>
      <c r="C88" s="2"/>
      <c r="D88" s="2"/>
      <c r="E88" s="2"/>
      <c r="G88" s="925"/>
      <c r="K88" s="1"/>
      <c r="L88" s="1"/>
      <c r="M88" s="1"/>
      <c r="N88" s="5"/>
      <c r="O88" s="1"/>
      <c r="P88" s="1"/>
      <c r="Q88"/>
      <c r="R88"/>
      <c r="S88" s="93"/>
      <c r="T88" s="93"/>
      <c r="U88" s="773"/>
      <c r="V88" s="731"/>
      <c r="W88" s="562"/>
      <c r="X88"/>
      <c r="Y88"/>
      <c r="Z88"/>
      <c r="AA88"/>
      <c r="AB88"/>
      <c r="AC88"/>
      <c r="AD88"/>
      <c r="AE88"/>
      <c r="AF88"/>
      <c r="AG88"/>
      <c r="AH88"/>
    </row>
    <row r="89" spans="1:34" s="3" customFormat="1" x14ac:dyDescent="0.3">
      <c r="A89"/>
      <c r="B89" s="2"/>
      <c r="C89" s="2"/>
      <c r="D89" s="2"/>
      <c r="E89" s="2"/>
      <c r="G89" s="925"/>
      <c r="K89" s="1"/>
      <c r="L89" s="1"/>
      <c r="M89" s="1"/>
      <c r="N89" s="5"/>
      <c r="O89" s="1"/>
      <c r="P89" s="1"/>
      <c r="Q89"/>
      <c r="R89"/>
      <c r="S89" s="93"/>
      <c r="T89" s="93"/>
      <c r="U89" s="773"/>
      <c r="V89" s="731"/>
      <c r="W89" s="562"/>
      <c r="X89"/>
      <c r="Y89"/>
      <c r="Z89"/>
      <c r="AA89"/>
      <c r="AB89"/>
      <c r="AC89"/>
      <c r="AD89"/>
      <c r="AE89"/>
      <c r="AF89"/>
      <c r="AG89"/>
      <c r="AH89"/>
    </row>
  </sheetData>
  <mergeCells count="158">
    <mergeCell ref="Q29:R29"/>
    <mergeCell ref="Q28:R28"/>
    <mergeCell ref="C76:J76"/>
    <mergeCell ref="O76:P76"/>
    <mergeCell ref="Q76:R76"/>
    <mergeCell ref="C77:J77"/>
    <mergeCell ref="O77:P77"/>
    <mergeCell ref="Q77:R77"/>
    <mergeCell ref="C74:J74"/>
    <mergeCell ref="O74:P74"/>
    <mergeCell ref="Q74:R74"/>
    <mergeCell ref="C75:J75"/>
    <mergeCell ref="O75:P75"/>
    <mergeCell ref="Q75:R75"/>
    <mergeCell ref="B71:L71"/>
    <mergeCell ref="O71:P71"/>
    <mergeCell ref="Q71:S71"/>
    <mergeCell ref="B73:E73"/>
    <mergeCell ref="O73:P73"/>
    <mergeCell ref="Q73:R73"/>
    <mergeCell ref="B69:L69"/>
    <mergeCell ref="O69:P69"/>
    <mergeCell ref="Q69:S69"/>
    <mergeCell ref="B70:L70"/>
    <mergeCell ref="C81:J81"/>
    <mergeCell ref="N81:O84"/>
    <mergeCell ref="P81:Q84"/>
    <mergeCell ref="R81:S84"/>
    <mergeCell ref="C82:J82"/>
    <mergeCell ref="C83:J83"/>
    <mergeCell ref="C84:J84"/>
    <mergeCell ref="C78:J78"/>
    <mergeCell ref="O78:P78"/>
    <mergeCell ref="Q78:R78"/>
    <mergeCell ref="C79:J79"/>
    <mergeCell ref="N80:O80"/>
    <mergeCell ref="P80:Q80"/>
    <mergeCell ref="R80:S80"/>
    <mergeCell ref="O70:P70"/>
    <mergeCell ref="Q70:S70"/>
    <mergeCell ref="B67:L67"/>
    <mergeCell ref="O67:P67"/>
    <mergeCell ref="Q67:S67"/>
    <mergeCell ref="B68:L68"/>
    <mergeCell ref="O68:P68"/>
    <mergeCell ref="Q68:S68"/>
    <mergeCell ref="O59:P59"/>
    <mergeCell ref="Q59:R59"/>
    <mergeCell ref="O60:P60"/>
    <mergeCell ref="Q60:R66"/>
    <mergeCell ref="O61:P61"/>
    <mergeCell ref="O62:P62"/>
    <mergeCell ref="O63:P63"/>
    <mergeCell ref="O64:P64"/>
    <mergeCell ref="O65:P65"/>
    <mergeCell ref="O66:P66"/>
    <mergeCell ref="O56:P56"/>
    <mergeCell ref="Q56:R56"/>
    <mergeCell ref="O57:P57"/>
    <mergeCell ref="Q57:R57"/>
    <mergeCell ref="O58:P58"/>
    <mergeCell ref="Q58:R58"/>
    <mergeCell ref="O53:P53"/>
    <mergeCell ref="B54:L54"/>
    <mergeCell ref="O54:P54"/>
    <mergeCell ref="Q54:R54"/>
    <mergeCell ref="O55:P55"/>
    <mergeCell ref="Q55:R55"/>
    <mergeCell ref="Q53:R53"/>
    <mergeCell ref="O33:P33"/>
    <mergeCell ref="O45:P45"/>
    <mergeCell ref="Q45:R45"/>
    <mergeCell ref="O30:P30"/>
    <mergeCell ref="O32:P32"/>
    <mergeCell ref="Q32:R32"/>
    <mergeCell ref="O38:P38"/>
    <mergeCell ref="Q38:R38"/>
    <mergeCell ref="O40:P40"/>
    <mergeCell ref="Q40:R40"/>
    <mergeCell ref="O41:P41"/>
    <mergeCell ref="Q41:R41"/>
    <mergeCell ref="Q33:R33"/>
    <mergeCell ref="O35:P35"/>
    <mergeCell ref="O34:P34"/>
    <mergeCell ref="Q34:R34"/>
    <mergeCell ref="Q35:R35"/>
    <mergeCell ref="Q30:R30"/>
    <mergeCell ref="O31:P31"/>
    <mergeCell ref="O26:P26"/>
    <mergeCell ref="Q26:R26"/>
    <mergeCell ref="O27:P27"/>
    <mergeCell ref="Q27:R27"/>
    <mergeCell ref="O28:P28"/>
    <mergeCell ref="O25:P25"/>
    <mergeCell ref="Q25:R25"/>
    <mergeCell ref="O20:P20"/>
    <mergeCell ref="Q20:R20"/>
    <mergeCell ref="O21:P21"/>
    <mergeCell ref="O22:P22"/>
    <mergeCell ref="Q22:R22"/>
    <mergeCell ref="O24:P24"/>
    <mergeCell ref="Q24:R24"/>
    <mergeCell ref="Q17:R17"/>
    <mergeCell ref="O18:P18"/>
    <mergeCell ref="Q18:R18"/>
    <mergeCell ref="O19:P19"/>
    <mergeCell ref="Q19:R19"/>
    <mergeCell ref="O16:P16"/>
    <mergeCell ref="Q16:R16"/>
    <mergeCell ref="O12:P12"/>
    <mergeCell ref="Q12:R13"/>
    <mergeCell ref="O13:P13"/>
    <mergeCell ref="O14:P14"/>
    <mergeCell ref="Q14:R14"/>
    <mergeCell ref="O15:P15"/>
    <mergeCell ref="Q15:R15"/>
    <mergeCell ref="O29:P29"/>
    <mergeCell ref="S38:S45"/>
    <mergeCell ref="A2:S2"/>
    <mergeCell ref="Q3:S3"/>
    <mergeCell ref="B4:E4"/>
    <mergeCell ref="O4:P4"/>
    <mergeCell ref="Q4:R4"/>
    <mergeCell ref="O5:P5"/>
    <mergeCell ref="Q5:R5"/>
    <mergeCell ref="O37:P37"/>
    <mergeCell ref="O36:P36"/>
    <mergeCell ref="O9:P9"/>
    <mergeCell ref="Q9:R9"/>
    <mergeCell ref="O11:P11"/>
    <mergeCell ref="Q11:R11"/>
    <mergeCell ref="O10:P10"/>
    <mergeCell ref="Q10:R10"/>
    <mergeCell ref="O6:P6"/>
    <mergeCell ref="Q6:R6"/>
    <mergeCell ref="O7:P7"/>
    <mergeCell ref="Q7:R7"/>
    <mergeCell ref="O8:P8"/>
    <mergeCell ref="Q8:R8"/>
    <mergeCell ref="O17:P17"/>
    <mergeCell ref="T38:T45"/>
    <mergeCell ref="Q52:R52"/>
    <mergeCell ref="O48:P48"/>
    <mergeCell ref="O49:P49"/>
    <mergeCell ref="O50:P50"/>
    <mergeCell ref="O51:P51"/>
    <mergeCell ref="O52:P52"/>
    <mergeCell ref="O47:P47"/>
    <mergeCell ref="Q47:R47"/>
    <mergeCell ref="Q48:R48"/>
    <mergeCell ref="Q49:R49"/>
    <mergeCell ref="Q50:R50"/>
    <mergeCell ref="Q51:R51"/>
    <mergeCell ref="O39:P39"/>
    <mergeCell ref="O42:P42"/>
    <mergeCell ref="O43:P43"/>
    <mergeCell ref="O44:P44"/>
    <mergeCell ref="Q44:R44"/>
  </mergeCells>
  <phoneticPr fontId="2" type="noConversion"/>
  <hyperlinks>
    <hyperlink ref="W32" r:id="rId1" display="https://www.digikey.kr/ko/products/detail/cornell-dubilier-knowles/947D102K901CJRSN/4466326" xr:uid="{42CB9024-37F0-4B8F-8EBD-D18895374102}"/>
  </hyperlinks>
  <pageMargins left="0.25" right="0.25" top="0.75" bottom="0.75" header="0.3" footer="0.3"/>
  <pageSetup paperSize="9" scale="32" fitToWidth="0" orientation="landscape" horizontalDpi="300" r:id="rId2"/>
  <headerFooter>
    <oddFooter>&amp;R&amp;D</oddFooter>
  </headerFooter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6B68-9EF5-4F64-B2E8-A8912D3032DC}">
  <sheetPr>
    <tabColor rgb="FFC00000"/>
    <pageSetUpPr fitToPage="1"/>
  </sheetPr>
  <dimension ref="A1:AG82"/>
  <sheetViews>
    <sheetView topLeftCell="D1" zoomScale="85" zoomScaleNormal="85" zoomScaleSheetLayoutView="100" zoomScalePageLayoutView="85" workbookViewId="0">
      <selection activeCell="Q10" sqref="Q10:R10"/>
    </sheetView>
  </sheetViews>
  <sheetFormatPr defaultRowHeight="16.5" x14ac:dyDescent="0.3"/>
  <cols>
    <col min="1" max="1" width="1.625" customWidth="1"/>
    <col min="2" max="5" width="3.375" style="2" customWidth="1"/>
    <col min="6" max="6" width="57.25" style="3" customWidth="1"/>
    <col min="7" max="7" width="25.625" style="2" customWidth="1"/>
    <col min="8" max="9" width="16.625" style="3" customWidth="1"/>
    <col min="10" max="10" width="6.625" style="3" customWidth="1"/>
    <col min="11" max="13" width="16.625" style="1" customWidth="1"/>
    <col min="14" max="14" width="12.625" style="5" customWidth="1"/>
    <col min="15" max="15" width="9.625" style="1" customWidth="1"/>
    <col min="16" max="16" width="12.625" style="1" customWidth="1"/>
    <col min="17" max="18" width="22.375" customWidth="1"/>
    <col min="19" max="20" width="21.875" style="93" customWidth="1"/>
    <col min="22" max="22" width="11.5" bestFit="1" customWidth="1"/>
  </cols>
  <sheetData>
    <row r="1" spans="1:33" ht="9.9499999999999993" customHeight="1" x14ac:dyDescent="0.3"/>
    <row r="2" spans="1:33" ht="26.25" x14ac:dyDescent="0.3">
      <c r="A2" s="1445" t="s">
        <v>588</v>
      </c>
      <c r="B2" s="1445"/>
      <c r="C2" s="1445"/>
      <c r="D2" s="1445"/>
      <c r="E2" s="1445"/>
      <c r="F2" s="1445"/>
      <c r="G2" s="1445"/>
      <c r="H2" s="1445"/>
      <c r="I2" s="1445"/>
      <c r="J2" s="1445"/>
      <c r="K2" s="1445"/>
      <c r="L2" s="1445"/>
      <c r="M2" s="1445"/>
      <c r="N2" s="1445"/>
      <c r="O2" s="1445"/>
      <c r="P2" s="1445"/>
      <c r="Q2" s="1445"/>
      <c r="R2" s="1445"/>
      <c r="S2" s="1445"/>
      <c r="T2" s="1228"/>
    </row>
    <row r="3" spans="1:33" ht="17.25" thickBot="1" x14ac:dyDescent="0.35">
      <c r="Q3" s="1446">
        <v>45469</v>
      </c>
      <c r="R3" s="1446"/>
      <c r="S3" s="1446"/>
      <c r="T3" s="1229">
        <v>45498</v>
      </c>
    </row>
    <row r="4" spans="1:33" ht="18" thickBot="1" x14ac:dyDescent="0.35">
      <c r="B4" s="1318" t="s">
        <v>491</v>
      </c>
      <c r="C4" s="1319"/>
      <c r="D4" s="1319"/>
      <c r="E4" s="1320"/>
      <c r="F4" s="6" t="s">
        <v>56</v>
      </c>
      <c r="G4" s="973" t="s">
        <v>55</v>
      </c>
      <c r="H4" s="6" t="s">
        <v>0</v>
      </c>
      <c r="I4" s="6" t="s">
        <v>43</v>
      </c>
      <c r="J4" s="6" t="s">
        <v>4</v>
      </c>
      <c r="K4" s="7" t="s">
        <v>12</v>
      </c>
      <c r="L4" s="8" t="s">
        <v>39</v>
      </c>
      <c r="M4" s="8" t="s">
        <v>5</v>
      </c>
      <c r="N4" s="141" t="s">
        <v>13</v>
      </c>
      <c r="O4" s="1321" t="s">
        <v>6</v>
      </c>
      <c r="P4" s="1322"/>
      <c r="Q4" s="1319" t="s">
        <v>3</v>
      </c>
      <c r="R4" s="1323"/>
      <c r="S4" s="71" t="s">
        <v>59</v>
      </c>
      <c r="T4" s="71"/>
    </row>
    <row r="5" spans="1:33" s="82" customFormat="1" ht="17.25" thickBot="1" x14ac:dyDescent="0.35">
      <c r="B5" s="122" t="s">
        <v>2</v>
      </c>
      <c r="C5" s="116"/>
      <c r="D5" s="116"/>
      <c r="E5" s="117"/>
      <c r="F5" s="118" t="s">
        <v>265</v>
      </c>
      <c r="G5" s="974"/>
      <c r="H5" s="119"/>
      <c r="I5" s="119"/>
      <c r="J5" s="119"/>
      <c r="K5" s="272"/>
      <c r="L5" s="120"/>
      <c r="M5" s="121"/>
      <c r="N5" s="135"/>
      <c r="O5" s="1447"/>
      <c r="P5" s="1448"/>
      <c r="Q5" s="1326"/>
      <c r="R5" s="1327"/>
      <c r="S5" s="115"/>
      <c r="T5" s="115"/>
    </row>
    <row r="6" spans="1:33" s="369" customFormat="1" x14ac:dyDescent="0.3">
      <c r="B6" s="498"/>
      <c r="C6" s="155" t="s">
        <v>2</v>
      </c>
      <c r="D6" s="155"/>
      <c r="E6" s="151"/>
      <c r="F6" s="187" t="s">
        <v>307</v>
      </c>
      <c r="G6" s="843" t="s">
        <v>433</v>
      </c>
      <c r="H6" s="185" t="s">
        <v>131</v>
      </c>
      <c r="I6" s="185" t="s">
        <v>131</v>
      </c>
      <c r="J6" s="184">
        <v>1</v>
      </c>
      <c r="K6" s="169">
        <f>(8210+3030+1140+2160+440)*0.6*1.071*1400</f>
        <v>13476607.199999999</v>
      </c>
      <c r="L6" s="55">
        <v>24756000</v>
      </c>
      <c r="M6" s="164">
        <f>J6*K6</f>
        <v>13476607.199999999</v>
      </c>
      <c r="N6" s="158">
        <v>0</v>
      </c>
      <c r="O6" s="1328">
        <f t="shared" ref="O6:O14" si="0">J6*L6/(1-N6)</f>
        <v>24756000</v>
      </c>
      <c r="P6" s="1329"/>
      <c r="Q6" s="1330" t="s">
        <v>590</v>
      </c>
      <c r="R6" s="1331"/>
      <c r="S6" s="470" t="s">
        <v>1135</v>
      </c>
      <c r="T6" s="470"/>
    </row>
    <row r="7" spans="1:33" s="369" customFormat="1" x14ac:dyDescent="0.3">
      <c r="B7" s="62"/>
      <c r="C7" s="56"/>
      <c r="D7" s="63" t="s">
        <v>73</v>
      </c>
      <c r="E7" s="61"/>
      <c r="F7" s="841" t="s">
        <v>372</v>
      </c>
      <c r="G7" s="844">
        <v>720268</v>
      </c>
      <c r="H7" s="482" t="s">
        <v>131</v>
      </c>
      <c r="I7" s="482" t="s">
        <v>131</v>
      </c>
      <c r="J7" s="56">
        <v>2</v>
      </c>
      <c r="K7" s="169">
        <f>(1190)*0.606*1.071*1400</f>
        <v>1081277.3159999999</v>
      </c>
      <c r="L7" s="55">
        <v>1806000</v>
      </c>
      <c r="M7" s="475">
        <f t="shared" ref="M7:M10" si="1">J7*K7</f>
        <v>2162554.6319999998</v>
      </c>
      <c r="N7" s="503">
        <v>0</v>
      </c>
      <c r="O7" s="1472">
        <f t="shared" si="0"/>
        <v>3612000</v>
      </c>
      <c r="P7" s="1473"/>
      <c r="Q7" s="1474" t="s">
        <v>595</v>
      </c>
      <c r="R7" s="1475"/>
      <c r="S7" s="470" t="s">
        <v>1135</v>
      </c>
      <c r="T7" s="470"/>
      <c r="U7" s="370"/>
      <c r="V7" s="370"/>
    </row>
    <row r="8" spans="1:33" ht="16.149999999999999" customHeight="1" x14ac:dyDescent="0.3">
      <c r="B8" s="62"/>
      <c r="C8" s="56"/>
      <c r="D8" s="56"/>
      <c r="E8" s="61" t="s">
        <v>73</v>
      </c>
      <c r="F8" s="841" t="s">
        <v>281</v>
      </c>
      <c r="G8" s="844">
        <v>758933</v>
      </c>
      <c r="H8" s="482" t="s">
        <v>131</v>
      </c>
      <c r="I8" s="482" t="s">
        <v>131</v>
      </c>
      <c r="J8" s="56">
        <v>4</v>
      </c>
      <c r="K8" s="169">
        <f>(35)*0.643*1.071*1400</f>
        <v>33743.996999999996</v>
      </c>
      <c r="L8" s="392">
        <v>62000</v>
      </c>
      <c r="M8" s="475">
        <f t="shared" si="1"/>
        <v>134975.98799999998</v>
      </c>
      <c r="N8" s="503">
        <v>0</v>
      </c>
      <c r="O8" s="1472">
        <f t="shared" si="0"/>
        <v>248000</v>
      </c>
      <c r="P8" s="1473"/>
      <c r="Q8" s="1474" t="s">
        <v>596</v>
      </c>
      <c r="R8" s="1475"/>
      <c r="S8" s="470" t="s">
        <v>1135</v>
      </c>
      <c r="T8" s="470"/>
    </row>
    <row r="9" spans="1:33" ht="16.149999999999999" customHeight="1" x14ac:dyDescent="0.3">
      <c r="B9" s="62"/>
      <c r="C9" s="56"/>
      <c r="D9" s="56"/>
      <c r="E9" s="61" t="s">
        <v>73</v>
      </c>
      <c r="F9" s="841" t="s">
        <v>283</v>
      </c>
      <c r="G9" s="844">
        <v>758921</v>
      </c>
      <c r="H9" s="482" t="s">
        <v>131</v>
      </c>
      <c r="I9" s="482" t="s">
        <v>131</v>
      </c>
      <c r="J9" s="56">
        <v>4</v>
      </c>
      <c r="K9" s="169">
        <f>(30)*0.643*1.071*1400</f>
        <v>28923.425999999996</v>
      </c>
      <c r="L9" s="392">
        <v>54000</v>
      </c>
      <c r="M9" s="475">
        <f t="shared" si="1"/>
        <v>115693.70399999998</v>
      </c>
      <c r="N9" s="503">
        <v>0</v>
      </c>
      <c r="O9" s="1472">
        <f t="shared" si="0"/>
        <v>216000</v>
      </c>
      <c r="P9" s="1473"/>
      <c r="Q9" s="1474" t="s">
        <v>597</v>
      </c>
      <c r="R9" s="1475"/>
      <c r="S9" s="470" t="s">
        <v>1132</v>
      </c>
      <c r="T9" s="470"/>
    </row>
    <row r="10" spans="1:33" s="369" customFormat="1" x14ac:dyDescent="0.3">
      <c r="B10" s="62"/>
      <c r="C10" s="56"/>
      <c r="D10" s="63" t="s">
        <v>73</v>
      </c>
      <c r="E10" s="61"/>
      <c r="F10" s="841" t="s">
        <v>310</v>
      </c>
      <c r="G10" s="844">
        <v>701251</v>
      </c>
      <c r="H10" s="482" t="s">
        <v>131</v>
      </c>
      <c r="I10" s="482" t="s">
        <v>131</v>
      </c>
      <c r="J10" s="56">
        <v>1</v>
      </c>
      <c r="K10" s="169">
        <f>(1190)*0.606*1.071*1400</f>
        <v>1081277.3159999999</v>
      </c>
      <c r="L10" s="169">
        <v>1806000</v>
      </c>
      <c r="M10" s="475">
        <f t="shared" si="1"/>
        <v>1081277.3159999999</v>
      </c>
      <c r="N10" s="503">
        <v>0</v>
      </c>
      <c r="O10" s="1472">
        <f t="shared" si="0"/>
        <v>1806000</v>
      </c>
      <c r="P10" s="1473"/>
      <c r="Q10" s="1474" t="s">
        <v>599</v>
      </c>
      <c r="R10" s="1475"/>
      <c r="S10" s="470" t="s">
        <v>1135</v>
      </c>
      <c r="T10" s="470"/>
      <c r="U10" s="370"/>
      <c r="V10" s="370"/>
    </row>
    <row r="11" spans="1:33" ht="16.149999999999999" customHeight="1" x14ac:dyDescent="0.3">
      <c r="B11" s="62"/>
      <c r="C11" s="56"/>
      <c r="D11" s="56"/>
      <c r="E11" s="61" t="s">
        <v>73</v>
      </c>
      <c r="F11" s="187" t="s">
        <v>489</v>
      </c>
      <c r="G11" s="844">
        <v>702916</v>
      </c>
      <c r="H11" s="482" t="s">
        <v>131</v>
      </c>
      <c r="I11" s="482" t="s">
        <v>131</v>
      </c>
      <c r="J11" s="56">
        <v>1</v>
      </c>
      <c r="K11" s="169">
        <f>(6450)*0.6*1.071*1400</f>
        <v>5802677.9999999991</v>
      </c>
      <c r="L11" s="392">
        <v>8712000</v>
      </c>
      <c r="M11" s="475">
        <f>J11*K11</f>
        <v>5802677.9999999991</v>
      </c>
      <c r="N11" s="503">
        <v>0</v>
      </c>
      <c r="O11" s="1472">
        <f>J11*L11/(1-N11)</f>
        <v>8712000</v>
      </c>
      <c r="P11" s="1473"/>
      <c r="Q11" s="1474" t="s">
        <v>444</v>
      </c>
      <c r="R11" s="1475"/>
      <c r="S11" s="470" t="s">
        <v>1135</v>
      </c>
      <c r="T11" s="470"/>
    </row>
    <row r="12" spans="1:33" s="369" customFormat="1" x14ac:dyDescent="0.3">
      <c r="B12" s="62"/>
      <c r="C12" s="56"/>
      <c r="D12" s="63" t="s">
        <v>73</v>
      </c>
      <c r="E12" s="61"/>
      <c r="F12" s="841" t="s">
        <v>368</v>
      </c>
      <c r="G12" s="844">
        <v>701265</v>
      </c>
      <c r="H12" s="482" t="s">
        <v>131</v>
      </c>
      <c r="I12" s="482" t="s">
        <v>131</v>
      </c>
      <c r="J12" s="56">
        <v>2</v>
      </c>
      <c r="K12" s="169">
        <f>(1140)*0.606*1.071*1400</f>
        <v>1035845.4959999999</v>
      </c>
      <c r="L12" s="55">
        <v>1723000</v>
      </c>
      <c r="M12" s="475">
        <f t="shared" ref="M12" si="2">J12*K12</f>
        <v>2071690.9919999999</v>
      </c>
      <c r="N12" s="503">
        <v>0</v>
      </c>
      <c r="O12" s="1472">
        <f t="shared" si="0"/>
        <v>3446000</v>
      </c>
      <c r="P12" s="1473"/>
      <c r="Q12" s="1474" t="s">
        <v>292</v>
      </c>
      <c r="R12" s="1475"/>
      <c r="S12" s="470" t="s">
        <v>1135</v>
      </c>
      <c r="T12" s="470"/>
      <c r="U12" s="370"/>
      <c r="V12" s="370"/>
    </row>
    <row r="13" spans="1:33" s="369" customFormat="1" x14ac:dyDescent="0.3">
      <c r="B13" s="498"/>
      <c r="C13" s="155" t="s">
        <v>73</v>
      </c>
      <c r="D13" s="155"/>
      <c r="E13" s="151"/>
      <c r="F13" s="187" t="s">
        <v>399</v>
      </c>
      <c r="G13" s="844" t="s">
        <v>336</v>
      </c>
      <c r="H13" s="185" t="s">
        <v>337</v>
      </c>
      <c r="I13" s="185" t="s">
        <v>337</v>
      </c>
      <c r="J13" s="184">
        <v>1</v>
      </c>
      <c r="K13" s="55">
        <f>690000*8.7116</f>
        <v>6011004.0000000009</v>
      </c>
      <c r="L13" s="55">
        <v>11825000</v>
      </c>
      <c r="M13" s="164">
        <f>J13*K13</f>
        <v>6011004.0000000009</v>
      </c>
      <c r="N13" s="158">
        <v>0</v>
      </c>
      <c r="O13" s="1328">
        <f t="shared" si="0"/>
        <v>11825000</v>
      </c>
      <c r="P13" s="1329"/>
      <c r="Q13" s="1330" t="s">
        <v>586</v>
      </c>
      <c r="R13" s="1331"/>
      <c r="S13" s="1025" t="s">
        <v>954</v>
      </c>
      <c r="T13" s="1247" t="s">
        <v>1126</v>
      </c>
      <c r="U13" s="682" t="s">
        <v>585</v>
      </c>
      <c r="V13" s="562"/>
      <c r="W13" s="370"/>
      <c r="X13" s="370"/>
      <c r="Y13" s="370"/>
      <c r="Z13" s="370"/>
      <c r="AA13" s="370"/>
      <c r="AB13" s="370"/>
      <c r="AC13" s="370"/>
      <c r="AD13" s="370"/>
      <c r="AE13" s="370"/>
      <c r="AF13" s="370"/>
      <c r="AG13" s="370"/>
    </row>
    <row r="14" spans="1:33" s="84" customFormat="1" x14ac:dyDescent="0.3">
      <c r="B14" s="498"/>
      <c r="C14" s="499" t="s">
        <v>73</v>
      </c>
      <c r="D14" s="499"/>
      <c r="E14" s="151"/>
      <c r="F14" s="842" t="s">
        <v>759</v>
      </c>
      <c r="G14" s="844" t="s">
        <v>425</v>
      </c>
      <c r="H14" s="985" t="s">
        <v>142</v>
      </c>
      <c r="I14" s="56" t="s">
        <v>64</v>
      </c>
      <c r="J14" s="155">
        <v>1</v>
      </c>
      <c r="K14" s="55">
        <f>L14*0.75</f>
        <v>1731750</v>
      </c>
      <c r="L14" s="55">
        <v>2309000</v>
      </c>
      <c r="M14" s="164">
        <f>J14*K14</f>
        <v>1731750</v>
      </c>
      <c r="N14" s="158">
        <v>0</v>
      </c>
      <c r="O14" s="1328">
        <f t="shared" si="0"/>
        <v>2309000</v>
      </c>
      <c r="P14" s="1329"/>
      <c r="Q14" s="1330" t="s">
        <v>403</v>
      </c>
      <c r="R14" s="1331"/>
      <c r="S14" s="212" t="s">
        <v>653</v>
      </c>
      <c r="T14" s="212"/>
    </row>
    <row r="15" spans="1:33" s="528" customFormat="1" x14ac:dyDescent="0.3">
      <c r="B15" s="62"/>
      <c r="C15" s="63" t="s">
        <v>2</v>
      </c>
      <c r="D15" s="63"/>
      <c r="E15" s="61"/>
      <c r="F15" s="841" t="s">
        <v>459</v>
      </c>
      <c r="G15" s="844" t="s">
        <v>195</v>
      </c>
      <c r="H15" s="482" t="s">
        <v>142</v>
      </c>
      <c r="I15" s="56" t="s">
        <v>64</v>
      </c>
      <c r="J15" s="56">
        <v>1</v>
      </c>
      <c r="K15" s="55">
        <f>L15*0.75</f>
        <v>14394750</v>
      </c>
      <c r="L15" s="55">
        <f>19193000</f>
        <v>19193000</v>
      </c>
      <c r="M15" s="418">
        <f t="shared" ref="M15:M16" si="3">J15*K15</f>
        <v>14394750</v>
      </c>
      <c r="N15" s="503">
        <v>0</v>
      </c>
      <c r="O15" s="1472">
        <f>L15*J15</f>
        <v>19193000</v>
      </c>
      <c r="P15" s="1473"/>
      <c r="Q15" s="1484" t="s">
        <v>401</v>
      </c>
      <c r="R15" s="1485"/>
      <c r="S15" s="212" t="s">
        <v>653</v>
      </c>
      <c r="T15" s="212"/>
      <c r="X15" s="528">
        <f>2^16</f>
        <v>65536</v>
      </c>
      <c r="Z15" s="528">
        <f>60/X15</f>
        <v>9.1552734375E-4</v>
      </c>
    </row>
    <row r="16" spans="1:33" s="528" customFormat="1" x14ac:dyDescent="0.3">
      <c r="B16" s="62"/>
      <c r="C16" s="63"/>
      <c r="D16" s="63" t="s">
        <v>2</v>
      </c>
      <c r="E16" s="61"/>
      <c r="F16" s="841" t="s">
        <v>460</v>
      </c>
      <c r="G16" s="844" t="s">
        <v>461</v>
      </c>
      <c r="H16" s="482" t="s">
        <v>142</v>
      </c>
      <c r="I16" s="56" t="s">
        <v>64</v>
      </c>
      <c r="J16" s="56">
        <v>1</v>
      </c>
      <c r="K16" s="55">
        <f>L16*0.75</f>
        <v>14008500</v>
      </c>
      <c r="L16" s="55">
        <v>18678000</v>
      </c>
      <c r="M16" s="418">
        <f t="shared" si="3"/>
        <v>14008500</v>
      </c>
      <c r="N16" s="503">
        <v>0</v>
      </c>
      <c r="O16" s="1472">
        <f>L16*J16</f>
        <v>18678000</v>
      </c>
      <c r="P16" s="1473"/>
      <c r="Q16" s="1486"/>
      <c r="R16" s="1487"/>
      <c r="S16" s="212" t="s">
        <v>653</v>
      </c>
      <c r="T16" s="212"/>
      <c r="X16" s="528">
        <f>2^12</f>
        <v>4096</v>
      </c>
      <c r="Z16" s="528">
        <f>60/X16</f>
        <v>1.46484375E-2</v>
      </c>
    </row>
    <row r="17" spans="1:22" ht="16.149999999999999" customHeight="1" thickBot="1" x14ac:dyDescent="0.35">
      <c r="B17" s="581"/>
      <c r="C17" s="184"/>
      <c r="D17" s="184"/>
      <c r="E17" s="582"/>
      <c r="F17" s="842"/>
      <c r="G17" s="976"/>
      <c r="H17" s="985"/>
      <c r="I17" s="155"/>
      <c r="J17" s="184"/>
      <c r="K17" s="199"/>
      <c r="L17" s="55"/>
      <c r="M17" s="164"/>
      <c r="N17" s="158"/>
      <c r="O17" s="643"/>
      <c r="P17" s="644"/>
      <c r="Q17" s="1488"/>
      <c r="R17" s="1489"/>
      <c r="S17" s="470"/>
      <c r="T17" s="470"/>
      <c r="V17" s="82">
        <f>1/1000</f>
        <v>1E-3</v>
      </c>
    </row>
    <row r="18" spans="1:22" s="369" customFormat="1" ht="17.25" thickBot="1" x14ac:dyDescent="0.35">
      <c r="B18" s="587" t="s">
        <v>2</v>
      </c>
      <c r="C18" s="588"/>
      <c r="D18" s="588"/>
      <c r="E18" s="589"/>
      <c r="F18" s="270" t="s">
        <v>266</v>
      </c>
      <c r="G18" s="977"/>
      <c r="H18" s="590"/>
      <c r="I18" s="590"/>
      <c r="J18" s="590"/>
      <c r="K18" s="590"/>
      <c r="L18" s="591"/>
      <c r="M18" s="592"/>
      <c r="N18" s="593"/>
      <c r="O18" s="1324"/>
      <c r="P18" s="1325"/>
      <c r="Q18" s="1326"/>
      <c r="R18" s="1327"/>
      <c r="S18" s="115"/>
      <c r="T18" s="115"/>
    </row>
    <row r="19" spans="1:22" s="84" customFormat="1" x14ac:dyDescent="0.3">
      <c r="B19" s="500"/>
      <c r="C19" s="501" t="s">
        <v>2</v>
      </c>
      <c r="D19" s="144"/>
      <c r="E19" s="145"/>
      <c r="F19" s="846" t="s">
        <v>540</v>
      </c>
      <c r="G19" s="986" t="s">
        <v>278</v>
      </c>
      <c r="H19" s="144" t="s">
        <v>80</v>
      </c>
      <c r="I19" s="144" t="s">
        <v>240</v>
      </c>
      <c r="J19" s="144">
        <v>1</v>
      </c>
      <c r="K19" s="157">
        <f t="shared" ref="K19:K22" si="4">L19*0.95</f>
        <v>2422500</v>
      </c>
      <c r="L19" s="147">
        <v>2550000</v>
      </c>
      <c r="M19" s="163">
        <f>J19*K19</f>
        <v>2422500</v>
      </c>
      <c r="N19" s="148">
        <v>0</v>
      </c>
      <c r="O19" s="1480">
        <f t="shared" ref="O19:O22" si="5">J19*L19/(1-N19)</f>
        <v>2550000</v>
      </c>
      <c r="P19" s="1481"/>
      <c r="Q19" s="1482"/>
      <c r="R19" s="1483"/>
      <c r="S19" s="287" t="s">
        <v>645</v>
      </c>
      <c r="T19" s="287" t="s">
        <v>1136</v>
      </c>
      <c r="U19" s="273"/>
    </row>
    <row r="20" spans="1:22" s="84" customFormat="1" x14ac:dyDescent="0.3">
      <c r="B20" s="498"/>
      <c r="C20" s="499"/>
      <c r="D20" s="499" t="s">
        <v>2</v>
      </c>
      <c r="E20" s="151"/>
      <c r="F20" s="842" t="s">
        <v>538</v>
      </c>
      <c r="G20" s="987" t="s">
        <v>311</v>
      </c>
      <c r="H20" s="155" t="s">
        <v>80</v>
      </c>
      <c r="I20" s="155" t="s">
        <v>430</v>
      </c>
      <c r="J20" s="155">
        <v>1</v>
      </c>
      <c r="K20" s="157">
        <f t="shared" si="4"/>
        <v>2242000</v>
      </c>
      <c r="L20" s="157">
        <v>2360000</v>
      </c>
      <c r="M20" s="164">
        <f t="shared" ref="M20:M22" si="6">J20*K20</f>
        <v>2242000</v>
      </c>
      <c r="N20" s="158">
        <v>0</v>
      </c>
      <c r="O20" s="1328">
        <f t="shared" si="5"/>
        <v>2360000</v>
      </c>
      <c r="P20" s="1329"/>
      <c r="Q20" s="1330" t="s">
        <v>559</v>
      </c>
      <c r="R20" s="1331"/>
      <c r="S20" s="152" t="s">
        <v>646</v>
      </c>
      <c r="T20" s="152" t="s">
        <v>1136</v>
      </c>
      <c r="U20" s="606" t="s">
        <v>552</v>
      </c>
      <c r="V20"/>
    </row>
    <row r="21" spans="1:22" s="84" customFormat="1" x14ac:dyDescent="0.3">
      <c r="B21" s="498"/>
      <c r="C21" s="499"/>
      <c r="D21" s="499" t="s">
        <v>2</v>
      </c>
      <c r="E21" s="151"/>
      <c r="F21" s="842" t="s">
        <v>536</v>
      </c>
      <c r="G21" s="987" t="s">
        <v>316</v>
      </c>
      <c r="H21" s="155" t="s">
        <v>80</v>
      </c>
      <c r="I21" s="155" t="s">
        <v>430</v>
      </c>
      <c r="J21" s="155">
        <v>1</v>
      </c>
      <c r="K21" s="157">
        <f t="shared" si="4"/>
        <v>836000</v>
      </c>
      <c r="L21" s="157">
        <v>880000</v>
      </c>
      <c r="M21" s="164">
        <f t="shared" si="6"/>
        <v>836000</v>
      </c>
      <c r="N21" s="158">
        <v>0</v>
      </c>
      <c r="O21" s="1328">
        <f t="shared" si="5"/>
        <v>880000</v>
      </c>
      <c r="P21" s="1329"/>
      <c r="Q21" s="1330" t="s">
        <v>580</v>
      </c>
      <c r="R21" s="1331"/>
      <c r="S21" s="850" t="s">
        <v>646</v>
      </c>
      <c r="T21" s="1230" t="s">
        <v>1136</v>
      </c>
      <c r="U21" s="82" t="s">
        <v>533</v>
      </c>
      <c r="V21"/>
    </row>
    <row r="22" spans="1:22" s="82" customFormat="1" x14ac:dyDescent="0.3">
      <c r="B22" s="581"/>
      <c r="C22" s="499"/>
      <c r="D22" s="499" t="s">
        <v>2</v>
      </c>
      <c r="E22" s="582"/>
      <c r="F22" s="842" t="s">
        <v>534</v>
      </c>
      <c r="G22" s="987" t="s">
        <v>554</v>
      </c>
      <c r="H22" s="155" t="s">
        <v>80</v>
      </c>
      <c r="I22" s="155" t="s">
        <v>430</v>
      </c>
      <c r="J22" s="184">
        <v>1</v>
      </c>
      <c r="K22" s="55">
        <f t="shared" si="4"/>
        <v>1396500</v>
      </c>
      <c r="L22" s="55">
        <v>1470000</v>
      </c>
      <c r="M22" s="164">
        <f t="shared" si="6"/>
        <v>1396500</v>
      </c>
      <c r="N22" s="158">
        <v>0</v>
      </c>
      <c r="O22" s="1328">
        <f t="shared" si="5"/>
        <v>1470000</v>
      </c>
      <c r="P22" s="1329"/>
      <c r="Q22" s="1330" t="s">
        <v>525</v>
      </c>
      <c r="R22" s="1331"/>
      <c r="S22" s="850" t="s">
        <v>646</v>
      </c>
      <c r="T22" s="1230" t="s">
        <v>1136</v>
      </c>
      <c r="U22" s="625" t="s">
        <v>555</v>
      </c>
    </row>
    <row r="23" spans="1:22" ht="17.25" thickBot="1" x14ac:dyDescent="0.35">
      <c r="B23" s="581"/>
      <c r="C23" s="184"/>
      <c r="D23" s="184"/>
      <c r="E23" s="582"/>
      <c r="F23" s="842"/>
      <c r="G23" s="976"/>
      <c r="H23" s="155"/>
      <c r="I23" s="155"/>
      <c r="J23" s="184"/>
      <c r="K23" s="199"/>
      <c r="L23" s="55"/>
      <c r="M23" s="164"/>
      <c r="N23" s="158"/>
      <c r="O23" s="1498"/>
      <c r="P23" s="1499"/>
      <c r="Q23" s="1496"/>
      <c r="R23" s="1497"/>
      <c r="S23" s="204"/>
      <c r="T23" s="204"/>
    </row>
    <row r="24" spans="1:22" ht="17.25" thickBot="1" x14ac:dyDescent="0.35">
      <c r="B24" s="587" t="s">
        <v>2</v>
      </c>
      <c r="C24" s="588"/>
      <c r="D24" s="588"/>
      <c r="E24" s="589"/>
      <c r="F24" s="270" t="s">
        <v>267</v>
      </c>
      <c r="G24" s="977"/>
      <c r="H24" s="590"/>
      <c r="I24" s="590"/>
      <c r="J24" s="590"/>
      <c r="K24" s="590"/>
      <c r="L24" s="591"/>
      <c r="M24" s="592"/>
      <c r="N24" s="593"/>
      <c r="O24" s="1324"/>
      <c r="P24" s="1325"/>
      <c r="Q24" s="1336"/>
      <c r="R24" s="1337"/>
      <c r="S24" s="115"/>
      <c r="T24" s="115"/>
    </row>
    <row r="25" spans="1:22" x14ac:dyDescent="0.3">
      <c r="B25" s="64"/>
      <c r="C25" s="65" t="s">
        <v>2</v>
      </c>
      <c r="D25" s="80"/>
      <c r="E25" s="66"/>
      <c r="F25" s="847" t="s">
        <v>418</v>
      </c>
      <c r="G25" s="843" t="s">
        <v>60</v>
      </c>
      <c r="H25" s="416" t="s">
        <v>60</v>
      </c>
      <c r="I25" s="80" t="s">
        <v>116</v>
      </c>
      <c r="J25" s="80">
        <v>1</v>
      </c>
      <c r="K25" s="55">
        <v>4000000</v>
      </c>
      <c r="L25" s="55">
        <v>4000000</v>
      </c>
      <c r="M25" s="817">
        <f>J25*K25</f>
        <v>4000000</v>
      </c>
      <c r="N25" s="818">
        <v>0.3</v>
      </c>
      <c r="O25" s="1500">
        <f t="shared" ref="O25:O40" si="7">J25*L25*(1+N25)</f>
        <v>5200000</v>
      </c>
      <c r="P25" s="1501"/>
      <c r="Q25" s="1502"/>
      <c r="R25" s="1503"/>
      <c r="S25" s="287"/>
      <c r="T25" s="287"/>
      <c r="U25" s="413" t="s">
        <v>628</v>
      </c>
      <c r="V25" s="728">
        <f>(2000000+(300000*4))*1.2</f>
        <v>3840000</v>
      </c>
    </row>
    <row r="26" spans="1:22" s="82" customFormat="1" x14ac:dyDescent="0.3">
      <c r="B26" s="62"/>
      <c r="C26" s="63"/>
      <c r="D26" s="56" t="s">
        <v>2</v>
      </c>
      <c r="E26" s="61"/>
      <c r="F26" s="841" t="s">
        <v>245</v>
      </c>
      <c r="G26" s="988" t="s">
        <v>246</v>
      </c>
      <c r="H26" s="56" t="s">
        <v>183</v>
      </c>
      <c r="I26" s="56" t="s">
        <v>725</v>
      </c>
      <c r="J26" s="56">
        <v>1</v>
      </c>
      <c r="K26" s="55">
        <v>200000</v>
      </c>
      <c r="L26" s="55">
        <v>200000</v>
      </c>
      <c r="M26" s="418">
        <f t="shared" ref="M26" si="8">J26*K26</f>
        <v>200000</v>
      </c>
      <c r="N26" s="503">
        <v>0.3</v>
      </c>
      <c r="O26" s="1472">
        <f t="shared" si="7"/>
        <v>260000</v>
      </c>
      <c r="P26" s="1473"/>
      <c r="Q26" s="1474"/>
      <c r="R26" s="1475"/>
      <c r="S26" s="152"/>
      <c r="T26" s="152"/>
      <c r="U26" s="413"/>
      <c r="V26" s="728"/>
    </row>
    <row r="27" spans="1:22" s="82" customFormat="1" x14ac:dyDescent="0.3">
      <c r="B27" s="62"/>
      <c r="C27" s="56"/>
      <c r="D27" s="56" t="s">
        <v>2</v>
      </c>
      <c r="E27" s="61"/>
      <c r="F27" s="841" t="s">
        <v>343</v>
      </c>
      <c r="G27" s="988" t="s">
        <v>334</v>
      </c>
      <c r="H27" s="56" t="s">
        <v>328</v>
      </c>
      <c r="I27" s="56" t="s">
        <v>725</v>
      </c>
      <c r="J27" s="56">
        <v>1</v>
      </c>
      <c r="K27" s="169">
        <v>450000</v>
      </c>
      <c r="L27" s="169">
        <v>500000</v>
      </c>
      <c r="M27" s="418">
        <f>J27*K27</f>
        <v>450000</v>
      </c>
      <c r="N27" s="503">
        <v>0</v>
      </c>
      <c r="O27" s="1472">
        <f t="shared" si="7"/>
        <v>500000</v>
      </c>
      <c r="P27" s="1473"/>
      <c r="Q27" s="1474" t="s">
        <v>522</v>
      </c>
      <c r="R27" s="1475"/>
      <c r="S27" s="204"/>
      <c r="T27" s="152" t="s">
        <v>1125</v>
      </c>
      <c r="U27" s="70"/>
      <c r="V27" s="716"/>
    </row>
    <row r="28" spans="1:22" s="84" customFormat="1" x14ac:dyDescent="0.3">
      <c r="B28" s="496"/>
      <c r="C28" s="416" t="s">
        <v>2</v>
      </c>
      <c r="D28" s="56"/>
      <c r="E28" s="819"/>
      <c r="F28" s="848" t="s">
        <v>268</v>
      </c>
      <c r="G28" s="988" t="s">
        <v>60</v>
      </c>
      <c r="H28" s="416" t="s">
        <v>60</v>
      </c>
      <c r="I28" s="56" t="s">
        <v>725</v>
      </c>
      <c r="J28" s="56">
        <v>1</v>
      </c>
      <c r="K28" s="55">
        <v>1000000</v>
      </c>
      <c r="L28" s="55">
        <v>1000000</v>
      </c>
      <c r="M28" s="418">
        <f>J28*K28</f>
        <v>1000000</v>
      </c>
      <c r="N28" s="503">
        <v>0.3</v>
      </c>
      <c r="O28" s="1472">
        <f t="shared" si="7"/>
        <v>1300000</v>
      </c>
      <c r="P28" s="1473"/>
      <c r="Q28" s="780"/>
      <c r="R28" s="781"/>
      <c r="S28" s="152"/>
      <c r="T28" s="152"/>
      <c r="U28" s="413" t="s">
        <v>630</v>
      </c>
      <c r="V28" s="728">
        <f>(500000+(300000*1))*1.2</f>
        <v>960000</v>
      </c>
    </row>
    <row r="29" spans="1:22" s="413" customFormat="1" x14ac:dyDescent="0.3">
      <c r="A29" s="82"/>
      <c r="B29" s="496"/>
      <c r="C29" s="416"/>
      <c r="D29" s="56" t="s">
        <v>2</v>
      </c>
      <c r="E29" s="819"/>
      <c r="F29" s="848" t="s">
        <v>519</v>
      </c>
      <c r="G29" s="988" t="s">
        <v>520</v>
      </c>
      <c r="H29" s="416" t="s">
        <v>521</v>
      </c>
      <c r="I29" s="56" t="s">
        <v>725</v>
      </c>
      <c r="J29" s="56">
        <v>3</v>
      </c>
      <c r="K29" s="55">
        <v>20000</v>
      </c>
      <c r="L29" s="55">
        <v>20000</v>
      </c>
      <c r="M29" s="418">
        <f t="shared" ref="M29:M31" si="9">J29*K29</f>
        <v>60000</v>
      </c>
      <c r="N29" s="503">
        <v>0.3</v>
      </c>
      <c r="O29" s="1472">
        <f t="shared" si="7"/>
        <v>78000</v>
      </c>
      <c r="P29" s="1473"/>
      <c r="Q29" s="780"/>
      <c r="R29" s="781"/>
      <c r="S29" s="152"/>
      <c r="T29" s="152" t="s">
        <v>1125</v>
      </c>
      <c r="V29" s="728"/>
    </row>
    <row r="30" spans="1:22" s="413" customFormat="1" x14ac:dyDescent="0.3">
      <c r="A30" s="82"/>
      <c r="B30" s="496"/>
      <c r="C30" s="416"/>
      <c r="D30" s="56" t="s">
        <v>2</v>
      </c>
      <c r="E30" s="819"/>
      <c r="F30" s="848" t="s">
        <v>909</v>
      </c>
      <c r="G30" s="988" t="s">
        <v>907</v>
      </c>
      <c r="H30" s="416" t="s">
        <v>518</v>
      </c>
      <c r="I30" s="56" t="s">
        <v>725</v>
      </c>
      <c r="J30" s="56">
        <v>4</v>
      </c>
      <c r="K30" s="55">
        <v>50000</v>
      </c>
      <c r="L30" s="55">
        <v>50000</v>
      </c>
      <c r="M30" s="418">
        <f t="shared" ref="M30" si="10">J30*K30</f>
        <v>200000</v>
      </c>
      <c r="N30" s="503">
        <v>0.3</v>
      </c>
      <c r="O30" s="1472">
        <f t="shared" ref="O30" si="11">J30*L30*(1+N30)</f>
        <v>260000</v>
      </c>
      <c r="P30" s="1473"/>
      <c r="Q30" s="922"/>
      <c r="R30" s="923"/>
      <c r="S30" s="152"/>
      <c r="T30" s="152"/>
      <c r="V30" s="728"/>
    </row>
    <row r="31" spans="1:22" s="413" customFormat="1" x14ac:dyDescent="0.3">
      <c r="A31" s="82"/>
      <c r="B31" s="960"/>
      <c r="C31" s="961"/>
      <c r="D31" s="964" t="s">
        <v>2</v>
      </c>
      <c r="E31" s="962"/>
      <c r="F31" s="993" t="s">
        <v>269</v>
      </c>
      <c r="G31" s="994" t="s">
        <v>270</v>
      </c>
      <c r="H31" s="961" t="s">
        <v>271</v>
      </c>
      <c r="I31" s="964" t="s">
        <v>725</v>
      </c>
      <c r="J31" s="964">
        <v>0</v>
      </c>
      <c r="K31" s="965">
        <v>120000</v>
      </c>
      <c r="L31" s="965">
        <v>120000</v>
      </c>
      <c r="M31" s="966">
        <f t="shared" si="9"/>
        <v>0</v>
      </c>
      <c r="N31" s="967">
        <v>0.3</v>
      </c>
      <c r="O31" s="1443">
        <f t="shared" si="7"/>
        <v>0</v>
      </c>
      <c r="P31" s="1444"/>
      <c r="Q31" s="968"/>
      <c r="R31" s="969"/>
      <c r="S31" s="970" t="s">
        <v>947</v>
      </c>
      <c r="T31" s="970"/>
      <c r="V31" s="728"/>
    </row>
    <row r="32" spans="1:22" s="84" customFormat="1" x14ac:dyDescent="0.3">
      <c r="B32" s="496"/>
      <c r="C32" s="416"/>
      <c r="D32" s="416" t="s">
        <v>2</v>
      </c>
      <c r="E32" s="819"/>
      <c r="F32" s="848" t="s">
        <v>272</v>
      </c>
      <c r="G32" s="988" t="s">
        <v>757</v>
      </c>
      <c r="H32" s="56" t="s">
        <v>626</v>
      </c>
      <c r="I32" s="56" t="s">
        <v>725</v>
      </c>
      <c r="J32" s="56">
        <v>1</v>
      </c>
      <c r="K32" s="55">
        <v>250000</v>
      </c>
      <c r="L32" s="55">
        <v>250000</v>
      </c>
      <c r="M32" s="418">
        <f t="shared" ref="M32" si="12">J32*K32</f>
        <v>250000</v>
      </c>
      <c r="N32" s="503">
        <v>0.3</v>
      </c>
      <c r="O32" s="1472">
        <f t="shared" si="7"/>
        <v>325000</v>
      </c>
      <c r="P32" s="1473"/>
      <c r="Q32" s="1474" t="s">
        <v>572</v>
      </c>
      <c r="R32" s="1475"/>
      <c r="S32" s="152"/>
      <c r="T32" s="152" t="s">
        <v>1123</v>
      </c>
      <c r="U32" s="413"/>
      <c r="V32" s="728"/>
    </row>
    <row r="33" spans="1:22" s="82" customFormat="1" x14ac:dyDescent="0.3">
      <c r="B33" s="496"/>
      <c r="C33" s="416" t="s">
        <v>2</v>
      </c>
      <c r="D33" s="56"/>
      <c r="E33" s="819"/>
      <c r="F33" s="848" t="s">
        <v>419</v>
      </c>
      <c r="G33" s="988" t="s">
        <v>60</v>
      </c>
      <c r="H33" s="416" t="s">
        <v>60</v>
      </c>
      <c r="I33" s="56" t="s">
        <v>725</v>
      </c>
      <c r="J33" s="56">
        <v>1</v>
      </c>
      <c r="K33" s="55">
        <v>3500000</v>
      </c>
      <c r="L33" s="55">
        <v>3500000</v>
      </c>
      <c r="M33" s="418">
        <f t="shared" ref="M33:M39" si="13">J33*K33</f>
        <v>3500000</v>
      </c>
      <c r="N33" s="503">
        <v>0.3</v>
      </c>
      <c r="O33" s="1472">
        <f>J33*L33*(1+N33)</f>
        <v>4550000</v>
      </c>
      <c r="P33" s="1473"/>
      <c r="Q33" s="780"/>
      <c r="R33" s="781"/>
      <c r="S33" s="152"/>
      <c r="T33" s="152"/>
      <c r="U33" s="413" t="s">
        <v>629</v>
      </c>
      <c r="V33" s="728">
        <f>(2000000+(300000*3))*1.2</f>
        <v>3480000</v>
      </c>
    </row>
    <row r="34" spans="1:22" s="84" customFormat="1" x14ac:dyDescent="0.3">
      <c r="B34" s="496"/>
      <c r="C34" s="416" t="s">
        <v>2</v>
      </c>
      <c r="D34" s="416"/>
      <c r="E34" s="819"/>
      <c r="F34" s="841" t="s">
        <v>247</v>
      </c>
      <c r="G34" s="988" t="s">
        <v>732</v>
      </c>
      <c r="H34" s="56" t="s">
        <v>756</v>
      </c>
      <c r="I34" s="56" t="s">
        <v>249</v>
      </c>
      <c r="J34" s="56">
        <v>1</v>
      </c>
      <c r="K34" s="55">
        <v>530000</v>
      </c>
      <c r="L34" s="55">
        <v>530000</v>
      </c>
      <c r="M34" s="418">
        <f t="shared" si="13"/>
        <v>530000</v>
      </c>
      <c r="N34" s="503">
        <v>0.3</v>
      </c>
      <c r="O34" s="1472">
        <f>J34*L34*(1+N34)</f>
        <v>689000</v>
      </c>
      <c r="P34" s="1473"/>
      <c r="Q34" s="780"/>
      <c r="R34" s="781"/>
      <c r="S34" s="152" t="s">
        <v>734</v>
      </c>
      <c r="T34" s="152" t="s">
        <v>1124</v>
      </c>
      <c r="U34" s="413"/>
      <c r="V34" s="728"/>
    </row>
    <row r="35" spans="1:22" s="84" customFormat="1" x14ac:dyDescent="0.3">
      <c r="B35" s="496"/>
      <c r="C35" s="416" t="s">
        <v>2</v>
      </c>
      <c r="D35" s="416"/>
      <c r="E35" s="819"/>
      <c r="F35" s="841" t="s">
        <v>727</v>
      </c>
      <c r="G35" s="988" t="s">
        <v>758</v>
      </c>
      <c r="H35" s="56" t="s">
        <v>726</v>
      </c>
      <c r="I35" s="56" t="s">
        <v>251</v>
      </c>
      <c r="J35" s="56">
        <v>1</v>
      </c>
      <c r="K35" s="55">
        <v>140000</v>
      </c>
      <c r="L35" s="55">
        <v>200000</v>
      </c>
      <c r="M35" s="418">
        <f t="shared" si="13"/>
        <v>140000</v>
      </c>
      <c r="N35" s="503">
        <v>0.3</v>
      </c>
      <c r="O35" s="1472">
        <f>J35*L35*(1+N35)</f>
        <v>260000</v>
      </c>
      <c r="P35" s="1473"/>
      <c r="Q35" s="1474"/>
      <c r="R35" s="1475"/>
      <c r="S35" s="152" t="s">
        <v>1130</v>
      </c>
      <c r="T35" s="152"/>
      <c r="U35" s="413"/>
      <c r="V35" s="728"/>
    </row>
    <row r="36" spans="1:22" s="82" customFormat="1" x14ac:dyDescent="0.3">
      <c r="B36" s="496"/>
      <c r="C36" s="416" t="s">
        <v>2</v>
      </c>
      <c r="D36" s="416"/>
      <c r="E36" s="819"/>
      <c r="F36" s="841" t="s">
        <v>252</v>
      </c>
      <c r="G36" s="988" t="s">
        <v>729</v>
      </c>
      <c r="H36" s="56" t="s">
        <v>254</v>
      </c>
      <c r="I36" s="56" t="s">
        <v>254</v>
      </c>
      <c r="J36" s="56">
        <v>1</v>
      </c>
      <c r="K36" s="55">
        <v>2630000</v>
      </c>
      <c r="L36" s="55">
        <v>3000000</v>
      </c>
      <c r="M36" s="418">
        <f t="shared" si="13"/>
        <v>2630000</v>
      </c>
      <c r="N36" s="503">
        <v>0.3</v>
      </c>
      <c r="O36" s="1472">
        <f>J36*L36*(1+N36)</f>
        <v>3900000</v>
      </c>
      <c r="P36" s="1473"/>
      <c r="Q36" s="780"/>
      <c r="R36" s="781"/>
      <c r="S36" s="289" t="s">
        <v>760</v>
      </c>
      <c r="T36" s="152" t="s">
        <v>1124</v>
      </c>
      <c r="U36" s="413"/>
      <c r="V36" s="728"/>
    </row>
    <row r="37" spans="1:22" s="82" customFormat="1" x14ac:dyDescent="0.3">
      <c r="B37" s="496"/>
      <c r="C37" s="416" t="s">
        <v>2</v>
      </c>
      <c r="D37" s="416"/>
      <c r="E37" s="819"/>
      <c r="F37" s="849" t="s">
        <v>355</v>
      </c>
      <c r="G37" s="991" t="s">
        <v>1058</v>
      </c>
      <c r="H37" s="56" t="s">
        <v>636</v>
      </c>
      <c r="I37" s="56" t="s">
        <v>636</v>
      </c>
      <c r="J37" s="56">
        <v>1</v>
      </c>
      <c r="K37" s="55">
        <v>7500</v>
      </c>
      <c r="L37" s="55">
        <v>70000</v>
      </c>
      <c r="M37" s="418">
        <f t="shared" si="13"/>
        <v>7500</v>
      </c>
      <c r="N37" s="503">
        <v>0.3</v>
      </c>
      <c r="O37" s="1472">
        <f t="shared" si="7"/>
        <v>91000</v>
      </c>
      <c r="P37" s="1473"/>
      <c r="Q37" s="1474" t="s">
        <v>571</v>
      </c>
      <c r="R37" s="1475"/>
      <c r="S37" s="1469" t="s">
        <v>733</v>
      </c>
      <c r="T37" s="1469"/>
      <c r="U37" s="413"/>
      <c r="V37" s="728"/>
    </row>
    <row r="38" spans="1:22" s="82" customFormat="1" x14ac:dyDescent="0.3">
      <c r="B38" s="496"/>
      <c r="C38" s="416"/>
      <c r="D38" s="416" t="s">
        <v>2</v>
      </c>
      <c r="E38" s="819"/>
      <c r="F38" s="848" t="s">
        <v>354</v>
      </c>
      <c r="G38" s="991" t="s">
        <v>1029</v>
      </c>
      <c r="H38" s="56" t="s">
        <v>636</v>
      </c>
      <c r="I38" s="56" t="s">
        <v>636</v>
      </c>
      <c r="J38" s="56">
        <v>1</v>
      </c>
      <c r="K38" s="55">
        <v>7500</v>
      </c>
      <c r="L38" s="55">
        <v>70000</v>
      </c>
      <c r="M38" s="418">
        <f t="shared" si="13"/>
        <v>7500</v>
      </c>
      <c r="N38" s="503">
        <v>0.3</v>
      </c>
      <c r="O38" s="1472">
        <f t="shared" si="7"/>
        <v>91000</v>
      </c>
      <c r="P38" s="1473"/>
      <c r="Q38" s="1474" t="s">
        <v>561</v>
      </c>
      <c r="R38" s="1475"/>
      <c r="S38" s="1470"/>
      <c r="T38" s="1470"/>
      <c r="U38" s="413"/>
      <c r="V38" s="728"/>
    </row>
    <row r="39" spans="1:22" s="82" customFormat="1" x14ac:dyDescent="0.3">
      <c r="B39" s="496"/>
      <c r="C39" s="416"/>
      <c r="D39" s="416" t="s">
        <v>2</v>
      </c>
      <c r="E39" s="819"/>
      <c r="F39" s="848" t="s">
        <v>357</v>
      </c>
      <c r="G39" s="991" t="s">
        <v>1058</v>
      </c>
      <c r="H39" s="56" t="s">
        <v>636</v>
      </c>
      <c r="I39" s="56" t="s">
        <v>636</v>
      </c>
      <c r="J39" s="56">
        <v>1</v>
      </c>
      <c r="K39" s="55">
        <v>7500</v>
      </c>
      <c r="L39" s="55">
        <v>70000</v>
      </c>
      <c r="M39" s="418">
        <f t="shared" si="13"/>
        <v>7500</v>
      </c>
      <c r="N39" s="503">
        <v>0.3</v>
      </c>
      <c r="O39" s="1472">
        <f t="shared" si="7"/>
        <v>91000</v>
      </c>
      <c r="P39" s="1473"/>
      <c r="Q39" s="1474" t="s">
        <v>361</v>
      </c>
      <c r="R39" s="1475"/>
      <c r="S39" s="1470"/>
      <c r="T39" s="1470"/>
      <c r="U39" s="413"/>
      <c r="V39" s="728"/>
    </row>
    <row r="40" spans="1:22" s="413" customFormat="1" ht="17.25" thickBot="1" x14ac:dyDescent="0.35">
      <c r="A40" s="82"/>
      <c r="B40" s="496"/>
      <c r="C40" s="416"/>
      <c r="D40" s="416" t="s">
        <v>2</v>
      </c>
      <c r="E40" s="819"/>
      <c r="F40" s="848" t="s">
        <v>587</v>
      </c>
      <c r="G40" s="989" t="s">
        <v>728</v>
      </c>
      <c r="H40" s="56" t="s">
        <v>636</v>
      </c>
      <c r="I40" s="56" t="s">
        <v>636</v>
      </c>
      <c r="J40" s="56">
        <v>1</v>
      </c>
      <c r="K40" s="55">
        <v>21000</v>
      </c>
      <c r="L40" s="55">
        <v>20000</v>
      </c>
      <c r="M40" s="55">
        <f t="shared" ref="M40" si="14">J40*K40</f>
        <v>21000</v>
      </c>
      <c r="N40" s="503">
        <v>0.3</v>
      </c>
      <c r="O40" s="1472">
        <f t="shared" si="7"/>
        <v>26000</v>
      </c>
      <c r="P40" s="1473"/>
      <c r="Q40" s="1474" t="s">
        <v>589</v>
      </c>
      <c r="R40" s="1475"/>
      <c r="S40" s="1471"/>
      <c r="T40" s="1471"/>
      <c r="V40" s="728"/>
    </row>
    <row r="41" spans="1:22" s="82" customFormat="1" ht="17.25" thickBot="1" x14ac:dyDescent="0.35">
      <c r="B41" s="122" t="s">
        <v>2</v>
      </c>
      <c r="C41" s="116"/>
      <c r="D41" s="116"/>
      <c r="E41" s="117"/>
      <c r="F41" s="118" t="s">
        <v>321</v>
      </c>
      <c r="G41" s="974"/>
      <c r="H41" s="119"/>
      <c r="I41" s="119"/>
      <c r="J41" s="119"/>
      <c r="K41" s="119"/>
      <c r="L41" s="120"/>
      <c r="M41" s="121"/>
      <c r="N41" s="135"/>
      <c r="O41" s="1447"/>
      <c r="P41" s="1448"/>
      <c r="Q41" s="1326"/>
      <c r="R41" s="1327"/>
      <c r="S41" s="115"/>
      <c r="T41" s="115"/>
    </row>
    <row r="42" spans="1:22" s="84" customFormat="1" x14ac:dyDescent="0.3">
      <c r="B42" s="834"/>
      <c r="C42" s="684" t="s">
        <v>73</v>
      </c>
      <c r="D42" s="679"/>
      <c r="E42" s="690"/>
      <c r="F42" s="691" t="s">
        <v>902</v>
      </c>
      <c r="G42" s="978" t="s">
        <v>94</v>
      </c>
      <c r="H42" s="692" t="s">
        <v>130</v>
      </c>
      <c r="I42" s="835" t="s">
        <v>900</v>
      </c>
      <c r="J42" s="836">
        <v>1</v>
      </c>
      <c r="K42" s="55">
        <v>19000000</v>
      </c>
      <c r="L42" s="55">
        <v>19000000</v>
      </c>
      <c r="M42" s="827">
        <f t="shared" ref="M42" si="15">J42*K42</f>
        <v>19000000</v>
      </c>
      <c r="N42" s="503">
        <v>0</v>
      </c>
      <c r="O42" s="1472">
        <f t="shared" ref="O42" si="16">J42*L42*(1+N42)</f>
        <v>19000000</v>
      </c>
      <c r="P42" s="1473"/>
      <c r="Q42" s="837"/>
      <c r="R42" s="838"/>
      <c r="S42" s="839"/>
      <c r="T42" s="839"/>
    </row>
    <row r="43" spans="1:22" s="82" customFormat="1" ht="17.25" thickBot="1" x14ac:dyDescent="0.35">
      <c r="B43" s="365"/>
      <c r="C43" s="366"/>
      <c r="D43" s="366"/>
      <c r="E43" s="367"/>
      <c r="F43" s="842"/>
      <c r="G43" s="976"/>
      <c r="H43" s="155"/>
      <c r="I43" s="155"/>
      <c r="J43" s="186"/>
      <c r="K43" s="199"/>
      <c r="L43" s="55"/>
      <c r="M43" s="164"/>
      <c r="N43" s="158"/>
      <c r="O43" s="774"/>
      <c r="P43" s="775"/>
      <c r="Q43" s="776"/>
      <c r="R43" s="777"/>
      <c r="S43" s="204"/>
      <c r="T43" s="204"/>
    </row>
    <row r="44" spans="1:22" s="82" customFormat="1" ht="18" thickBot="1" x14ac:dyDescent="0.35">
      <c r="B44" s="1338" t="s">
        <v>53</v>
      </c>
      <c r="C44" s="1339"/>
      <c r="D44" s="1339"/>
      <c r="E44" s="1339"/>
      <c r="F44" s="1339"/>
      <c r="G44" s="1339"/>
      <c r="H44" s="1339"/>
      <c r="I44" s="1339"/>
      <c r="J44" s="1339"/>
      <c r="K44" s="1339"/>
      <c r="L44" s="1340"/>
      <c r="M44" s="123">
        <f>SUM(M5:M43)</f>
        <v>99891981.832000002</v>
      </c>
      <c r="N44" s="136"/>
      <c r="O44" s="1341">
        <f>SUM(O5:P43)</f>
        <v>138682000</v>
      </c>
      <c r="P44" s="1342"/>
      <c r="Q44" s="1343"/>
      <c r="R44" s="1344"/>
      <c r="S44" s="130"/>
      <c r="T44" s="130"/>
    </row>
    <row r="45" spans="1:22" s="82" customFormat="1" ht="17.25" thickBot="1" x14ac:dyDescent="0.35">
      <c r="B45" s="122" t="s">
        <v>2</v>
      </c>
      <c r="C45" s="116"/>
      <c r="D45" s="116"/>
      <c r="E45" s="117"/>
      <c r="F45" s="118" t="s">
        <v>940</v>
      </c>
      <c r="G45" s="974"/>
      <c r="H45" s="119"/>
      <c r="I45" s="119"/>
      <c r="J45" s="119"/>
      <c r="K45" s="119"/>
      <c r="L45" s="120"/>
      <c r="M45" s="121"/>
      <c r="N45" s="135"/>
      <c r="O45" s="1447"/>
      <c r="P45" s="1448"/>
      <c r="Q45" s="1326"/>
      <c r="R45" s="1327"/>
      <c r="S45" s="115"/>
      <c r="T45" s="115"/>
    </row>
    <row r="46" spans="1:22" s="82" customFormat="1" x14ac:dyDescent="0.3">
      <c r="B46" s="64"/>
      <c r="C46" s="65" t="s">
        <v>73</v>
      </c>
      <c r="D46" s="80"/>
      <c r="E46" s="698"/>
      <c r="F46" s="699" t="s">
        <v>319</v>
      </c>
      <c r="G46" s="979" t="s">
        <v>94</v>
      </c>
      <c r="H46" s="700" t="s">
        <v>130</v>
      </c>
      <c r="I46" s="700" t="s">
        <v>131</v>
      </c>
      <c r="J46" s="701">
        <v>10</v>
      </c>
      <c r="K46" s="55">
        <v>307000</v>
      </c>
      <c r="L46" s="55">
        <v>307000</v>
      </c>
      <c r="M46" s="702">
        <f t="shared" ref="M46:M47" si="17">J46*K46</f>
        <v>3070000</v>
      </c>
      <c r="N46" s="148"/>
      <c r="O46" s="1328">
        <f t="shared" ref="O46:O47" si="18">L46*J46</f>
        <v>3070000</v>
      </c>
      <c r="P46" s="1329"/>
      <c r="Q46" s="1492"/>
      <c r="R46" s="1493"/>
      <c r="S46" s="207"/>
      <c r="T46" s="207"/>
    </row>
    <row r="47" spans="1:22" s="84" customFormat="1" x14ac:dyDescent="0.3">
      <c r="B47" s="62"/>
      <c r="C47" s="63" t="s">
        <v>73</v>
      </c>
      <c r="D47" s="56"/>
      <c r="E47" s="823"/>
      <c r="F47" s="824" t="s">
        <v>320</v>
      </c>
      <c r="G47" s="980" t="s">
        <v>94</v>
      </c>
      <c r="H47" s="825" t="s">
        <v>130</v>
      </c>
      <c r="I47" s="825" t="s">
        <v>40</v>
      </c>
      <c r="J47" s="826">
        <v>35</v>
      </c>
      <c r="K47" s="55">
        <v>307000</v>
      </c>
      <c r="L47" s="55">
        <v>307000</v>
      </c>
      <c r="M47" s="827">
        <f t="shared" si="17"/>
        <v>10745000</v>
      </c>
      <c r="N47" s="158"/>
      <c r="O47" s="1328">
        <f t="shared" si="18"/>
        <v>10745000</v>
      </c>
      <c r="P47" s="1329"/>
      <c r="Q47" s="1494"/>
      <c r="R47" s="1495"/>
      <c r="S47" s="212"/>
      <c r="T47" s="212"/>
    </row>
    <row r="48" spans="1:22" s="84" customFormat="1" ht="17.25" thickBot="1" x14ac:dyDescent="0.35">
      <c r="B48" s="57"/>
      <c r="C48" s="58"/>
      <c r="D48" s="59"/>
      <c r="E48" s="828"/>
      <c r="F48" s="829"/>
      <c r="G48" s="981"/>
      <c r="H48" s="830"/>
      <c r="I48" s="830"/>
      <c r="J48" s="831"/>
      <c r="K48" s="832"/>
      <c r="L48" s="832"/>
      <c r="M48" s="833"/>
      <c r="N48" s="162"/>
      <c r="O48" s="1328">
        <f t="shared" ref="O48" si="19">L48</f>
        <v>0</v>
      </c>
      <c r="P48" s="1329"/>
      <c r="Q48" s="1453"/>
      <c r="R48" s="1454"/>
      <c r="S48" s="217"/>
      <c r="T48" s="217"/>
    </row>
    <row r="49" spans="2:20" s="84" customFormat="1" ht="17.25" thickBot="1" x14ac:dyDescent="0.35">
      <c r="B49" s="122" t="s">
        <v>2</v>
      </c>
      <c r="C49" s="116"/>
      <c r="D49" s="116"/>
      <c r="E49" s="117"/>
      <c r="F49" s="218" t="s">
        <v>941</v>
      </c>
      <c r="G49" s="982"/>
      <c r="H49" s="219"/>
      <c r="I49" s="219"/>
      <c r="J49" s="219"/>
      <c r="K49" s="220"/>
      <c r="L49" s="220"/>
      <c r="M49" s="221"/>
      <c r="N49" s="135"/>
      <c r="O49" s="1447"/>
      <c r="P49" s="1448"/>
      <c r="Q49" s="1447"/>
      <c r="R49" s="1448"/>
      <c r="S49" s="115"/>
      <c r="T49" s="115"/>
    </row>
    <row r="50" spans="2:20" s="84" customFormat="1" x14ac:dyDescent="0.3">
      <c r="B50" s="64"/>
      <c r="C50" s="65" t="s">
        <v>2</v>
      </c>
      <c r="D50" s="65"/>
      <c r="E50" s="66"/>
      <c r="F50" s="88" t="s">
        <v>7</v>
      </c>
      <c r="G50" s="975"/>
      <c r="H50" s="223" t="s">
        <v>130</v>
      </c>
      <c r="I50" s="223" t="s">
        <v>131</v>
      </c>
      <c r="J50" s="80">
        <v>5</v>
      </c>
      <c r="K50" s="55">
        <v>307000</v>
      </c>
      <c r="L50" s="55">
        <v>307000</v>
      </c>
      <c r="M50" s="112">
        <f>K50*J50</f>
        <v>1535000</v>
      </c>
      <c r="N50" s="137"/>
      <c r="O50" s="1365">
        <f t="shared" ref="O50:O56" si="20">L50*J50</f>
        <v>1535000</v>
      </c>
      <c r="P50" s="1366"/>
      <c r="Q50" s="1359" t="s">
        <v>62</v>
      </c>
      <c r="R50" s="1360"/>
      <c r="S50" s="94"/>
      <c r="T50" s="94"/>
    </row>
    <row r="51" spans="2:20" s="84" customFormat="1" x14ac:dyDescent="0.3">
      <c r="B51" s="62"/>
      <c r="C51" s="63" t="s">
        <v>2</v>
      </c>
      <c r="D51" s="63"/>
      <c r="E51" s="61"/>
      <c r="F51" s="89" t="s">
        <v>11</v>
      </c>
      <c r="G51" s="821"/>
      <c r="H51" s="223" t="s">
        <v>130</v>
      </c>
      <c r="I51" s="223" t="s">
        <v>131</v>
      </c>
      <c r="J51" s="56">
        <v>3</v>
      </c>
      <c r="K51" s="55">
        <v>307000</v>
      </c>
      <c r="L51" s="55">
        <v>307000</v>
      </c>
      <c r="M51" s="113">
        <f t="shared" ref="M51:M56" si="21">K51*J51</f>
        <v>921000</v>
      </c>
      <c r="N51" s="138"/>
      <c r="O51" s="1365">
        <f t="shared" si="20"/>
        <v>921000</v>
      </c>
      <c r="P51" s="1366"/>
      <c r="Q51" s="1361"/>
      <c r="R51" s="1362"/>
      <c r="S51" s="95"/>
      <c r="T51" s="95"/>
    </row>
    <row r="52" spans="2:20" s="84" customFormat="1" x14ac:dyDescent="0.3">
      <c r="B52" s="62"/>
      <c r="C52" s="63" t="s">
        <v>2</v>
      </c>
      <c r="D52" s="63"/>
      <c r="E52" s="61"/>
      <c r="F52" s="89" t="s">
        <v>41</v>
      </c>
      <c r="G52" s="821"/>
      <c r="H52" s="223" t="s">
        <v>130</v>
      </c>
      <c r="I52" s="223" t="s">
        <v>131</v>
      </c>
      <c r="J52" s="56">
        <v>5</v>
      </c>
      <c r="K52" s="55">
        <v>307000</v>
      </c>
      <c r="L52" s="55">
        <v>307000</v>
      </c>
      <c r="M52" s="113">
        <f t="shared" si="21"/>
        <v>1535000</v>
      </c>
      <c r="N52" s="138"/>
      <c r="O52" s="1365">
        <f t="shared" si="20"/>
        <v>1535000</v>
      </c>
      <c r="P52" s="1366"/>
      <c r="Q52" s="1361"/>
      <c r="R52" s="1362"/>
      <c r="S52" s="95"/>
      <c r="T52" s="95"/>
    </row>
    <row r="53" spans="2:20" x14ac:dyDescent="0.3">
      <c r="B53" s="62"/>
      <c r="C53" s="63" t="s">
        <v>2</v>
      </c>
      <c r="D53" s="63"/>
      <c r="E53" s="61"/>
      <c r="F53" s="89" t="s">
        <v>10</v>
      </c>
      <c r="G53" s="821"/>
      <c r="H53" s="223" t="s">
        <v>130</v>
      </c>
      <c r="I53" s="223" t="s">
        <v>131</v>
      </c>
      <c r="J53" s="56">
        <v>3</v>
      </c>
      <c r="K53" s="55">
        <v>307000</v>
      </c>
      <c r="L53" s="55">
        <v>307000</v>
      </c>
      <c r="M53" s="113">
        <f t="shared" si="21"/>
        <v>921000</v>
      </c>
      <c r="N53" s="138"/>
      <c r="O53" s="1365">
        <f t="shared" si="20"/>
        <v>921000</v>
      </c>
      <c r="P53" s="1366"/>
      <c r="Q53" s="1361"/>
      <c r="R53" s="1362"/>
      <c r="S53" s="95"/>
      <c r="T53" s="95"/>
    </row>
    <row r="54" spans="2:20" x14ac:dyDescent="0.3">
      <c r="B54" s="62"/>
      <c r="C54" s="63" t="s">
        <v>2</v>
      </c>
      <c r="D54" s="63"/>
      <c r="E54" s="61"/>
      <c r="F54" s="89" t="s">
        <v>61</v>
      </c>
      <c r="G54" s="821"/>
      <c r="H54" s="223" t="s">
        <v>130</v>
      </c>
      <c r="I54" s="223" t="s">
        <v>131</v>
      </c>
      <c r="J54" s="56">
        <v>2</v>
      </c>
      <c r="K54" s="55">
        <v>307000</v>
      </c>
      <c r="L54" s="55">
        <v>307000</v>
      </c>
      <c r="M54" s="113">
        <f t="shared" si="21"/>
        <v>614000</v>
      </c>
      <c r="N54" s="138"/>
      <c r="O54" s="1365">
        <f t="shared" si="20"/>
        <v>614000</v>
      </c>
      <c r="P54" s="1366"/>
      <c r="Q54" s="1361"/>
      <c r="R54" s="1362"/>
      <c r="S54" s="95"/>
      <c r="T54" s="95"/>
    </row>
    <row r="55" spans="2:20" x14ac:dyDescent="0.3">
      <c r="B55" s="67"/>
      <c r="C55" s="63" t="s">
        <v>2</v>
      </c>
      <c r="D55" s="68"/>
      <c r="E55" s="69"/>
      <c r="F55" s="90" t="s">
        <v>9</v>
      </c>
      <c r="G55" s="821"/>
      <c r="H55" s="223" t="s">
        <v>130</v>
      </c>
      <c r="I55" s="223" t="s">
        <v>131</v>
      </c>
      <c r="J55" s="56">
        <v>5</v>
      </c>
      <c r="K55" s="55">
        <v>307000</v>
      </c>
      <c r="L55" s="55">
        <v>307000</v>
      </c>
      <c r="M55" s="113">
        <f t="shared" si="21"/>
        <v>1535000</v>
      </c>
      <c r="N55" s="138"/>
      <c r="O55" s="1365">
        <f t="shared" si="20"/>
        <v>1535000</v>
      </c>
      <c r="P55" s="1366"/>
      <c r="Q55" s="1361"/>
      <c r="R55" s="1362"/>
      <c r="S55" s="95"/>
      <c r="T55" s="95"/>
    </row>
    <row r="56" spans="2:20" ht="17.25" thickBot="1" x14ac:dyDescent="0.35">
      <c r="B56" s="57"/>
      <c r="C56" s="58" t="s">
        <v>2</v>
      </c>
      <c r="D56" s="58"/>
      <c r="E56" s="60"/>
      <c r="F56" s="91" t="s">
        <v>8</v>
      </c>
      <c r="G56" s="983"/>
      <c r="H56" s="223" t="s">
        <v>130</v>
      </c>
      <c r="I56" s="223" t="s">
        <v>131</v>
      </c>
      <c r="J56" s="59">
        <v>2</v>
      </c>
      <c r="K56" s="55">
        <v>307000</v>
      </c>
      <c r="L56" s="55">
        <v>307000</v>
      </c>
      <c r="M56" s="114">
        <f t="shared" si="21"/>
        <v>614000</v>
      </c>
      <c r="N56" s="139"/>
      <c r="O56" s="1365">
        <f t="shared" si="20"/>
        <v>614000</v>
      </c>
      <c r="P56" s="1366"/>
      <c r="Q56" s="1363"/>
      <c r="R56" s="1364"/>
      <c r="S56" s="96"/>
      <c r="T56" s="96"/>
    </row>
    <row r="57" spans="2:20" ht="18" thickBot="1" x14ac:dyDescent="0.35">
      <c r="B57" s="1345" t="s">
        <v>46</v>
      </c>
      <c r="C57" s="1346"/>
      <c r="D57" s="1346"/>
      <c r="E57" s="1346"/>
      <c r="F57" s="1346"/>
      <c r="G57" s="1346"/>
      <c r="H57" s="1346"/>
      <c r="I57" s="1346"/>
      <c r="J57" s="1346"/>
      <c r="K57" s="1346"/>
      <c r="L57" s="1347"/>
      <c r="M57" s="124">
        <f>SUM(M45:M56)</f>
        <v>21490000</v>
      </c>
      <c r="N57" s="140"/>
      <c r="O57" s="1348">
        <f>SUM(O45:P56)</f>
        <v>21490000</v>
      </c>
      <c r="P57" s="1349"/>
      <c r="Q57" s="1350"/>
      <c r="R57" s="1350"/>
      <c r="S57" s="1351"/>
      <c r="T57" s="1248"/>
    </row>
    <row r="58" spans="2:20" ht="20.25" thickBot="1" x14ac:dyDescent="0.35">
      <c r="B58" s="1352" t="s">
        <v>52</v>
      </c>
      <c r="C58" s="1353"/>
      <c r="D58" s="1353"/>
      <c r="E58" s="1353"/>
      <c r="F58" s="1353"/>
      <c r="G58" s="1353"/>
      <c r="H58" s="1353"/>
      <c r="I58" s="1353"/>
      <c r="J58" s="1353"/>
      <c r="K58" s="1353"/>
      <c r="L58" s="1353"/>
      <c r="M58" s="125"/>
      <c r="N58" s="134">
        <v>0.03</v>
      </c>
      <c r="O58" s="1354">
        <f>ROUNDDOWN(O44*N58,-3)</f>
        <v>4160000</v>
      </c>
      <c r="P58" s="1355"/>
      <c r="Q58" s="1356"/>
      <c r="R58" s="1357"/>
      <c r="S58" s="1358"/>
      <c r="T58" s="1249"/>
    </row>
    <row r="59" spans="2:20" ht="20.25" thickBot="1" x14ac:dyDescent="0.35">
      <c r="B59" s="1352" t="s">
        <v>54</v>
      </c>
      <c r="C59" s="1353"/>
      <c r="D59" s="1353"/>
      <c r="E59" s="1353"/>
      <c r="F59" s="1353"/>
      <c r="G59" s="1353"/>
      <c r="H59" s="1353"/>
      <c r="I59" s="1353"/>
      <c r="J59" s="1353"/>
      <c r="K59" s="1353"/>
      <c r="L59" s="1353"/>
      <c r="M59" s="127"/>
      <c r="N59" s="128"/>
      <c r="O59" s="1354">
        <f>SUM(O58,O57,O44)</f>
        <v>164332000</v>
      </c>
      <c r="P59" s="1355"/>
      <c r="Q59" s="1374"/>
      <c r="R59" s="1375"/>
      <c r="S59" s="1376"/>
      <c r="T59" s="1250"/>
    </row>
    <row r="60" spans="2:20" ht="20.25" thickBot="1" x14ac:dyDescent="0.35">
      <c r="B60" s="1352" t="s">
        <v>51</v>
      </c>
      <c r="C60" s="1353"/>
      <c r="D60" s="1353"/>
      <c r="E60" s="1353"/>
      <c r="F60" s="1353"/>
      <c r="G60" s="1353"/>
      <c r="H60" s="1353"/>
      <c r="I60" s="1353"/>
      <c r="J60" s="1353"/>
      <c r="K60" s="1353"/>
      <c r="L60" s="1353"/>
      <c r="M60" s="129"/>
      <c r="N60" s="126">
        <v>0.1</v>
      </c>
      <c r="O60" s="1381">
        <f>ROUNDDOWN(O59*N60,-3)</f>
        <v>16433000</v>
      </c>
      <c r="P60" s="1382"/>
      <c r="Q60" s="1383"/>
      <c r="R60" s="1384"/>
      <c r="S60" s="1385"/>
      <c r="T60" s="1250"/>
    </row>
    <row r="61" spans="2:20" ht="21" thickBot="1" x14ac:dyDescent="0.35">
      <c r="B61" s="1367" t="s">
        <v>44</v>
      </c>
      <c r="C61" s="1368"/>
      <c r="D61" s="1368"/>
      <c r="E61" s="1368"/>
      <c r="F61" s="1368"/>
      <c r="G61" s="1368"/>
      <c r="H61" s="1368"/>
      <c r="I61" s="1368"/>
      <c r="J61" s="1368"/>
      <c r="K61" s="1368"/>
      <c r="L61" s="1368"/>
      <c r="M61" s="92"/>
      <c r="N61" s="111"/>
      <c r="O61" s="1369">
        <f>ROUNDDOWN(SUM(O59:P60), -6)</f>
        <v>180000000</v>
      </c>
      <c r="P61" s="1370"/>
      <c r="Q61" s="1371"/>
      <c r="R61" s="1372"/>
      <c r="S61" s="1373"/>
      <c r="T61" s="1251"/>
    </row>
    <row r="62" spans="2:20" ht="21" thickBot="1" x14ac:dyDescent="0.35">
      <c r="B62" s="104"/>
      <c r="C62" s="104"/>
      <c r="D62" s="104"/>
      <c r="E62" s="104"/>
      <c r="F62" s="105"/>
      <c r="G62" s="984"/>
      <c r="H62" s="105"/>
      <c r="I62" s="105"/>
      <c r="J62" s="105"/>
      <c r="K62" s="105"/>
      <c r="L62" s="105"/>
      <c r="M62" s="106"/>
      <c r="N62" s="107"/>
      <c r="O62" s="107"/>
      <c r="P62" s="107"/>
      <c r="Q62" s="108"/>
      <c r="R62" s="108"/>
      <c r="S62" s="108"/>
      <c r="T62" s="108"/>
    </row>
    <row r="63" spans="2:20" ht="18" thickBot="1" x14ac:dyDescent="0.35">
      <c r="B63" s="1374" t="s">
        <v>50</v>
      </c>
      <c r="C63" s="1375"/>
      <c r="D63" s="1375"/>
      <c r="E63" s="1376"/>
      <c r="F63" s="109"/>
      <c r="G63" s="771"/>
      <c r="H63" s="109"/>
      <c r="I63" s="109"/>
      <c r="J63" s="109"/>
      <c r="K63" s="110"/>
      <c r="L63" s="110"/>
      <c r="M63" s="110"/>
      <c r="N63" s="77" t="s">
        <v>14</v>
      </c>
      <c r="O63" s="1377" t="s">
        <v>15</v>
      </c>
      <c r="P63" s="1378"/>
      <c r="Q63" s="1379" t="s">
        <v>17</v>
      </c>
      <c r="R63" s="1380"/>
      <c r="S63" s="166" t="s">
        <v>16</v>
      </c>
      <c r="T63" s="166"/>
    </row>
    <row r="64" spans="2:20" x14ac:dyDescent="0.3">
      <c r="B64" s="102">
        <v>1</v>
      </c>
      <c r="C64" s="1400"/>
      <c r="D64" s="1401"/>
      <c r="E64" s="1401"/>
      <c r="F64" s="1401"/>
      <c r="G64" s="1401"/>
      <c r="H64" s="1401"/>
      <c r="I64" s="1401"/>
      <c r="J64" s="1402"/>
      <c r="N64" s="11">
        <v>0</v>
      </c>
      <c r="O64" s="1403">
        <f>$O$61/(1+N64)</f>
        <v>180000000</v>
      </c>
      <c r="P64" s="1404"/>
      <c r="Q64" s="1405">
        <f>O64-$M$44</f>
        <v>80108018.167999998</v>
      </c>
      <c r="R64" s="1406"/>
      <c r="S64" s="160">
        <f>Q64/O64</f>
        <v>0.44504454537777777</v>
      </c>
      <c r="T64" s="160"/>
    </row>
    <row r="65" spans="1:20" x14ac:dyDescent="0.3">
      <c r="B65" s="100">
        <v>2</v>
      </c>
      <c r="C65" s="1458"/>
      <c r="D65" s="1456"/>
      <c r="E65" s="1456"/>
      <c r="F65" s="1456"/>
      <c r="G65" s="1456"/>
      <c r="H65" s="1456"/>
      <c r="I65" s="1456"/>
      <c r="J65" s="1457"/>
      <c r="N65" s="9">
        <v>0.1</v>
      </c>
      <c r="O65" s="1389">
        <f>$O$61/(1+N65)</f>
        <v>163636363.63636363</v>
      </c>
      <c r="P65" s="1390"/>
      <c r="Q65" s="1391">
        <f t="shared" ref="Q65:Q68" si="22">O65-$M$44</f>
        <v>63744381.804363623</v>
      </c>
      <c r="R65" s="1392"/>
      <c r="S65" s="161">
        <f t="shared" ref="S65:S68" si="23">Q65/O65</f>
        <v>0.38954899991555553</v>
      </c>
      <c r="T65" s="161"/>
    </row>
    <row r="66" spans="1:20" x14ac:dyDescent="0.3">
      <c r="B66" s="100">
        <v>3</v>
      </c>
      <c r="C66" s="1455"/>
      <c r="D66" s="1456"/>
      <c r="E66" s="1456"/>
      <c r="F66" s="1456"/>
      <c r="G66" s="1456"/>
      <c r="H66" s="1456"/>
      <c r="I66" s="1456"/>
      <c r="J66" s="1457"/>
      <c r="N66" s="10">
        <v>0.15</v>
      </c>
      <c r="O66" s="1389">
        <f t="shared" ref="O66:O67" si="24">$O$61/(1+N66)</f>
        <v>156521739.13043478</v>
      </c>
      <c r="P66" s="1390"/>
      <c r="Q66" s="1391">
        <f t="shared" si="22"/>
        <v>56629757.298434779</v>
      </c>
      <c r="R66" s="1392"/>
      <c r="S66" s="161">
        <f t="shared" si="23"/>
        <v>0.36180122718444441</v>
      </c>
      <c r="T66" s="161"/>
    </row>
    <row r="67" spans="1:20" ht="18" customHeight="1" x14ac:dyDescent="0.3">
      <c r="B67" s="100">
        <v>4</v>
      </c>
      <c r="C67" s="1455"/>
      <c r="D67" s="1456"/>
      <c r="E67" s="1456"/>
      <c r="F67" s="1456"/>
      <c r="G67" s="1456"/>
      <c r="H67" s="1456"/>
      <c r="I67" s="1456"/>
      <c r="J67" s="1457"/>
      <c r="N67" s="10">
        <v>0.2</v>
      </c>
      <c r="O67" s="1389">
        <f t="shared" si="24"/>
        <v>150000000</v>
      </c>
      <c r="P67" s="1390"/>
      <c r="Q67" s="1391">
        <f t="shared" si="22"/>
        <v>50108018.167999998</v>
      </c>
      <c r="R67" s="1392"/>
      <c r="S67" s="161">
        <f t="shared" si="23"/>
        <v>0.33405345445333334</v>
      </c>
      <c r="T67" s="161"/>
    </row>
    <row r="68" spans="1:20" ht="18" customHeight="1" thickBot="1" x14ac:dyDescent="0.35">
      <c r="B68" s="100">
        <v>5</v>
      </c>
      <c r="C68" s="1393"/>
      <c r="D68" s="1394"/>
      <c r="E68" s="1394"/>
      <c r="F68" s="1394"/>
      <c r="G68" s="1394"/>
      <c r="H68" s="1394"/>
      <c r="I68" s="1394"/>
      <c r="J68" s="1395"/>
      <c r="N68" s="12" t="s">
        <v>45</v>
      </c>
      <c r="O68" s="1396">
        <v>0</v>
      </c>
      <c r="P68" s="1397"/>
      <c r="Q68" s="1398">
        <f t="shared" si="22"/>
        <v>-99891981.832000002</v>
      </c>
      <c r="R68" s="1399"/>
      <c r="S68" s="99" t="e">
        <f t="shared" si="23"/>
        <v>#DIV/0!</v>
      </c>
      <c r="T68" s="99"/>
    </row>
    <row r="69" spans="1:20" ht="18" customHeight="1" thickBot="1" x14ac:dyDescent="0.35">
      <c r="B69" s="100">
        <v>6</v>
      </c>
      <c r="C69" s="1393"/>
      <c r="D69" s="1394"/>
      <c r="E69" s="1394"/>
      <c r="F69" s="1394"/>
      <c r="G69" s="1394"/>
      <c r="H69" s="1394"/>
      <c r="I69" s="1394"/>
      <c r="J69" s="1395"/>
    </row>
    <row r="70" spans="1:20" s="103" customFormat="1" ht="18" customHeight="1" thickBot="1" x14ac:dyDescent="0.35">
      <c r="B70" s="100">
        <v>7</v>
      </c>
      <c r="C70" s="638"/>
      <c r="D70" s="639"/>
      <c r="E70" s="639"/>
      <c r="F70" s="639"/>
      <c r="G70" s="924"/>
      <c r="H70" s="639"/>
      <c r="I70" s="639"/>
      <c r="J70" s="640"/>
      <c r="K70" s="1"/>
      <c r="L70" s="1"/>
      <c r="M70" s="1"/>
      <c r="N70" s="1410" t="s">
        <v>47</v>
      </c>
      <c r="O70" s="1411"/>
      <c r="P70" s="1412" t="s">
        <v>48</v>
      </c>
      <c r="Q70" s="1413"/>
      <c r="R70" s="1414" t="s">
        <v>49</v>
      </c>
      <c r="S70" s="1415"/>
      <c r="T70" s="1232"/>
    </row>
    <row r="71" spans="1:20" ht="18" customHeight="1" x14ac:dyDescent="0.3">
      <c r="B71" s="100">
        <v>8</v>
      </c>
      <c r="C71" s="1393"/>
      <c r="D71" s="1394"/>
      <c r="E71" s="1394"/>
      <c r="F71" s="1394"/>
      <c r="G71" s="1394"/>
      <c r="H71" s="1394"/>
      <c r="I71" s="1394"/>
      <c r="J71" s="1395"/>
      <c r="N71" s="1416"/>
      <c r="O71" s="1417"/>
      <c r="P71" s="1422"/>
      <c r="Q71" s="1423"/>
      <c r="R71" s="1428"/>
      <c r="S71" s="1429"/>
      <c r="T71" s="1231"/>
    </row>
    <row r="72" spans="1:20" ht="18" customHeight="1" x14ac:dyDescent="0.3">
      <c r="B72" s="100"/>
      <c r="C72" s="1434"/>
      <c r="D72" s="1435"/>
      <c r="E72" s="1435"/>
      <c r="F72" s="1435"/>
      <c r="G72" s="1435"/>
      <c r="H72" s="1435"/>
      <c r="I72" s="1435"/>
      <c r="J72" s="1436"/>
      <c r="N72" s="1418"/>
      <c r="O72" s="1419"/>
      <c r="P72" s="1424"/>
      <c r="Q72" s="1425"/>
      <c r="R72" s="1430"/>
      <c r="S72" s="1431"/>
      <c r="T72" s="1231"/>
    </row>
    <row r="73" spans="1:20" ht="18" customHeight="1" x14ac:dyDescent="0.3">
      <c r="B73" s="100"/>
      <c r="C73" s="1434"/>
      <c r="D73" s="1435"/>
      <c r="E73" s="1435"/>
      <c r="F73" s="1435"/>
      <c r="G73" s="1435"/>
      <c r="H73" s="1435"/>
      <c r="I73" s="1435"/>
      <c r="J73" s="1436"/>
      <c r="N73" s="1418"/>
      <c r="O73" s="1419"/>
      <c r="P73" s="1424"/>
      <c r="Q73" s="1425"/>
      <c r="R73" s="1430"/>
      <c r="S73" s="1431"/>
      <c r="T73" s="1231"/>
    </row>
    <row r="74" spans="1:20" ht="18" customHeight="1" thickBot="1" x14ac:dyDescent="0.35">
      <c r="B74" s="101"/>
      <c r="C74" s="1407"/>
      <c r="D74" s="1408"/>
      <c r="E74" s="1408"/>
      <c r="F74" s="1408"/>
      <c r="G74" s="1408"/>
      <c r="H74" s="1408"/>
      <c r="I74" s="1408"/>
      <c r="J74" s="1409"/>
      <c r="N74" s="1420"/>
      <c r="O74" s="1421"/>
      <c r="P74" s="1426"/>
      <c r="Q74" s="1427"/>
      <c r="R74" s="1432"/>
      <c r="S74" s="1433"/>
      <c r="T74" s="1231"/>
    </row>
    <row r="75" spans="1:20" ht="18" customHeight="1" x14ac:dyDescent="0.3"/>
    <row r="76" spans="1:20" ht="18" customHeight="1" x14ac:dyDescent="0.3"/>
    <row r="77" spans="1:20" ht="18" customHeight="1" x14ac:dyDescent="0.3"/>
    <row r="78" spans="1:20" s="3" customFormat="1" x14ac:dyDescent="0.3">
      <c r="A78"/>
      <c r="B78" s="2"/>
      <c r="C78" s="2"/>
      <c r="D78" s="2"/>
      <c r="E78" s="2"/>
      <c r="G78" s="2"/>
      <c r="K78" s="1"/>
      <c r="L78" s="1"/>
      <c r="M78" s="1"/>
      <c r="N78" s="5"/>
      <c r="O78" s="1"/>
      <c r="P78" s="1"/>
      <c r="Q78"/>
      <c r="R78"/>
      <c r="S78" s="93"/>
      <c r="T78" s="93"/>
    </row>
    <row r="79" spans="1:20" s="3" customFormat="1" x14ac:dyDescent="0.3">
      <c r="A79"/>
      <c r="B79" s="2"/>
      <c r="C79" s="2"/>
      <c r="D79" s="2"/>
      <c r="E79" s="2"/>
      <c r="G79" s="2"/>
      <c r="K79" s="1"/>
      <c r="L79" s="1"/>
      <c r="M79" s="1"/>
      <c r="N79" s="5"/>
      <c r="O79" s="1"/>
      <c r="P79" s="1"/>
      <c r="Q79"/>
      <c r="R79"/>
      <c r="S79" s="93"/>
      <c r="T79" s="93"/>
    </row>
    <row r="80" spans="1:20" s="3" customFormat="1" x14ac:dyDescent="0.3">
      <c r="A80"/>
      <c r="B80" s="2"/>
      <c r="C80" s="2"/>
      <c r="D80" s="2"/>
      <c r="E80" s="2"/>
      <c r="G80" s="2"/>
      <c r="K80" s="1"/>
      <c r="L80" s="1"/>
      <c r="M80" s="1"/>
      <c r="N80" s="5"/>
      <c r="O80" s="1"/>
      <c r="P80" s="1"/>
      <c r="Q80"/>
      <c r="R80"/>
      <c r="S80" s="93"/>
      <c r="T80" s="93"/>
    </row>
    <row r="81" spans="1:20" s="3" customFormat="1" x14ac:dyDescent="0.3">
      <c r="A81"/>
      <c r="B81" s="2"/>
      <c r="C81" s="2"/>
      <c r="D81" s="2"/>
      <c r="E81" s="2"/>
      <c r="G81" s="2"/>
      <c r="K81" s="1"/>
      <c r="L81" s="1"/>
      <c r="M81" s="1"/>
      <c r="N81" s="5"/>
      <c r="O81" s="1"/>
      <c r="P81" s="1"/>
      <c r="Q81"/>
      <c r="R81"/>
      <c r="S81" s="93"/>
      <c r="T81" s="93"/>
    </row>
    <row r="82" spans="1:20" s="3" customFormat="1" x14ac:dyDescent="0.3">
      <c r="A82"/>
      <c r="B82" s="2"/>
      <c r="C82" s="2"/>
      <c r="D82" s="2"/>
      <c r="E82" s="2"/>
      <c r="G82" s="2"/>
      <c r="K82" s="1"/>
      <c r="L82" s="1"/>
      <c r="M82" s="1"/>
      <c r="N82" s="5"/>
      <c r="O82" s="1"/>
      <c r="P82" s="1"/>
      <c r="Q82"/>
      <c r="R82"/>
      <c r="S82" s="93"/>
      <c r="T82" s="93"/>
    </row>
  </sheetData>
  <mergeCells count="138">
    <mergeCell ref="T37:T40"/>
    <mergeCell ref="C66:J66"/>
    <mergeCell ref="O66:P66"/>
    <mergeCell ref="Q66:R66"/>
    <mergeCell ref="C67:J67"/>
    <mergeCell ref="O67:P67"/>
    <mergeCell ref="Q67:R67"/>
    <mergeCell ref="C64:J64"/>
    <mergeCell ref="C71:J71"/>
    <mergeCell ref="N71:O74"/>
    <mergeCell ref="P71:Q74"/>
    <mergeCell ref="R71:S74"/>
    <mergeCell ref="C72:J72"/>
    <mergeCell ref="C73:J73"/>
    <mergeCell ref="C74:J74"/>
    <mergeCell ref="C68:J68"/>
    <mergeCell ref="O68:P68"/>
    <mergeCell ref="Q68:R68"/>
    <mergeCell ref="C69:J69"/>
    <mergeCell ref="N70:O70"/>
    <mergeCell ref="P70:Q70"/>
    <mergeCell ref="R70:S70"/>
    <mergeCell ref="O64:P64"/>
    <mergeCell ref="Q64:R64"/>
    <mergeCell ref="C65:J65"/>
    <mergeCell ref="O65:P65"/>
    <mergeCell ref="Q65:R65"/>
    <mergeCell ref="B61:L61"/>
    <mergeCell ref="O61:P61"/>
    <mergeCell ref="Q61:S61"/>
    <mergeCell ref="B63:E63"/>
    <mergeCell ref="O63:P63"/>
    <mergeCell ref="Q63:R63"/>
    <mergeCell ref="B59:L59"/>
    <mergeCell ref="O59:P59"/>
    <mergeCell ref="Q59:S59"/>
    <mergeCell ref="B60:L60"/>
    <mergeCell ref="O60:P60"/>
    <mergeCell ref="Q60:S60"/>
    <mergeCell ref="O55:P55"/>
    <mergeCell ref="O56:P56"/>
    <mergeCell ref="B57:L57"/>
    <mergeCell ref="O57:P57"/>
    <mergeCell ref="Q57:S57"/>
    <mergeCell ref="B58:L58"/>
    <mergeCell ref="O58:P58"/>
    <mergeCell ref="Q58:S58"/>
    <mergeCell ref="O48:P48"/>
    <mergeCell ref="Q48:R48"/>
    <mergeCell ref="O49:P49"/>
    <mergeCell ref="Q49:R49"/>
    <mergeCell ref="O50:P50"/>
    <mergeCell ref="Q50:R56"/>
    <mergeCell ref="O51:P51"/>
    <mergeCell ref="O52:P52"/>
    <mergeCell ref="O53:P53"/>
    <mergeCell ref="O54:P54"/>
    <mergeCell ref="O45:P45"/>
    <mergeCell ref="Q45:R45"/>
    <mergeCell ref="O46:P46"/>
    <mergeCell ref="Q46:R46"/>
    <mergeCell ref="O47:P47"/>
    <mergeCell ref="Q47:R47"/>
    <mergeCell ref="O39:P39"/>
    <mergeCell ref="Q39:R39"/>
    <mergeCell ref="O40:P40"/>
    <mergeCell ref="Q40:R40"/>
    <mergeCell ref="B44:L44"/>
    <mergeCell ref="O44:P44"/>
    <mergeCell ref="Q44:R44"/>
    <mergeCell ref="O32:P32"/>
    <mergeCell ref="Q32:R32"/>
    <mergeCell ref="O37:P37"/>
    <mergeCell ref="Q37:R37"/>
    <mergeCell ref="O38:P38"/>
    <mergeCell ref="Q38:R38"/>
    <mergeCell ref="O36:P36"/>
    <mergeCell ref="O41:P41"/>
    <mergeCell ref="Q41:R41"/>
    <mergeCell ref="O42:P42"/>
    <mergeCell ref="O27:P27"/>
    <mergeCell ref="Q27:R27"/>
    <mergeCell ref="O28:P28"/>
    <mergeCell ref="O29:P29"/>
    <mergeCell ref="O31:P31"/>
    <mergeCell ref="O34:P34"/>
    <mergeCell ref="O35:P35"/>
    <mergeCell ref="Q35:R35"/>
    <mergeCell ref="O33:P33"/>
    <mergeCell ref="O30:P30"/>
    <mergeCell ref="O21:P21"/>
    <mergeCell ref="Q21:R21"/>
    <mergeCell ref="Q23:R23"/>
    <mergeCell ref="Q17:R17"/>
    <mergeCell ref="O18:P18"/>
    <mergeCell ref="Q18:R18"/>
    <mergeCell ref="O26:P26"/>
    <mergeCell ref="Q26:R26"/>
    <mergeCell ref="O22:P22"/>
    <mergeCell ref="Q22:R22"/>
    <mergeCell ref="O23:P23"/>
    <mergeCell ref="O24:P24"/>
    <mergeCell ref="Q24:R24"/>
    <mergeCell ref="O25:P25"/>
    <mergeCell ref="Q25:R25"/>
    <mergeCell ref="O15:P15"/>
    <mergeCell ref="Q15:R16"/>
    <mergeCell ref="O16:P16"/>
    <mergeCell ref="O13:P13"/>
    <mergeCell ref="Q13:R13"/>
    <mergeCell ref="O19:P19"/>
    <mergeCell ref="Q19:R19"/>
    <mergeCell ref="O20:P20"/>
    <mergeCell ref="Q20:R20"/>
    <mergeCell ref="S37:S40"/>
    <mergeCell ref="A2:S2"/>
    <mergeCell ref="Q3:S3"/>
    <mergeCell ref="B4:E4"/>
    <mergeCell ref="O4:P4"/>
    <mergeCell ref="Q4:R4"/>
    <mergeCell ref="O5:P5"/>
    <mergeCell ref="Q5:R5"/>
    <mergeCell ref="O9:P9"/>
    <mergeCell ref="Q9:R9"/>
    <mergeCell ref="O11:P11"/>
    <mergeCell ref="Q11:R11"/>
    <mergeCell ref="O6:P6"/>
    <mergeCell ref="Q6:R6"/>
    <mergeCell ref="O7:P7"/>
    <mergeCell ref="Q7:R7"/>
    <mergeCell ref="O8:P8"/>
    <mergeCell ref="Q8:R8"/>
    <mergeCell ref="O10:P10"/>
    <mergeCell ref="Q10:R10"/>
    <mergeCell ref="O12:P12"/>
    <mergeCell ref="Q12:R12"/>
    <mergeCell ref="O14:P14"/>
    <mergeCell ref="Q14:R14"/>
  </mergeCells>
  <phoneticPr fontId="2" type="noConversion"/>
  <pageMargins left="0.25" right="0.25" top="0.75" bottom="0.75" header="0.3" footer="0.3"/>
  <pageSetup paperSize="9" scale="51" fitToWidth="0" orientation="landscape" horizontalDpi="300" r:id="rId1"/>
  <headerFooter>
    <oddFooter>&amp;R&amp;D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831D-B72C-4F68-89BF-A1BA2E11129E}">
  <sheetPr>
    <tabColor rgb="FFC00000"/>
    <pageSetUpPr fitToPage="1"/>
  </sheetPr>
  <dimension ref="A1:AG80"/>
  <sheetViews>
    <sheetView zoomScale="85" zoomScaleNormal="85" zoomScaleSheetLayoutView="100" zoomScalePageLayoutView="85" workbookViewId="0">
      <selection activeCell="A3" sqref="A3"/>
    </sheetView>
  </sheetViews>
  <sheetFormatPr defaultRowHeight="16.5" x14ac:dyDescent="0.3"/>
  <cols>
    <col min="1" max="1" width="1.625" customWidth="1"/>
    <col min="2" max="5" width="3.375" style="2" customWidth="1"/>
    <col min="6" max="6" width="57.25" style="3" customWidth="1"/>
    <col min="7" max="7" width="25.625" style="3" bestFit="1" customWidth="1"/>
    <col min="8" max="9" width="16.625" style="3" customWidth="1"/>
    <col min="10" max="10" width="6.625" style="3" customWidth="1"/>
    <col min="11" max="13" width="16.625" style="1" customWidth="1"/>
    <col min="14" max="14" width="12.625" style="5" customWidth="1"/>
    <col min="15" max="15" width="9.625" style="1" customWidth="1"/>
    <col min="16" max="16" width="12.625" style="1" customWidth="1"/>
    <col min="17" max="18" width="22.375" customWidth="1"/>
    <col min="19" max="20" width="21.875" style="93" customWidth="1"/>
    <col min="22" max="22" width="11.5" bestFit="1" customWidth="1"/>
  </cols>
  <sheetData>
    <row r="1" spans="1:33" ht="9.9499999999999993" customHeight="1" x14ac:dyDescent="0.3"/>
    <row r="2" spans="1:33" ht="26.25" x14ac:dyDescent="0.3">
      <c r="A2" s="1445" t="s">
        <v>591</v>
      </c>
      <c r="B2" s="1445"/>
      <c r="C2" s="1445"/>
      <c r="D2" s="1445"/>
      <c r="E2" s="1445"/>
      <c r="F2" s="1445"/>
      <c r="G2" s="1445"/>
      <c r="H2" s="1445"/>
      <c r="I2" s="1445"/>
      <c r="J2" s="1445"/>
      <c r="K2" s="1445"/>
      <c r="L2" s="1445"/>
      <c r="M2" s="1445"/>
      <c r="N2" s="1445"/>
      <c r="O2" s="1445"/>
      <c r="P2" s="1445"/>
      <c r="Q2" s="1445"/>
      <c r="R2" s="1445"/>
      <c r="S2" s="1445"/>
      <c r="T2" s="1228"/>
    </row>
    <row r="3" spans="1:33" ht="17.25" thickBot="1" x14ac:dyDescent="0.35">
      <c r="Q3" s="1446">
        <v>45469</v>
      </c>
      <c r="R3" s="1446"/>
      <c r="S3" s="1446"/>
      <c r="T3" s="1229"/>
    </row>
    <row r="4" spans="1:33" ht="18" thickBot="1" x14ac:dyDescent="0.35">
      <c r="B4" s="1318" t="s">
        <v>491</v>
      </c>
      <c r="C4" s="1319"/>
      <c r="D4" s="1319"/>
      <c r="E4" s="1320"/>
      <c r="F4" s="6" t="s">
        <v>56</v>
      </c>
      <c r="G4" s="6" t="s">
        <v>55</v>
      </c>
      <c r="H4" s="6" t="s">
        <v>0</v>
      </c>
      <c r="I4" s="6" t="s">
        <v>43</v>
      </c>
      <c r="J4" s="6" t="s">
        <v>4</v>
      </c>
      <c r="K4" s="7" t="s">
        <v>12</v>
      </c>
      <c r="L4" s="8" t="s">
        <v>39</v>
      </c>
      <c r="M4" s="8" t="s">
        <v>5</v>
      </c>
      <c r="N4" s="141" t="s">
        <v>13</v>
      </c>
      <c r="O4" s="1321" t="s">
        <v>6</v>
      </c>
      <c r="P4" s="1322"/>
      <c r="Q4" s="1319" t="s">
        <v>3</v>
      </c>
      <c r="R4" s="1323"/>
      <c r="S4" s="71" t="s">
        <v>59</v>
      </c>
      <c r="T4" s="71"/>
    </row>
    <row r="5" spans="1:33" s="82" customFormat="1" ht="17.25" thickBot="1" x14ac:dyDescent="0.35">
      <c r="B5" s="122" t="s">
        <v>2</v>
      </c>
      <c r="C5" s="116"/>
      <c r="D5" s="116"/>
      <c r="E5" s="117"/>
      <c r="F5" s="118" t="s">
        <v>265</v>
      </c>
      <c r="G5" s="119"/>
      <c r="H5" s="119"/>
      <c r="I5" s="119"/>
      <c r="J5" s="119"/>
      <c r="K5" s="272"/>
      <c r="L5" s="120"/>
      <c r="M5" s="121"/>
      <c r="N5" s="135"/>
      <c r="O5" s="1447"/>
      <c r="P5" s="1448"/>
      <c r="Q5" s="1326"/>
      <c r="R5" s="1327"/>
      <c r="S5" s="115"/>
      <c r="T5" s="115"/>
    </row>
    <row r="6" spans="1:33" s="369" customFormat="1" x14ac:dyDescent="0.3">
      <c r="B6" s="498"/>
      <c r="C6" s="155" t="s">
        <v>2</v>
      </c>
      <c r="D6" s="155"/>
      <c r="E6" s="151"/>
      <c r="F6" s="269" t="s">
        <v>307</v>
      </c>
      <c r="G6" s="844" t="s">
        <v>433</v>
      </c>
      <c r="H6" s="185" t="s">
        <v>131</v>
      </c>
      <c r="I6" s="185" t="s">
        <v>131</v>
      </c>
      <c r="J6" s="184">
        <v>1</v>
      </c>
      <c r="K6" s="169">
        <f>(8210+3030+1140+2160+440)*0.6*1.071*1400</f>
        <v>13476607.199999999</v>
      </c>
      <c r="L6" s="55">
        <v>24756000</v>
      </c>
      <c r="M6" s="164">
        <f>J6*K6</f>
        <v>13476607.199999999</v>
      </c>
      <c r="N6" s="158">
        <v>0</v>
      </c>
      <c r="O6" s="1328">
        <f t="shared" ref="O6:O14" si="0">J6*L6/(1-N6)</f>
        <v>24756000</v>
      </c>
      <c r="P6" s="1329"/>
      <c r="Q6" s="1330" t="s">
        <v>590</v>
      </c>
      <c r="R6" s="1331"/>
      <c r="S6" s="470" t="s">
        <v>1135</v>
      </c>
      <c r="T6" s="470"/>
    </row>
    <row r="7" spans="1:33" s="369" customFormat="1" x14ac:dyDescent="0.3">
      <c r="B7" s="62"/>
      <c r="C7" s="56"/>
      <c r="D7" s="63" t="s">
        <v>73</v>
      </c>
      <c r="E7" s="61"/>
      <c r="F7" s="174" t="s">
        <v>372</v>
      </c>
      <c r="G7" s="844">
        <v>720268</v>
      </c>
      <c r="H7" s="482" t="s">
        <v>131</v>
      </c>
      <c r="I7" s="482" t="s">
        <v>131</v>
      </c>
      <c r="J7" s="56">
        <v>2</v>
      </c>
      <c r="K7" s="169">
        <f>(1190)*0.606*1.071*1400</f>
        <v>1081277.3159999999</v>
      </c>
      <c r="L7" s="55">
        <v>1806000</v>
      </c>
      <c r="M7" s="475">
        <f t="shared" ref="M7:M10" si="1">J7*K7</f>
        <v>2162554.6319999998</v>
      </c>
      <c r="N7" s="503">
        <v>0</v>
      </c>
      <c r="O7" s="1472">
        <f t="shared" si="0"/>
        <v>3612000</v>
      </c>
      <c r="P7" s="1473"/>
      <c r="Q7" s="1474" t="s">
        <v>595</v>
      </c>
      <c r="R7" s="1475"/>
      <c r="S7" s="470" t="s">
        <v>1135</v>
      </c>
      <c r="T7" s="470"/>
      <c r="U7" s="370"/>
      <c r="V7" s="370"/>
    </row>
    <row r="8" spans="1:33" ht="16.149999999999999" customHeight="1" x14ac:dyDescent="0.3">
      <c r="B8" s="62"/>
      <c r="C8" s="56"/>
      <c r="D8" s="56"/>
      <c r="E8" s="61" t="s">
        <v>73</v>
      </c>
      <c r="F8" s="174" t="s">
        <v>281</v>
      </c>
      <c r="G8" s="844">
        <v>758933</v>
      </c>
      <c r="H8" s="482" t="s">
        <v>131</v>
      </c>
      <c r="I8" s="482" t="s">
        <v>131</v>
      </c>
      <c r="J8" s="56">
        <v>4</v>
      </c>
      <c r="K8" s="169">
        <f>(35)*0.643*1.071*1400</f>
        <v>33743.996999999996</v>
      </c>
      <c r="L8" s="392">
        <v>62000</v>
      </c>
      <c r="M8" s="475">
        <f t="shared" si="1"/>
        <v>134975.98799999998</v>
      </c>
      <c r="N8" s="503">
        <v>0</v>
      </c>
      <c r="O8" s="1472">
        <f t="shared" si="0"/>
        <v>248000</v>
      </c>
      <c r="P8" s="1473"/>
      <c r="Q8" s="1474" t="s">
        <v>596</v>
      </c>
      <c r="R8" s="1475"/>
      <c r="S8" s="470" t="s">
        <v>1135</v>
      </c>
      <c r="T8" s="470"/>
    </row>
    <row r="9" spans="1:33" ht="16.149999999999999" customHeight="1" x14ac:dyDescent="0.3">
      <c r="B9" s="62"/>
      <c r="C9" s="56"/>
      <c r="D9" s="56"/>
      <c r="E9" s="61" t="s">
        <v>73</v>
      </c>
      <c r="F9" s="174" t="s">
        <v>283</v>
      </c>
      <c r="G9" s="844">
        <v>758921</v>
      </c>
      <c r="H9" s="482" t="s">
        <v>131</v>
      </c>
      <c r="I9" s="482" t="s">
        <v>131</v>
      </c>
      <c r="J9" s="56">
        <v>4</v>
      </c>
      <c r="K9" s="169">
        <f>(30)*0.643*1.071*1400</f>
        <v>28923.425999999996</v>
      </c>
      <c r="L9" s="392">
        <v>54000</v>
      </c>
      <c r="M9" s="475">
        <f t="shared" si="1"/>
        <v>115693.70399999998</v>
      </c>
      <c r="N9" s="503">
        <v>0</v>
      </c>
      <c r="O9" s="1472">
        <f t="shared" si="0"/>
        <v>216000</v>
      </c>
      <c r="P9" s="1473"/>
      <c r="Q9" s="1474" t="s">
        <v>597</v>
      </c>
      <c r="R9" s="1475"/>
      <c r="S9" s="470" t="s">
        <v>1132</v>
      </c>
      <c r="T9" s="470"/>
    </row>
    <row r="10" spans="1:33" s="369" customFormat="1" x14ac:dyDescent="0.3">
      <c r="B10" s="62"/>
      <c r="C10" s="56"/>
      <c r="D10" s="63" t="s">
        <v>73</v>
      </c>
      <c r="E10" s="61"/>
      <c r="F10" s="174" t="s">
        <v>310</v>
      </c>
      <c r="G10" s="844">
        <v>701251</v>
      </c>
      <c r="H10" s="482" t="s">
        <v>131</v>
      </c>
      <c r="I10" s="482" t="s">
        <v>131</v>
      </c>
      <c r="J10" s="56">
        <v>1</v>
      </c>
      <c r="K10" s="169">
        <f>(1190)*0.606*1.071*1400</f>
        <v>1081277.3159999999</v>
      </c>
      <c r="L10" s="169">
        <v>1806000</v>
      </c>
      <c r="M10" s="475">
        <f t="shared" si="1"/>
        <v>1081277.3159999999</v>
      </c>
      <c r="N10" s="503">
        <v>0</v>
      </c>
      <c r="O10" s="1472">
        <f t="shared" si="0"/>
        <v>1806000</v>
      </c>
      <c r="P10" s="1473"/>
      <c r="Q10" s="1474" t="s">
        <v>599</v>
      </c>
      <c r="R10" s="1475"/>
      <c r="S10" s="470" t="s">
        <v>1135</v>
      </c>
      <c r="T10" s="470"/>
      <c r="U10" s="370"/>
      <c r="V10" s="370"/>
    </row>
    <row r="11" spans="1:33" ht="16.149999999999999" customHeight="1" x14ac:dyDescent="0.3">
      <c r="B11" s="62"/>
      <c r="C11" s="56"/>
      <c r="D11" s="56"/>
      <c r="E11" s="61" t="s">
        <v>73</v>
      </c>
      <c r="F11" s="269" t="s">
        <v>489</v>
      </c>
      <c r="G11" s="844">
        <v>702916</v>
      </c>
      <c r="H11" s="482" t="s">
        <v>131</v>
      </c>
      <c r="I11" s="482" t="s">
        <v>131</v>
      </c>
      <c r="J11" s="56">
        <v>1</v>
      </c>
      <c r="K11" s="169">
        <f>(6450)*0.6*1.071*1400</f>
        <v>5802677.9999999991</v>
      </c>
      <c r="L11" s="392">
        <v>8712000</v>
      </c>
      <c r="M11" s="475">
        <f>J11*K11</f>
        <v>5802677.9999999991</v>
      </c>
      <c r="N11" s="503">
        <v>0</v>
      </c>
      <c r="O11" s="1472">
        <f>J11*L11/(1-N11)</f>
        <v>8712000</v>
      </c>
      <c r="P11" s="1473"/>
      <c r="Q11" s="1474" t="s">
        <v>444</v>
      </c>
      <c r="R11" s="1475"/>
      <c r="S11" s="470" t="s">
        <v>1135</v>
      </c>
      <c r="T11" s="470"/>
    </row>
    <row r="12" spans="1:33" s="369" customFormat="1" x14ac:dyDescent="0.3">
      <c r="B12" s="62"/>
      <c r="C12" s="56"/>
      <c r="D12" s="63" t="s">
        <v>73</v>
      </c>
      <c r="E12" s="61"/>
      <c r="F12" s="174" t="s">
        <v>368</v>
      </c>
      <c r="G12" s="844">
        <v>701265</v>
      </c>
      <c r="H12" s="482" t="s">
        <v>131</v>
      </c>
      <c r="I12" s="482" t="s">
        <v>131</v>
      </c>
      <c r="J12" s="56">
        <v>2</v>
      </c>
      <c r="K12" s="169">
        <f>(1140)*0.606*1.071*1400</f>
        <v>1035845.4959999999</v>
      </c>
      <c r="L12" s="55">
        <v>1723000</v>
      </c>
      <c r="M12" s="475">
        <f t="shared" ref="M12" si="2">J12*K12</f>
        <v>2071690.9919999999</v>
      </c>
      <c r="N12" s="503">
        <v>0</v>
      </c>
      <c r="O12" s="1472">
        <f t="shared" si="0"/>
        <v>3446000</v>
      </c>
      <c r="P12" s="1473"/>
      <c r="Q12" s="1474" t="s">
        <v>292</v>
      </c>
      <c r="R12" s="1475"/>
      <c r="S12" s="470" t="s">
        <v>1135</v>
      </c>
      <c r="T12" s="470"/>
      <c r="U12" s="370"/>
      <c r="V12" s="370"/>
    </row>
    <row r="13" spans="1:33" s="369" customFormat="1" x14ac:dyDescent="0.3">
      <c r="B13" s="498"/>
      <c r="C13" s="155" t="s">
        <v>73</v>
      </c>
      <c r="D13" s="155"/>
      <c r="E13" s="151"/>
      <c r="F13" s="269" t="s">
        <v>399</v>
      </c>
      <c r="G13" s="844" t="s">
        <v>336</v>
      </c>
      <c r="H13" s="185" t="s">
        <v>337</v>
      </c>
      <c r="I13" s="185" t="s">
        <v>337</v>
      </c>
      <c r="J13" s="184">
        <v>1</v>
      </c>
      <c r="K13" s="55">
        <f>690000*8.7116</f>
        <v>6011004.0000000009</v>
      </c>
      <c r="L13" s="55">
        <v>11825000</v>
      </c>
      <c r="M13" s="164">
        <f>J13*K13</f>
        <v>6011004.0000000009</v>
      </c>
      <c r="N13" s="158">
        <v>0</v>
      </c>
      <c r="O13" s="1328">
        <f t="shared" si="0"/>
        <v>11825000</v>
      </c>
      <c r="P13" s="1329"/>
      <c r="Q13" s="1330" t="s">
        <v>586</v>
      </c>
      <c r="R13" s="1331"/>
      <c r="S13" s="1025" t="s">
        <v>954</v>
      </c>
      <c r="T13" s="1247" t="s">
        <v>1126</v>
      </c>
      <c r="U13" s="682" t="s">
        <v>585</v>
      </c>
      <c r="V13" s="562"/>
      <c r="W13" s="370"/>
      <c r="X13" s="370"/>
      <c r="Y13" s="370"/>
      <c r="Z13" s="370"/>
      <c r="AA13" s="370"/>
      <c r="AB13" s="370"/>
      <c r="AC13" s="370"/>
      <c r="AD13" s="370"/>
      <c r="AE13" s="370"/>
      <c r="AF13" s="370"/>
      <c r="AG13" s="370"/>
    </row>
    <row r="14" spans="1:33" s="84" customFormat="1" x14ac:dyDescent="0.3">
      <c r="B14" s="498"/>
      <c r="C14" s="499" t="s">
        <v>73</v>
      </c>
      <c r="D14" s="499"/>
      <c r="E14" s="151"/>
      <c r="F14" s="156" t="s">
        <v>759</v>
      </c>
      <c r="G14" s="844" t="s">
        <v>425</v>
      </c>
      <c r="H14" s="155" t="s">
        <v>142</v>
      </c>
      <c r="I14" s="56" t="s">
        <v>64</v>
      </c>
      <c r="J14" s="155">
        <v>1</v>
      </c>
      <c r="K14" s="55">
        <f>L14*0.75</f>
        <v>1731750</v>
      </c>
      <c r="L14" s="55">
        <v>2309000</v>
      </c>
      <c r="M14" s="164">
        <f>J14*K14</f>
        <v>1731750</v>
      </c>
      <c r="N14" s="158">
        <v>0</v>
      </c>
      <c r="O14" s="1328">
        <f t="shared" si="0"/>
        <v>2309000</v>
      </c>
      <c r="P14" s="1329"/>
      <c r="Q14" s="1330" t="s">
        <v>403</v>
      </c>
      <c r="R14" s="1331"/>
      <c r="S14" s="212" t="s">
        <v>653</v>
      </c>
      <c r="T14" s="212"/>
    </row>
    <row r="15" spans="1:33" s="528" customFormat="1" x14ac:dyDescent="0.3">
      <c r="B15" s="62"/>
      <c r="C15" s="63" t="s">
        <v>2</v>
      </c>
      <c r="D15" s="63"/>
      <c r="E15" s="61"/>
      <c r="F15" s="174" t="s">
        <v>459</v>
      </c>
      <c r="G15" s="844" t="s">
        <v>195</v>
      </c>
      <c r="H15" s="56" t="s">
        <v>142</v>
      </c>
      <c r="I15" s="56" t="s">
        <v>64</v>
      </c>
      <c r="J15" s="56">
        <v>1</v>
      </c>
      <c r="K15" s="55">
        <f>L15*0.75</f>
        <v>14394750</v>
      </c>
      <c r="L15" s="55">
        <f>19193000</f>
        <v>19193000</v>
      </c>
      <c r="M15" s="418">
        <f t="shared" ref="M15:M16" si="3">J15*K15</f>
        <v>14394750</v>
      </c>
      <c r="N15" s="503">
        <v>0</v>
      </c>
      <c r="O15" s="1472">
        <f>L15*J15</f>
        <v>19193000</v>
      </c>
      <c r="P15" s="1473"/>
      <c r="Q15" s="1484" t="s">
        <v>401</v>
      </c>
      <c r="R15" s="1485"/>
      <c r="S15" s="212" t="s">
        <v>653</v>
      </c>
      <c r="T15" s="212"/>
      <c r="X15" s="528">
        <f>2^16</f>
        <v>65536</v>
      </c>
      <c r="Z15" s="528">
        <f>60/X15</f>
        <v>9.1552734375E-4</v>
      </c>
    </row>
    <row r="16" spans="1:33" s="528" customFormat="1" x14ac:dyDescent="0.3">
      <c r="B16" s="62"/>
      <c r="C16" s="63"/>
      <c r="D16" s="63" t="s">
        <v>2</v>
      </c>
      <c r="E16" s="61"/>
      <c r="F16" s="174" t="s">
        <v>460</v>
      </c>
      <c r="G16" s="844" t="s">
        <v>461</v>
      </c>
      <c r="H16" s="56" t="s">
        <v>142</v>
      </c>
      <c r="I16" s="56" t="s">
        <v>64</v>
      </c>
      <c r="J16" s="56">
        <v>1</v>
      </c>
      <c r="K16" s="55">
        <f>L16*0.75</f>
        <v>14008500</v>
      </c>
      <c r="L16" s="55">
        <v>18678000</v>
      </c>
      <c r="M16" s="418">
        <f t="shared" si="3"/>
        <v>14008500</v>
      </c>
      <c r="N16" s="503">
        <v>0</v>
      </c>
      <c r="O16" s="1472">
        <f>L16*J16</f>
        <v>18678000</v>
      </c>
      <c r="P16" s="1473"/>
      <c r="Q16" s="1486"/>
      <c r="R16" s="1487"/>
      <c r="S16" s="212" t="s">
        <v>653</v>
      </c>
      <c r="T16" s="212"/>
      <c r="X16" s="528">
        <f>2^12</f>
        <v>4096</v>
      </c>
      <c r="Z16" s="528">
        <f>60/X16</f>
        <v>1.46484375E-2</v>
      </c>
    </row>
    <row r="17" spans="1:22" ht="16.149999999999999" customHeight="1" thickBot="1" x14ac:dyDescent="0.35">
      <c r="B17" s="581"/>
      <c r="C17" s="184"/>
      <c r="D17" s="184"/>
      <c r="E17" s="582"/>
      <c r="F17" s="156"/>
      <c r="G17" s="155"/>
      <c r="H17" s="155"/>
      <c r="I17" s="155"/>
      <c r="J17" s="184"/>
      <c r="K17" s="199"/>
      <c r="L17" s="55"/>
      <c r="M17" s="164"/>
      <c r="N17" s="158"/>
      <c r="O17" s="643"/>
      <c r="P17" s="644"/>
      <c r="Q17" s="1488"/>
      <c r="R17" s="1489"/>
      <c r="S17" s="470"/>
      <c r="T17" s="470"/>
      <c r="V17" s="82">
        <f>1/1000</f>
        <v>1E-3</v>
      </c>
    </row>
    <row r="18" spans="1:22" s="369" customFormat="1" ht="17.25" thickBot="1" x14ac:dyDescent="0.35">
      <c r="B18" s="587" t="s">
        <v>2</v>
      </c>
      <c r="C18" s="588"/>
      <c r="D18" s="588"/>
      <c r="E18" s="589"/>
      <c r="F18" s="270" t="s">
        <v>266</v>
      </c>
      <c r="G18" s="590"/>
      <c r="H18" s="590"/>
      <c r="I18" s="590"/>
      <c r="J18" s="590"/>
      <c r="K18" s="590"/>
      <c r="L18" s="591"/>
      <c r="M18" s="592"/>
      <c r="N18" s="593"/>
      <c r="O18" s="1324"/>
      <c r="P18" s="1325"/>
      <c r="Q18" s="1326"/>
      <c r="R18" s="1327"/>
      <c r="S18" s="115"/>
      <c r="T18" s="115"/>
    </row>
    <row r="19" spans="1:22" s="84" customFormat="1" x14ac:dyDescent="0.3">
      <c r="B19" s="500"/>
      <c r="C19" s="501" t="s">
        <v>2</v>
      </c>
      <c r="D19" s="144"/>
      <c r="E19" s="145"/>
      <c r="F19" s="146" t="s">
        <v>540</v>
      </c>
      <c r="G19" s="844" t="s">
        <v>278</v>
      </c>
      <c r="H19" s="144" t="s">
        <v>80</v>
      </c>
      <c r="I19" s="144" t="s">
        <v>240</v>
      </c>
      <c r="J19" s="144">
        <v>1</v>
      </c>
      <c r="K19" s="157">
        <f t="shared" ref="K19:K22" si="4">L19*0.95</f>
        <v>2422500</v>
      </c>
      <c r="L19" s="147">
        <v>2550000</v>
      </c>
      <c r="M19" s="163">
        <f>J19*K19</f>
        <v>2422500</v>
      </c>
      <c r="N19" s="148">
        <v>0</v>
      </c>
      <c r="O19" s="1480">
        <f t="shared" ref="O19:O22" si="5">J19*L19/(1-N19)</f>
        <v>2550000</v>
      </c>
      <c r="P19" s="1481"/>
      <c r="Q19" s="1482"/>
      <c r="R19" s="1483"/>
      <c r="S19" s="287" t="s">
        <v>645</v>
      </c>
      <c r="T19" s="287" t="s">
        <v>1136</v>
      </c>
      <c r="U19" s="273"/>
    </row>
    <row r="20" spans="1:22" s="84" customFormat="1" x14ac:dyDescent="0.3">
      <c r="B20" s="498"/>
      <c r="C20" s="499"/>
      <c r="D20" s="499" t="s">
        <v>2</v>
      </c>
      <c r="E20" s="151"/>
      <c r="F20" s="156" t="s">
        <v>538</v>
      </c>
      <c r="G20" s="844" t="s">
        <v>311</v>
      </c>
      <c r="H20" s="155" t="s">
        <v>80</v>
      </c>
      <c r="I20" s="155" t="s">
        <v>430</v>
      </c>
      <c r="J20" s="155">
        <v>1</v>
      </c>
      <c r="K20" s="157">
        <f t="shared" si="4"/>
        <v>2242000</v>
      </c>
      <c r="L20" s="157">
        <v>2360000</v>
      </c>
      <c r="M20" s="164">
        <f t="shared" ref="M20:M22" si="6">J20*K20</f>
        <v>2242000</v>
      </c>
      <c r="N20" s="158">
        <v>0</v>
      </c>
      <c r="O20" s="1328">
        <f t="shared" si="5"/>
        <v>2360000</v>
      </c>
      <c r="P20" s="1329"/>
      <c r="Q20" s="1330" t="s">
        <v>559</v>
      </c>
      <c r="R20" s="1331"/>
      <c r="S20" s="152" t="s">
        <v>646</v>
      </c>
      <c r="T20" s="152" t="s">
        <v>1136</v>
      </c>
      <c r="U20" s="606" t="s">
        <v>552</v>
      </c>
      <c r="V20"/>
    </row>
    <row r="21" spans="1:22" s="84" customFormat="1" x14ac:dyDescent="0.3">
      <c r="B21" s="498"/>
      <c r="C21" s="499"/>
      <c r="D21" s="499" t="s">
        <v>2</v>
      </c>
      <c r="E21" s="151"/>
      <c r="F21" s="156" t="s">
        <v>536</v>
      </c>
      <c r="G21" s="844" t="s">
        <v>316</v>
      </c>
      <c r="H21" s="155" t="s">
        <v>80</v>
      </c>
      <c r="I21" s="155" t="s">
        <v>430</v>
      </c>
      <c r="J21" s="155">
        <v>1</v>
      </c>
      <c r="K21" s="157">
        <f t="shared" si="4"/>
        <v>836000</v>
      </c>
      <c r="L21" s="157">
        <v>880000</v>
      </c>
      <c r="M21" s="164">
        <f t="shared" si="6"/>
        <v>836000</v>
      </c>
      <c r="N21" s="158">
        <v>0</v>
      </c>
      <c r="O21" s="1328">
        <f t="shared" si="5"/>
        <v>880000</v>
      </c>
      <c r="P21" s="1329"/>
      <c r="Q21" s="1330" t="s">
        <v>580</v>
      </c>
      <c r="R21" s="1331"/>
      <c r="S21" s="1025" t="s">
        <v>646</v>
      </c>
      <c r="T21" s="1230" t="s">
        <v>1136</v>
      </c>
      <c r="U21" s="82" t="s">
        <v>533</v>
      </c>
      <c r="V21"/>
    </row>
    <row r="22" spans="1:22" s="82" customFormat="1" x14ac:dyDescent="0.3">
      <c r="B22" s="581"/>
      <c r="C22" s="499"/>
      <c r="D22" s="499" t="s">
        <v>2</v>
      </c>
      <c r="E22" s="582"/>
      <c r="F22" s="156" t="s">
        <v>534</v>
      </c>
      <c r="G22" s="844" t="s">
        <v>554</v>
      </c>
      <c r="H22" s="155" t="s">
        <v>80</v>
      </c>
      <c r="I22" s="155" t="s">
        <v>430</v>
      </c>
      <c r="J22" s="184">
        <v>1</v>
      </c>
      <c r="K22" s="55">
        <f t="shared" si="4"/>
        <v>1396500</v>
      </c>
      <c r="L22" s="55">
        <v>1470000</v>
      </c>
      <c r="M22" s="164">
        <f t="shared" si="6"/>
        <v>1396500</v>
      </c>
      <c r="N22" s="158">
        <v>0</v>
      </c>
      <c r="O22" s="1328">
        <f t="shared" si="5"/>
        <v>1470000</v>
      </c>
      <c r="P22" s="1329"/>
      <c r="Q22" s="1330" t="s">
        <v>525</v>
      </c>
      <c r="R22" s="1331"/>
      <c r="S22" s="1025" t="s">
        <v>646</v>
      </c>
      <c r="T22" s="1230" t="s">
        <v>1136</v>
      </c>
      <c r="U22" s="625" t="s">
        <v>555</v>
      </c>
    </row>
    <row r="23" spans="1:22" ht="17.25" thickBot="1" x14ac:dyDescent="0.35">
      <c r="B23" s="581"/>
      <c r="C23" s="184"/>
      <c r="D23" s="184"/>
      <c r="E23" s="582"/>
      <c r="F23" s="156"/>
      <c r="G23" s="155"/>
      <c r="H23" s="155"/>
      <c r="I23" s="155"/>
      <c r="J23" s="184"/>
      <c r="K23" s="199"/>
      <c r="L23" s="55"/>
      <c r="M23" s="164"/>
      <c r="N23" s="158"/>
      <c r="O23" s="1498"/>
      <c r="P23" s="1499"/>
      <c r="Q23" s="1496"/>
      <c r="R23" s="1497"/>
      <c r="S23" s="204"/>
      <c r="T23" s="204"/>
    </row>
    <row r="24" spans="1:22" ht="17.25" thickBot="1" x14ac:dyDescent="0.35">
      <c r="B24" s="587" t="s">
        <v>2</v>
      </c>
      <c r="C24" s="588"/>
      <c r="D24" s="588"/>
      <c r="E24" s="589"/>
      <c r="F24" s="270" t="s">
        <v>267</v>
      </c>
      <c r="G24" s="590"/>
      <c r="H24" s="590"/>
      <c r="I24" s="590"/>
      <c r="J24" s="590"/>
      <c r="K24" s="590"/>
      <c r="L24" s="591"/>
      <c r="M24" s="592"/>
      <c r="N24" s="593"/>
      <c r="O24" s="1324"/>
      <c r="P24" s="1325"/>
      <c r="Q24" s="1336"/>
      <c r="R24" s="1337"/>
      <c r="S24" s="115"/>
      <c r="T24" s="115"/>
    </row>
    <row r="25" spans="1:22" x14ac:dyDescent="0.3">
      <c r="B25" s="64"/>
      <c r="C25" s="65" t="s">
        <v>2</v>
      </c>
      <c r="D25" s="80"/>
      <c r="E25" s="66"/>
      <c r="F25" s="816" t="s">
        <v>418</v>
      </c>
      <c r="G25" s="843" t="s">
        <v>60</v>
      </c>
      <c r="H25" s="416" t="s">
        <v>60</v>
      </c>
      <c r="I25" s="80" t="s">
        <v>116</v>
      </c>
      <c r="J25" s="80">
        <v>1</v>
      </c>
      <c r="K25" s="55">
        <v>4000000</v>
      </c>
      <c r="L25" s="55">
        <v>4000000</v>
      </c>
      <c r="M25" s="817">
        <f>J25*K25</f>
        <v>4000000</v>
      </c>
      <c r="N25" s="818">
        <v>0.3</v>
      </c>
      <c r="O25" s="1500">
        <f t="shared" ref="O25:O40" si="7">J25*L25*(1+N25)</f>
        <v>5200000</v>
      </c>
      <c r="P25" s="1501"/>
      <c r="Q25" s="1502"/>
      <c r="R25" s="1503"/>
      <c r="S25" s="287"/>
      <c r="T25" s="152"/>
      <c r="U25" s="413" t="s">
        <v>628</v>
      </c>
      <c r="V25" s="728">
        <f>(2000000+(300000*4))*1.2</f>
        <v>3840000</v>
      </c>
    </row>
    <row r="26" spans="1:22" s="84" customFormat="1" x14ac:dyDescent="0.3">
      <c r="B26" s="62"/>
      <c r="C26" s="63"/>
      <c r="D26" s="56" t="s">
        <v>2</v>
      </c>
      <c r="E26" s="61"/>
      <c r="F26" s="174" t="s">
        <v>245</v>
      </c>
      <c r="G26" s="988" t="s">
        <v>246</v>
      </c>
      <c r="H26" s="56" t="s">
        <v>183</v>
      </c>
      <c r="I26" s="56" t="s">
        <v>725</v>
      </c>
      <c r="J26" s="56">
        <v>1</v>
      </c>
      <c r="K26" s="55">
        <v>200000</v>
      </c>
      <c r="L26" s="55">
        <v>200000</v>
      </c>
      <c r="M26" s="418">
        <f t="shared" ref="M26" si="8">J26*K26</f>
        <v>200000</v>
      </c>
      <c r="N26" s="503">
        <v>0.3</v>
      </c>
      <c r="O26" s="1472">
        <f t="shared" si="7"/>
        <v>260000</v>
      </c>
      <c r="P26" s="1473"/>
      <c r="Q26" s="1474"/>
      <c r="R26" s="1475"/>
      <c r="S26" s="152"/>
      <c r="T26" s="152"/>
      <c r="U26" s="413"/>
      <c r="V26" s="728"/>
    </row>
    <row r="27" spans="1:22" s="84" customFormat="1" x14ac:dyDescent="0.3">
      <c r="B27" s="62"/>
      <c r="C27" s="56"/>
      <c r="D27" s="56" t="s">
        <v>2</v>
      </c>
      <c r="E27" s="61"/>
      <c r="F27" s="174" t="s">
        <v>343</v>
      </c>
      <c r="G27" s="988" t="s">
        <v>334</v>
      </c>
      <c r="H27" s="56" t="s">
        <v>328</v>
      </c>
      <c r="I27" s="56" t="s">
        <v>725</v>
      </c>
      <c r="J27" s="56">
        <v>1</v>
      </c>
      <c r="K27" s="169">
        <v>450000</v>
      </c>
      <c r="L27" s="169">
        <v>500000</v>
      </c>
      <c r="M27" s="418">
        <f>J27*K27</f>
        <v>450000</v>
      </c>
      <c r="N27" s="503">
        <v>0</v>
      </c>
      <c r="O27" s="1472">
        <f t="shared" si="7"/>
        <v>500000</v>
      </c>
      <c r="P27" s="1473"/>
      <c r="Q27" s="1474" t="s">
        <v>522</v>
      </c>
      <c r="R27" s="1475"/>
      <c r="S27" s="152"/>
      <c r="T27" s="152" t="s">
        <v>1125</v>
      </c>
      <c r="U27" s="413"/>
      <c r="V27" s="728"/>
    </row>
    <row r="28" spans="1:22" s="82" customFormat="1" x14ac:dyDescent="0.3">
      <c r="B28" s="496"/>
      <c r="C28" s="416" t="s">
        <v>2</v>
      </c>
      <c r="D28" s="56"/>
      <c r="E28" s="819"/>
      <c r="F28" s="820" t="s">
        <v>268</v>
      </c>
      <c r="G28" s="988" t="s">
        <v>60</v>
      </c>
      <c r="H28" s="416" t="s">
        <v>60</v>
      </c>
      <c r="I28" s="56" t="s">
        <v>725</v>
      </c>
      <c r="J28" s="56">
        <v>1</v>
      </c>
      <c r="K28" s="55">
        <v>1000000</v>
      </c>
      <c r="L28" s="55">
        <v>1000000</v>
      </c>
      <c r="M28" s="418">
        <f>J28*K28</f>
        <v>1000000</v>
      </c>
      <c r="N28" s="503">
        <v>0.3</v>
      </c>
      <c r="O28" s="1472">
        <f t="shared" ref="O28" si="9">J28*L28*(1+N28)</f>
        <v>1300000</v>
      </c>
      <c r="P28" s="1473"/>
      <c r="Q28" s="780"/>
      <c r="R28" s="781"/>
      <c r="S28" s="204"/>
      <c r="T28" s="152"/>
      <c r="U28" s="413"/>
      <c r="V28" s="728"/>
    </row>
    <row r="29" spans="1:22" s="82" customFormat="1" x14ac:dyDescent="0.3">
      <c r="B29" s="496"/>
      <c r="C29" s="416"/>
      <c r="D29" s="56" t="s">
        <v>2</v>
      </c>
      <c r="E29" s="819"/>
      <c r="F29" s="820" t="s">
        <v>519</v>
      </c>
      <c r="G29" s="988" t="s">
        <v>520</v>
      </c>
      <c r="H29" s="416" t="s">
        <v>521</v>
      </c>
      <c r="I29" s="56" t="s">
        <v>725</v>
      </c>
      <c r="J29" s="56">
        <v>3</v>
      </c>
      <c r="K29" s="55">
        <v>20000</v>
      </c>
      <c r="L29" s="55">
        <v>20000</v>
      </c>
      <c r="M29" s="418">
        <f t="shared" ref="M29:M31" si="10">J29*K29</f>
        <v>60000</v>
      </c>
      <c r="N29" s="503">
        <v>0.3</v>
      </c>
      <c r="O29" s="1472">
        <f t="shared" si="7"/>
        <v>78000</v>
      </c>
      <c r="P29" s="1473"/>
      <c r="Q29" s="780"/>
      <c r="R29" s="781"/>
      <c r="S29" s="204"/>
      <c r="T29" s="152" t="s">
        <v>1125</v>
      </c>
      <c r="U29" s="70"/>
      <c r="V29" s="716"/>
    </row>
    <row r="30" spans="1:22" s="413" customFormat="1" x14ac:dyDescent="0.3">
      <c r="A30" s="82"/>
      <c r="B30" s="496"/>
      <c r="C30" s="416"/>
      <c r="D30" s="56" t="s">
        <v>2</v>
      </c>
      <c r="E30" s="819"/>
      <c r="F30" s="820" t="s">
        <v>909</v>
      </c>
      <c r="G30" s="988" t="s">
        <v>907</v>
      </c>
      <c r="H30" s="416" t="s">
        <v>518</v>
      </c>
      <c r="I30" s="56" t="s">
        <v>725</v>
      </c>
      <c r="J30" s="56">
        <v>4</v>
      </c>
      <c r="K30" s="55">
        <v>50000</v>
      </c>
      <c r="L30" s="55">
        <v>50000</v>
      </c>
      <c r="M30" s="418">
        <f t="shared" si="10"/>
        <v>200000</v>
      </c>
      <c r="N30" s="503">
        <v>0.3</v>
      </c>
      <c r="O30" s="1472">
        <f t="shared" si="7"/>
        <v>260000</v>
      </c>
      <c r="P30" s="1473"/>
      <c r="Q30" s="922"/>
      <c r="R30" s="923"/>
      <c r="S30" s="152"/>
      <c r="T30" s="152"/>
      <c r="V30" s="728"/>
    </row>
    <row r="31" spans="1:22" s="82" customFormat="1" x14ac:dyDescent="0.3">
      <c r="B31" s="960"/>
      <c r="C31" s="961"/>
      <c r="D31" s="964" t="s">
        <v>2</v>
      </c>
      <c r="E31" s="962"/>
      <c r="F31" s="963" t="s">
        <v>269</v>
      </c>
      <c r="G31" s="994" t="s">
        <v>270</v>
      </c>
      <c r="H31" s="961" t="s">
        <v>271</v>
      </c>
      <c r="I31" s="964" t="s">
        <v>725</v>
      </c>
      <c r="J31" s="964">
        <v>0</v>
      </c>
      <c r="K31" s="965">
        <v>120000</v>
      </c>
      <c r="L31" s="965">
        <v>120000</v>
      </c>
      <c r="M31" s="966">
        <f t="shared" si="10"/>
        <v>0</v>
      </c>
      <c r="N31" s="967">
        <v>0.3</v>
      </c>
      <c r="O31" s="1443">
        <f t="shared" si="7"/>
        <v>0</v>
      </c>
      <c r="P31" s="1444"/>
      <c r="Q31" s="968"/>
      <c r="R31" s="969"/>
      <c r="S31" s="970" t="s">
        <v>947</v>
      </c>
      <c r="T31" s="970"/>
      <c r="U31" s="413"/>
      <c r="V31" s="728"/>
    </row>
    <row r="32" spans="1:22" s="84" customFormat="1" x14ac:dyDescent="0.3">
      <c r="B32" s="496"/>
      <c r="C32" s="416"/>
      <c r="D32" s="416" t="s">
        <v>2</v>
      </c>
      <c r="E32" s="819"/>
      <c r="F32" s="820" t="s">
        <v>272</v>
      </c>
      <c r="G32" s="988" t="s">
        <v>757</v>
      </c>
      <c r="H32" s="56" t="s">
        <v>626</v>
      </c>
      <c r="I32" s="56" t="s">
        <v>725</v>
      </c>
      <c r="J32" s="56">
        <v>1</v>
      </c>
      <c r="K32" s="55">
        <v>250000</v>
      </c>
      <c r="L32" s="55">
        <v>250000</v>
      </c>
      <c r="M32" s="418">
        <f t="shared" ref="M32" si="11">J32*K32</f>
        <v>250000</v>
      </c>
      <c r="N32" s="503">
        <v>0.3</v>
      </c>
      <c r="O32" s="1472">
        <f t="shared" si="7"/>
        <v>325000</v>
      </c>
      <c r="P32" s="1473"/>
      <c r="Q32" s="1474" t="s">
        <v>572</v>
      </c>
      <c r="R32" s="1475"/>
      <c r="S32" s="152"/>
      <c r="T32" s="152" t="s">
        <v>1125</v>
      </c>
      <c r="U32" s="413" t="s">
        <v>630</v>
      </c>
      <c r="V32" s="728">
        <f>(500000+(300000*1))*1.2</f>
        <v>960000</v>
      </c>
    </row>
    <row r="33" spans="1:22" s="413" customFormat="1" x14ac:dyDescent="0.3">
      <c r="A33" s="82"/>
      <c r="B33" s="496"/>
      <c r="C33" s="416" t="s">
        <v>2</v>
      </c>
      <c r="D33" s="56"/>
      <c r="E33" s="819"/>
      <c r="F33" s="820" t="s">
        <v>419</v>
      </c>
      <c r="G33" s="988" t="s">
        <v>60</v>
      </c>
      <c r="H33" s="416" t="s">
        <v>60</v>
      </c>
      <c r="I33" s="56" t="s">
        <v>725</v>
      </c>
      <c r="J33" s="56">
        <v>1</v>
      </c>
      <c r="K33" s="55">
        <v>3500000</v>
      </c>
      <c r="L33" s="55">
        <v>3500000</v>
      </c>
      <c r="M33" s="418">
        <f t="shared" ref="M33:M38" si="12">J33*K33</f>
        <v>3500000</v>
      </c>
      <c r="N33" s="503">
        <v>0.3</v>
      </c>
      <c r="O33" s="1472">
        <f>J33*L33*(1+N33)</f>
        <v>4550000</v>
      </c>
      <c r="P33" s="1473"/>
      <c r="Q33" s="780"/>
      <c r="R33" s="781"/>
      <c r="S33" s="152"/>
      <c r="T33" s="152"/>
      <c r="V33" s="728"/>
    </row>
    <row r="34" spans="1:22" s="413" customFormat="1" x14ac:dyDescent="0.3">
      <c r="A34" s="82"/>
      <c r="B34" s="496"/>
      <c r="C34" s="416" t="s">
        <v>2</v>
      </c>
      <c r="D34" s="416"/>
      <c r="E34" s="819"/>
      <c r="F34" s="174" t="s">
        <v>247</v>
      </c>
      <c r="G34" s="988" t="s">
        <v>732</v>
      </c>
      <c r="H34" s="56" t="s">
        <v>756</v>
      </c>
      <c r="I34" s="56" t="s">
        <v>249</v>
      </c>
      <c r="J34" s="56">
        <v>1</v>
      </c>
      <c r="K34" s="55">
        <v>530000</v>
      </c>
      <c r="L34" s="55">
        <v>530000</v>
      </c>
      <c r="M34" s="418">
        <f t="shared" si="12"/>
        <v>530000</v>
      </c>
      <c r="N34" s="503">
        <v>0.3</v>
      </c>
      <c r="O34" s="1472">
        <f>J34*L34*(1+N34)</f>
        <v>689000</v>
      </c>
      <c r="P34" s="1473"/>
      <c r="Q34" s="780"/>
      <c r="R34" s="781"/>
      <c r="S34" s="152" t="s">
        <v>734</v>
      </c>
      <c r="T34" s="152" t="s">
        <v>1124</v>
      </c>
      <c r="V34" s="728"/>
    </row>
    <row r="35" spans="1:22" s="84" customFormat="1" x14ac:dyDescent="0.3">
      <c r="B35" s="496"/>
      <c r="C35" s="416" t="s">
        <v>2</v>
      </c>
      <c r="D35" s="416"/>
      <c r="E35" s="819"/>
      <c r="F35" s="174" t="s">
        <v>727</v>
      </c>
      <c r="G35" s="988" t="s">
        <v>758</v>
      </c>
      <c r="H35" s="56" t="s">
        <v>726</v>
      </c>
      <c r="I35" s="56" t="s">
        <v>251</v>
      </c>
      <c r="J35" s="56">
        <v>1</v>
      </c>
      <c r="K35" s="55">
        <v>140000</v>
      </c>
      <c r="L35" s="55">
        <v>200000</v>
      </c>
      <c r="M35" s="418">
        <f t="shared" si="12"/>
        <v>140000</v>
      </c>
      <c r="N35" s="503">
        <v>0.3</v>
      </c>
      <c r="O35" s="1472">
        <f>J35*L35*(1+N35)</f>
        <v>260000</v>
      </c>
      <c r="P35" s="1473"/>
      <c r="Q35" s="1474"/>
      <c r="R35" s="1475"/>
      <c r="S35" s="152" t="s">
        <v>1130</v>
      </c>
      <c r="T35" s="152"/>
      <c r="U35" s="413"/>
      <c r="V35" s="728"/>
    </row>
    <row r="36" spans="1:22" s="82" customFormat="1" x14ac:dyDescent="0.3">
      <c r="B36" s="496"/>
      <c r="C36" s="416" t="s">
        <v>2</v>
      </c>
      <c r="D36" s="416"/>
      <c r="E36" s="819"/>
      <c r="F36" s="174" t="s">
        <v>252</v>
      </c>
      <c r="G36" s="988" t="s">
        <v>729</v>
      </c>
      <c r="H36" s="56" t="s">
        <v>254</v>
      </c>
      <c r="I36" s="56" t="s">
        <v>254</v>
      </c>
      <c r="J36" s="56">
        <v>1</v>
      </c>
      <c r="K36" s="55">
        <v>2630000</v>
      </c>
      <c r="L36" s="55">
        <v>3000000</v>
      </c>
      <c r="M36" s="418">
        <f t="shared" si="12"/>
        <v>2630000</v>
      </c>
      <c r="N36" s="503">
        <v>0.3</v>
      </c>
      <c r="O36" s="1472">
        <f>J36*L36*(1+N36)</f>
        <v>3900000</v>
      </c>
      <c r="P36" s="1473"/>
      <c r="Q36" s="780"/>
      <c r="R36" s="781"/>
      <c r="S36" s="289" t="s">
        <v>760</v>
      </c>
      <c r="T36" s="152" t="s">
        <v>1124</v>
      </c>
      <c r="U36" s="413"/>
      <c r="V36" s="728"/>
    </row>
    <row r="37" spans="1:22" s="82" customFormat="1" x14ac:dyDescent="0.3">
      <c r="B37" s="496"/>
      <c r="C37" s="416" t="s">
        <v>2</v>
      </c>
      <c r="D37" s="416"/>
      <c r="E37" s="819"/>
      <c r="F37" s="822" t="s">
        <v>355</v>
      </c>
      <c r="G37" s="991" t="s">
        <v>1058</v>
      </c>
      <c r="H37" s="56" t="s">
        <v>636</v>
      </c>
      <c r="I37" s="56" t="s">
        <v>636</v>
      </c>
      <c r="J37" s="56">
        <v>1</v>
      </c>
      <c r="K37" s="55">
        <v>7500</v>
      </c>
      <c r="L37" s="55">
        <v>70000</v>
      </c>
      <c r="M37" s="418">
        <f t="shared" si="12"/>
        <v>7500</v>
      </c>
      <c r="N37" s="503">
        <v>0.3</v>
      </c>
      <c r="O37" s="1472">
        <f t="shared" si="7"/>
        <v>91000</v>
      </c>
      <c r="P37" s="1473"/>
      <c r="Q37" s="1474" t="s">
        <v>571</v>
      </c>
      <c r="R37" s="1475"/>
      <c r="S37" s="1469" t="s">
        <v>733</v>
      </c>
      <c r="T37" s="1469"/>
      <c r="U37" s="413"/>
      <c r="V37" s="728"/>
    </row>
    <row r="38" spans="1:22" s="82" customFormat="1" x14ac:dyDescent="0.3">
      <c r="B38" s="496"/>
      <c r="C38" s="416"/>
      <c r="D38" s="416" t="s">
        <v>2</v>
      </c>
      <c r="E38" s="819"/>
      <c r="F38" s="820" t="s">
        <v>354</v>
      </c>
      <c r="G38" s="991" t="s">
        <v>1029</v>
      </c>
      <c r="H38" s="56" t="s">
        <v>636</v>
      </c>
      <c r="I38" s="56" t="s">
        <v>636</v>
      </c>
      <c r="J38" s="56">
        <v>1</v>
      </c>
      <c r="K38" s="55">
        <v>7500</v>
      </c>
      <c r="L38" s="55">
        <v>70000</v>
      </c>
      <c r="M38" s="418">
        <f t="shared" si="12"/>
        <v>7500</v>
      </c>
      <c r="N38" s="503">
        <v>0.3</v>
      </c>
      <c r="O38" s="1472">
        <f t="shared" si="7"/>
        <v>91000</v>
      </c>
      <c r="P38" s="1473"/>
      <c r="Q38" s="1474" t="s">
        <v>561</v>
      </c>
      <c r="R38" s="1475"/>
      <c r="S38" s="1470"/>
      <c r="T38" s="1470"/>
      <c r="U38" s="413"/>
      <c r="V38" s="728"/>
    </row>
    <row r="39" spans="1:22" s="413" customFormat="1" x14ac:dyDescent="0.3">
      <c r="A39" s="82"/>
      <c r="B39" s="496"/>
      <c r="C39" s="416"/>
      <c r="D39" s="416" t="s">
        <v>2</v>
      </c>
      <c r="E39" s="819"/>
      <c r="F39" s="820" t="s">
        <v>357</v>
      </c>
      <c r="G39" s="991" t="s">
        <v>1058</v>
      </c>
      <c r="H39" s="56" t="s">
        <v>636</v>
      </c>
      <c r="I39" s="56" t="s">
        <v>636</v>
      </c>
      <c r="J39" s="56">
        <v>1</v>
      </c>
      <c r="K39" s="55">
        <v>7500</v>
      </c>
      <c r="L39" s="55">
        <v>70000</v>
      </c>
      <c r="M39" s="55">
        <v>70000</v>
      </c>
      <c r="N39" s="503">
        <v>0.3</v>
      </c>
      <c r="O39" s="1472">
        <f t="shared" si="7"/>
        <v>91000</v>
      </c>
      <c r="P39" s="1473"/>
      <c r="Q39" s="1474" t="s">
        <v>361</v>
      </c>
      <c r="R39" s="1475"/>
      <c r="S39" s="1470"/>
      <c r="T39" s="1470"/>
      <c r="V39" s="728"/>
    </row>
    <row r="40" spans="1:22" s="82" customFormat="1" ht="17.25" thickBot="1" x14ac:dyDescent="0.35">
      <c r="B40" s="496"/>
      <c r="C40" s="416"/>
      <c r="D40" s="416" t="s">
        <v>2</v>
      </c>
      <c r="E40" s="819"/>
      <c r="F40" s="820" t="s">
        <v>587</v>
      </c>
      <c r="G40" s="989" t="s">
        <v>728</v>
      </c>
      <c r="H40" s="56" t="s">
        <v>636</v>
      </c>
      <c r="I40" s="56" t="s">
        <v>636</v>
      </c>
      <c r="J40" s="56">
        <v>1</v>
      </c>
      <c r="K40" s="55">
        <v>21000</v>
      </c>
      <c r="L40" s="55">
        <v>20000</v>
      </c>
      <c r="M40" s="55">
        <f t="shared" ref="M40" si="13">J40*K40</f>
        <v>21000</v>
      </c>
      <c r="N40" s="503">
        <v>0.3</v>
      </c>
      <c r="O40" s="1472">
        <f t="shared" si="7"/>
        <v>26000</v>
      </c>
      <c r="P40" s="1473"/>
      <c r="Q40" s="1474" t="s">
        <v>589</v>
      </c>
      <c r="R40" s="1475"/>
      <c r="S40" s="1471"/>
      <c r="T40" s="1471"/>
      <c r="U40" s="413" t="s">
        <v>629</v>
      </c>
      <c r="V40" s="728">
        <f>(2000000+(300000*3))*1.2</f>
        <v>3480000</v>
      </c>
    </row>
    <row r="41" spans="1:22" s="82" customFormat="1" ht="17.25" thickBot="1" x14ac:dyDescent="0.35">
      <c r="B41" s="365"/>
      <c r="C41" s="366"/>
      <c r="D41" s="366"/>
      <c r="E41" s="367"/>
      <c r="F41" s="156"/>
      <c r="G41" s="197"/>
      <c r="H41" s="155"/>
      <c r="I41" s="155"/>
      <c r="J41" s="186"/>
      <c r="K41" s="199"/>
      <c r="L41" s="55"/>
      <c r="M41" s="164"/>
      <c r="N41" s="158"/>
      <c r="O41" s="641"/>
      <c r="P41" s="642"/>
      <c r="Q41" s="645"/>
      <c r="R41" s="646"/>
      <c r="S41" s="204"/>
      <c r="T41" s="204"/>
      <c r="U41" s="413"/>
      <c r="V41" s="728"/>
    </row>
    <row r="42" spans="1:22" s="82" customFormat="1" ht="18" thickBot="1" x14ac:dyDescent="0.35">
      <c r="B42" s="1338" t="s">
        <v>53</v>
      </c>
      <c r="C42" s="1339"/>
      <c r="D42" s="1339"/>
      <c r="E42" s="1339"/>
      <c r="F42" s="1339"/>
      <c r="G42" s="1339"/>
      <c r="H42" s="1339"/>
      <c r="I42" s="1339"/>
      <c r="J42" s="1339"/>
      <c r="K42" s="1339"/>
      <c r="L42" s="1340"/>
      <c r="M42" s="123">
        <f>SUM(M5:M41)</f>
        <v>80954481.832000002</v>
      </c>
      <c r="N42" s="136"/>
      <c r="O42" s="1341">
        <f>SUM(O5:P41)</f>
        <v>119682000</v>
      </c>
      <c r="P42" s="1342"/>
      <c r="Q42" s="1343"/>
      <c r="R42" s="1344"/>
      <c r="S42" s="130"/>
      <c r="T42" s="130"/>
    </row>
    <row r="43" spans="1:22" s="82" customFormat="1" ht="17.25" thickBot="1" x14ac:dyDescent="0.35">
      <c r="B43" s="122" t="s">
        <v>2</v>
      </c>
      <c r="C43" s="116"/>
      <c r="D43" s="116"/>
      <c r="E43" s="117"/>
      <c r="F43" s="118" t="s">
        <v>321</v>
      </c>
      <c r="G43" s="119"/>
      <c r="H43" s="119"/>
      <c r="I43" s="119"/>
      <c r="J43" s="119"/>
      <c r="K43" s="119"/>
      <c r="L43" s="120"/>
      <c r="M43" s="121"/>
      <c r="N43" s="135"/>
      <c r="O43" s="1447"/>
      <c r="P43" s="1448"/>
      <c r="Q43" s="1326"/>
      <c r="R43" s="1327"/>
      <c r="S43" s="115"/>
      <c r="T43" s="115"/>
    </row>
    <row r="44" spans="1:22" s="82" customFormat="1" x14ac:dyDescent="0.3">
      <c r="B44" s="64"/>
      <c r="C44" s="65" t="s">
        <v>73</v>
      </c>
      <c r="D44" s="80"/>
      <c r="E44" s="698"/>
      <c r="F44" s="699" t="s">
        <v>319</v>
      </c>
      <c r="G44" s="700" t="s">
        <v>94</v>
      </c>
      <c r="H44" s="700" t="s">
        <v>130</v>
      </c>
      <c r="I44" s="700" t="s">
        <v>131</v>
      </c>
      <c r="J44" s="701">
        <v>10</v>
      </c>
      <c r="K44" s="55">
        <v>307000</v>
      </c>
      <c r="L44" s="55">
        <v>307000</v>
      </c>
      <c r="M44" s="702">
        <f t="shared" ref="M44" si="14">J44*K44</f>
        <v>3070000</v>
      </c>
      <c r="N44" s="148"/>
      <c r="O44" s="1328">
        <f t="shared" ref="O44" si="15">L44*J44</f>
        <v>3070000</v>
      </c>
      <c r="P44" s="1329"/>
      <c r="Q44" s="1492"/>
      <c r="R44" s="1493"/>
      <c r="S44" s="207"/>
      <c r="T44" s="207"/>
    </row>
    <row r="45" spans="1:22" s="84" customFormat="1" x14ac:dyDescent="0.3">
      <c r="B45" s="62"/>
      <c r="C45" s="63" t="s">
        <v>73</v>
      </c>
      <c r="D45" s="56"/>
      <c r="E45" s="823"/>
      <c r="F45" s="824" t="s">
        <v>320</v>
      </c>
      <c r="G45" s="825" t="s">
        <v>94</v>
      </c>
      <c r="H45" s="825" t="s">
        <v>130</v>
      </c>
      <c r="I45" s="825" t="s">
        <v>131</v>
      </c>
      <c r="J45" s="826">
        <v>35</v>
      </c>
      <c r="K45" s="55">
        <v>307000</v>
      </c>
      <c r="L45" s="55">
        <v>307000</v>
      </c>
      <c r="M45" s="827">
        <f t="shared" ref="M45" si="16">J45*K45</f>
        <v>10745000</v>
      </c>
      <c r="N45" s="158"/>
      <c r="O45" s="1328">
        <f t="shared" ref="O45" si="17">L45*J45</f>
        <v>10745000</v>
      </c>
      <c r="P45" s="1329"/>
      <c r="Q45" s="1494"/>
      <c r="R45" s="1495"/>
      <c r="S45" s="212"/>
      <c r="T45" s="212"/>
    </row>
    <row r="46" spans="1:22" s="84" customFormat="1" ht="17.25" thickBot="1" x14ac:dyDescent="0.35">
      <c r="B46" s="57"/>
      <c r="C46" s="58"/>
      <c r="D46" s="59"/>
      <c r="E46" s="828"/>
      <c r="F46" s="829"/>
      <c r="G46" s="830"/>
      <c r="H46" s="830"/>
      <c r="I46" s="830"/>
      <c r="J46" s="831"/>
      <c r="K46" s="832"/>
      <c r="L46" s="832"/>
      <c r="M46" s="833"/>
      <c r="N46" s="162"/>
      <c r="O46" s="1328">
        <f t="shared" ref="O46" si="18">L46</f>
        <v>0</v>
      </c>
      <c r="P46" s="1329"/>
      <c r="Q46" s="1453"/>
      <c r="R46" s="1454"/>
      <c r="S46" s="217"/>
      <c r="T46" s="217"/>
    </row>
    <row r="47" spans="1:22" s="84" customFormat="1" ht="17.25" thickBot="1" x14ac:dyDescent="0.35">
      <c r="B47" s="122" t="s">
        <v>2</v>
      </c>
      <c r="C47" s="116"/>
      <c r="D47" s="116"/>
      <c r="E47" s="117"/>
      <c r="F47" s="218" t="s">
        <v>322</v>
      </c>
      <c r="G47" s="219"/>
      <c r="H47" s="219"/>
      <c r="I47" s="219"/>
      <c r="J47" s="219"/>
      <c r="K47" s="220"/>
      <c r="L47" s="220"/>
      <c r="M47" s="221"/>
      <c r="N47" s="135"/>
      <c r="O47" s="1447"/>
      <c r="P47" s="1448"/>
      <c r="Q47" s="1447"/>
      <c r="R47" s="1448"/>
      <c r="S47" s="115"/>
      <c r="T47" s="115"/>
    </row>
    <row r="48" spans="1:22" s="84" customFormat="1" x14ac:dyDescent="0.3">
      <c r="B48" s="64"/>
      <c r="C48" s="65" t="s">
        <v>2</v>
      </c>
      <c r="D48" s="65"/>
      <c r="E48" s="66"/>
      <c r="F48" s="88" t="s">
        <v>7</v>
      </c>
      <c r="G48" s="85"/>
      <c r="H48" s="223" t="s">
        <v>130</v>
      </c>
      <c r="I48" s="223" t="s">
        <v>131</v>
      </c>
      <c r="J48" s="80">
        <v>5</v>
      </c>
      <c r="K48" s="55">
        <v>307000</v>
      </c>
      <c r="L48" s="55">
        <v>307000</v>
      </c>
      <c r="M48" s="112">
        <f>K48*J48</f>
        <v>1535000</v>
      </c>
      <c r="N48" s="137"/>
      <c r="O48" s="1365">
        <f t="shared" ref="O48:O54" si="19">L48*J48</f>
        <v>1535000</v>
      </c>
      <c r="P48" s="1366"/>
      <c r="Q48" s="1359" t="s">
        <v>62</v>
      </c>
      <c r="R48" s="1360"/>
      <c r="S48" s="94"/>
      <c r="T48" s="94"/>
    </row>
    <row r="49" spans="2:20" s="84" customFormat="1" x14ac:dyDescent="0.3">
      <c r="B49" s="62"/>
      <c r="C49" s="63" t="s">
        <v>2</v>
      </c>
      <c r="D49" s="63"/>
      <c r="E49" s="61"/>
      <c r="F49" s="89" t="s">
        <v>11</v>
      </c>
      <c r="G49" s="86"/>
      <c r="H49" s="223" t="s">
        <v>130</v>
      </c>
      <c r="I49" s="223" t="s">
        <v>131</v>
      </c>
      <c r="J49" s="56">
        <v>3</v>
      </c>
      <c r="K49" s="55">
        <v>307000</v>
      </c>
      <c r="L49" s="55">
        <v>307000</v>
      </c>
      <c r="M49" s="113">
        <f t="shared" ref="M49:M54" si="20">K49*J49</f>
        <v>921000</v>
      </c>
      <c r="N49" s="138"/>
      <c r="O49" s="1365">
        <f t="shared" si="19"/>
        <v>921000</v>
      </c>
      <c r="P49" s="1366"/>
      <c r="Q49" s="1361"/>
      <c r="R49" s="1362"/>
      <c r="S49" s="95"/>
      <c r="T49" s="95"/>
    </row>
    <row r="50" spans="2:20" s="84" customFormat="1" x14ac:dyDescent="0.3">
      <c r="B50" s="62"/>
      <c r="C50" s="63" t="s">
        <v>2</v>
      </c>
      <c r="D50" s="63"/>
      <c r="E50" s="61"/>
      <c r="F50" s="89" t="s">
        <v>41</v>
      </c>
      <c r="G50" s="86"/>
      <c r="H50" s="223" t="s">
        <v>130</v>
      </c>
      <c r="I50" s="223" t="s">
        <v>131</v>
      </c>
      <c r="J50" s="56">
        <v>5</v>
      </c>
      <c r="K50" s="55">
        <v>307000</v>
      </c>
      <c r="L50" s="55">
        <v>307000</v>
      </c>
      <c r="M50" s="113">
        <f t="shared" si="20"/>
        <v>1535000</v>
      </c>
      <c r="N50" s="138"/>
      <c r="O50" s="1365">
        <f t="shared" si="19"/>
        <v>1535000</v>
      </c>
      <c r="P50" s="1366"/>
      <c r="Q50" s="1361"/>
      <c r="R50" s="1362"/>
      <c r="S50" s="95"/>
      <c r="T50" s="95"/>
    </row>
    <row r="51" spans="2:20" x14ac:dyDescent="0.3">
      <c r="B51" s="62"/>
      <c r="C51" s="63" t="s">
        <v>2</v>
      </c>
      <c r="D51" s="63"/>
      <c r="E51" s="61"/>
      <c r="F51" s="89" t="s">
        <v>10</v>
      </c>
      <c r="G51" s="86"/>
      <c r="H51" s="223" t="s">
        <v>130</v>
      </c>
      <c r="I51" s="223" t="s">
        <v>131</v>
      </c>
      <c r="J51" s="56">
        <v>3</v>
      </c>
      <c r="K51" s="55">
        <v>307000</v>
      </c>
      <c r="L51" s="55">
        <v>307000</v>
      </c>
      <c r="M51" s="113">
        <f t="shared" si="20"/>
        <v>921000</v>
      </c>
      <c r="N51" s="138"/>
      <c r="O51" s="1365">
        <f t="shared" si="19"/>
        <v>921000</v>
      </c>
      <c r="P51" s="1366"/>
      <c r="Q51" s="1361"/>
      <c r="R51" s="1362"/>
      <c r="S51" s="95"/>
      <c r="T51" s="95"/>
    </row>
    <row r="52" spans="2:20" x14ac:dyDescent="0.3">
      <c r="B52" s="62"/>
      <c r="C52" s="63" t="s">
        <v>2</v>
      </c>
      <c r="D52" s="63"/>
      <c r="E52" s="61"/>
      <c r="F52" s="89" t="s">
        <v>61</v>
      </c>
      <c r="G52" s="86"/>
      <c r="H52" s="223" t="s">
        <v>130</v>
      </c>
      <c r="I52" s="223" t="s">
        <v>131</v>
      </c>
      <c r="J52" s="56">
        <v>2</v>
      </c>
      <c r="K52" s="55">
        <v>307000</v>
      </c>
      <c r="L52" s="55">
        <v>307000</v>
      </c>
      <c r="M52" s="113">
        <f t="shared" si="20"/>
        <v>614000</v>
      </c>
      <c r="N52" s="138"/>
      <c r="O52" s="1365">
        <f t="shared" si="19"/>
        <v>614000</v>
      </c>
      <c r="P52" s="1366"/>
      <c r="Q52" s="1361"/>
      <c r="R52" s="1362"/>
      <c r="S52" s="95"/>
      <c r="T52" s="95"/>
    </row>
    <row r="53" spans="2:20" x14ac:dyDescent="0.3">
      <c r="B53" s="67"/>
      <c r="C53" s="63" t="s">
        <v>2</v>
      </c>
      <c r="D53" s="68"/>
      <c r="E53" s="69"/>
      <c r="F53" s="90" t="s">
        <v>9</v>
      </c>
      <c r="G53" s="86"/>
      <c r="H53" s="223" t="s">
        <v>130</v>
      </c>
      <c r="I53" s="223" t="s">
        <v>131</v>
      </c>
      <c r="J53" s="56">
        <v>5</v>
      </c>
      <c r="K53" s="55">
        <v>307000</v>
      </c>
      <c r="L53" s="55">
        <v>307000</v>
      </c>
      <c r="M53" s="113">
        <f t="shared" si="20"/>
        <v>1535000</v>
      </c>
      <c r="N53" s="138"/>
      <c r="O53" s="1365">
        <f t="shared" si="19"/>
        <v>1535000</v>
      </c>
      <c r="P53" s="1366"/>
      <c r="Q53" s="1361"/>
      <c r="R53" s="1362"/>
      <c r="S53" s="95"/>
      <c r="T53" s="95"/>
    </row>
    <row r="54" spans="2:20" ht="17.25" thickBot="1" x14ac:dyDescent="0.35">
      <c r="B54" s="57"/>
      <c r="C54" s="58" t="s">
        <v>2</v>
      </c>
      <c r="D54" s="58"/>
      <c r="E54" s="60"/>
      <c r="F54" s="91" t="s">
        <v>8</v>
      </c>
      <c r="G54" s="87"/>
      <c r="H54" s="223" t="s">
        <v>130</v>
      </c>
      <c r="I54" s="223" t="s">
        <v>131</v>
      </c>
      <c r="J54" s="59">
        <v>2</v>
      </c>
      <c r="K54" s="55">
        <v>307000</v>
      </c>
      <c r="L54" s="55">
        <v>307000</v>
      </c>
      <c r="M54" s="114">
        <f t="shared" si="20"/>
        <v>614000</v>
      </c>
      <c r="N54" s="139"/>
      <c r="O54" s="1365">
        <f t="shared" si="19"/>
        <v>614000</v>
      </c>
      <c r="P54" s="1366"/>
      <c r="Q54" s="1363"/>
      <c r="R54" s="1364"/>
      <c r="S54" s="96"/>
      <c r="T54" s="96"/>
    </row>
    <row r="55" spans="2:20" ht="18" thickBot="1" x14ac:dyDescent="0.35">
      <c r="B55" s="1345" t="s">
        <v>46</v>
      </c>
      <c r="C55" s="1346"/>
      <c r="D55" s="1346"/>
      <c r="E55" s="1346"/>
      <c r="F55" s="1346"/>
      <c r="G55" s="1346"/>
      <c r="H55" s="1346"/>
      <c r="I55" s="1346"/>
      <c r="J55" s="1346"/>
      <c r="K55" s="1346"/>
      <c r="L55" s="1347"/>
      <c r="M55" s="124">
        <f>SUM(M43:M54)</f>
        <v>21490000</v>
      </c>
      <c r="N55" s="140"/>
      <c r="O55" s="1348">
        <f>SUM(O43:P54)</f>
        <v>21490000</v>
      </c>
      <c r="P55" s="1349"/>
      <c r="Q55" s="1350"/>
      <c r="R55" s="1350"/>
      <c r="S55" s="1351"/>
      <c r="T55" s="1248"/>
    </row>
    <row r="56" spans="2:20" ht="20.25" thickBot="1" x14ac:dyDescent="0.35">
      <c r="B56" s="1352" t="s">
        <v>52</v>
      </c>
      <c r="C56" s="1353"/>
      <c r="D56" s="1353"/>
      <c r="E56" s="1353"/>
      <c r="F56" s="1353"/>
      <c r="G56" s="1353"/>
      <c r="H56" s="1353"/>
      <c r="I56" s="1353"/>
      <c r="J56" s="1353"/>
      <c r="K56" s="1353"/>
      <c r="L56" s="1353"/>
      <c r="M56" s="125"/>
      <c r="N56" s="134">
        <v>0.03</v>
      </c>
      <c r="O56" s="1354">
        <f>ROUNDDOWN(O42*N56,-3)</f>
        <v>3590000</v>
      </c>
      <c r="P56" s="1355"/>
      <c r="Q56" s="1356"/>
      <c r="R56" s="1357"/>
      <c r="S56" s="1358"/>
      <c r="T56" s="1249"/>
    </row>
    <row r="57" spans="2:20" ht="20.25" thickBot="1" x14ac:dyDescent="0.35">
      <c r="B57" s="1352" t="s">
        <v>54</v>
      </c>
      <c r="C57" s="1353"/>
      <c r="D57" s="1353"/>
      <c r="E57" s="1353"/>
      <c r="F57" s="1353"/>
      <c r="G57" s="1353"/>
      <c r="H57" s="1353"/>
      <c r="I57" s="1353"/>
      <c r="J57" s="1353"/>
      <c r="K57" s="1353"/>
      <c r="L57" s="1353"/>
      <c r="M57" s="127"/>
      <c r="N57" s="128"/>
      <c r="O57" s="1354">
        <f>SUM(O56,O55,O42)</f>
        <v>144762000</v>
      </c>
      <c r="P57" s="1355"/>
      <c r="Q57" s="1374"/>
      <c r="R57" s="1375"/>
      <c r="S57" s="1376"/>
      <c r="T57" s="1250"/>
    </row>
    <row r="58" spans="2:20" ht="20.25" thickBot="1" x14ac:dyDescent="0.35">
      <c r="B58" s="1352" t="s">
        <v>51</v>
      </c>
      <c r="C58" s="1353"/>
      <c r="D58" s="1353"/>
      <c r="E58" s="1353"/>
      <c r="F58" s="1353"/>
      <c r="G58" s="1353"/>
      <c r="H58" s="1353"/>
      <c r="I58" s="1353"/>
      <c r="J58" s="1353"/>
      <c r="K58" s="1353"/>
      <c r="L58" s="1353"/>
      <c r="M58" s="129"/>
      <c r="N58" s="126">
        <v>0.1</v>
      </c>
      <c r="O58" s="1381">
        <f>ROUNDDOWN(O57*N58,-3)</f>
        <v>14476000</v>
      </c>
      <c r="P58" s="1382"/>
      <c r="Q58" s="1383"/>
      <c r="R58" s="1384"/>
      <c r="S58" s="1385"/>
      <c r="T58" s="1250"/>
    </row>
    <row r="59" spans="2:20" ht="21" thickBot="1" x14ac:dyDescent="0.35">
      <c r="B59" s="1367" t="s">
        <v>44</v>
      </c>
      <c r="C59" s="1368"/>
      <c r="D59" s="1368"/>
      <c r="E59" s="1368"/>
      <c r="F59" s="1368"/>
      <c r="G59" s="1368"/>
      <c r="H59" s="1368"/>
      <c r="I59" s="1368"/>
      <c r="J59" s="1368"/>
      <c r="K59" s="1368"/>
      <c r="L59" s="1368"/>
      <c r="M59" s="92"/>
      <c r="N59" s="111"/>
      <c r="O59" s="1369">
        <f>ROUNDDOWN(SUM(O57:P58), -6)</f>
        <v>159000000</v>
      </c>
      <c r="P59" s="1370"/>
      <c r="Q59" s="1371"/>
      <c r="R59" s="1372"/>
      <c r="S59" s="1373"/>
      <c r="T59" s="1251"/>
    </row>
    <row r="60" spans="2:20" ht="21" thickBot="1" x14ac:dyDescent="0.35">
      <c r="B60" s="104"/>
      <c r="C60" s="104"/>
      <c r="D60" s="104"/>
      <c r="E60" s="104"/>
      <c r="F60" s="105"/>
      <c r="G60" s="105"/>
      <c r="H60" s="105"/>
      <c r="I60" s="105"/>
      <c r="J60" s="105"/>
      <c r="K60" s="105"/>
      <c r="L60" s="105"/>
      <c r="M60" s="106"/>
      <c r="N60" s="107"/>
      <c r="O60" s="107"/>
      <c r="P60" s="107"/>
      <c r="Q60" s="108"/>
      <c r="R60" s="108"/>
      <c r="S60" s="108"/>
      <c r="T60" s="108"/>
    </row>
    <row r="61" spans="2:20" ht="18" thickBot="1" x14ac:dyDescent="0.35">
      <c r="B61" s="1374" t="s">
        <v>50</v>
      </c>
      <c r="C61" s="1375"/>
      <c r="D61" s="1375"/>
      <c r="E61" s="1376"/>
      <c r="F61" s="109"/>
      <c r="G61" s="109"/>
      <c r="H61" s="109"/>
      <c r="I61" s="109"/>
      <c r="J61" s="109"/>
      <c r="K61" s="110"/>
      <c r="L61" s="110"/>
      <c r="M61" s="110"/>
      <c r="N61" s="77" t="s">
        <v>14</v>
      </c>
      <c r="O61" s="1377" t="s">
        <v>15</v>
      </c>
      <c r="P61" s="1378"/>
      <c r="Q61" s="1379" t="s">
        <v>17</v>
      </c>
      <c r="R61" s="1380"/>
      <c r="S61" s="166" t="s">
        <v>16</v>
      </c>
      <c r="T61" s="166"/>
    </row>
    <row r="62" spans="2:20" x14ac:dyDescent="0.3">
      <c r="B62" s="102">
        <v>1</v>
      </c>
      <c r="C62" s="1400"/>
      <c r="D62" s="1401"/>
      <c r="E62" s="1401"/>
      <c r="F62" s="1401"/>
      <c r="G62" s="1401"/>
      <c r="H62" s="1401"/>
      <c r="I62" s="1401"/>
      <c r="J62" s="1402"/>
      <c r="N62" s="11">
        <v>0</v>
      </c>
      <c r="O62" s="1403">
        <f>$O$59/(1+N62)</f>
        <v>159000000</v>
      </c>
      <c r="P62" s="1404"/>
      <c r="Q62" s="1405">
        <f>O62-$M$42</f>
        <v>78045518.167999998</v>
      </c>
      <c r="R62" s="1406"/>
      <c r="S62" s="160">
        <f>Q62/O62</f>
        <v>0.49085231552201258</v>
      </c>
      <c r="T62" s="160"/>
    </row>
    <row r="63" spans="2:20" x14ac:dyDescent="0.3">
      <c r="B63" s="100">
        <v>2</v>
      </c>
      <c r="C63" s="1458"/>
      <c r="D63" s="1456"/>
      <c r="E63" s="1456"/>
      <c r="F63" s="1456"/>
      <c r="G63" s="1456"/>
      <c r="H63" s="1456"/>
      <c r="I63" s="1456"/>
      <c r="J63" s="1457"/>
      <c r="N63" s="9">
        <v>0.1</v>
      </c>
      <c r="O63" s="1389">
        <f>$O$59/(1+N63)</f>
        <v>144545454.54545453</v>
      </c>
      <c r="P63" s="1390"/>
      <c r="Q63" s="1391">
        <f t="shared" ref="Q63:Q66" si="21">O63-$M$42</f>
        <v>63590972.71345453</v>
      </c>
      <c r="R63" s="1392"/>
      <c r="S63" s="161">
        <f t="shared" ref="S63:S66" si="22">Q63/O63</f>
        <v>0.43993754707421379</v>
      </c>
      <c r="T63" s="161"/>
    </row>
    <row r="64" spans="2:20" x14ac:dyDescent="0.3">
      <c r="B64" s="100">
        <v>3</v>
      </c>
      <c r="C64" s="1455"/>
      <c r="D64" s="1456"/>
      <c r="E64" s="1456"/>
      <c r="F64" s="1456"/>
      <c r="G64" s="1456"/>
      <c r="H64" s="1456"/>
      <c r="I64" s="1456"/>
      <c r="J64" s="1457"/>
      <c r="N64" s="10">
        <v>0.15</v>
      </c>
      <c r="O64" s="1389">
        <f t="shared" ref="O64:O65" si="23">$O$59/(1+N64)</f>
        <v>138260869.56521741</v>
      </c>
      <c r="P64" s="1390"/>
      <c r="Q64" s="1391">
        <f t="shared" si="21"/>
        <v>57306387.733217403</v>
      </c>
      <c r="R64" s="1392"/>
      <c r="S64" s="161">
        <f t="shared" si="22"/>
        <v>0.41448016285031453</v>
      </c>
      <c r="T64" s="161"/>
    </row>
    <row r="65" spans="1:20" ht="18" customHeight="1" x14ac:dyDescent="0.3">
      <c r="B65" s="100">
        <v>4</v>
      </c>
      <c r="C65" s="1455"/>
      <c r="D65" s="1456"/>
      <c r="E65" s="1456"/>
      <c r="F65" s="1456"/>
      <c r="G65" s="1456"/>
      <c r="H65" s="1456"/>
      <c r="I65" s="1456"/>
      <c r="J65" s="1457"/>
      <c r="N65" s="10">
        <v>0.2</v>
      </c>
      <c r="O65" s="1389">
        <f t="shared" si="23"/>
        <v>132500000</v>
      </c>
      <c r="P65" s="1390"/>
      <c r="Q65" s="1391">
        <f t="shared" si="21"/>
        <v>51545518.167999998</v>
      </c>
      <c r="R65" s="1392"/>
      <c r="S65" s="161">
        <f t="shared" si="22"/>
        <v>0.3890227786264151</v>
      </c>
      <c r="T65" s="161"/>
    </row>
    <row r="66" spans="1:20" ht="18" customHeight="1" thickBot="1" x14ac:dyDescent="0.35">
      <c r="B66" s="100">
        <v>5</v>
      </c>
      <c r="C66" s="1393"/>
      <c r="D66" s="1394"/>
      <c r="E66" s="1394"/>
      <c r="F66" s="1394"/>
      <c r="G66" s="1394"/>
      <c r="H66" s="1394"/>
      <c r="I66" s="1394"/>
      <c r="J66" s="1395"/>
      <c r="N66" s="12" t="s">
        <v>45</v>
      </c>
      <c r="O66" s="1396">
        <v>0</v>
      </c>
      <c r="P66" s="1397"/>
      <c r="Q66" s="1398">
        <f t="shared" si="21"/>
        <v>-80954481.832000002</v>
      </c>
      <c r="R66" s="1399"/>
      <c r="S66" s="99" t="e">
        <f t="shared" si="22"/>
        <v>#DIV/0!</v>
      </c>
      <c r="T66" s="99"/>
    </row>
    <row r="67" spans="1:20" ht="18" customHeight="1" thickBot="1" x14ac:dyDescent="0.35">
      <c r="B67" s="100">
        <v>6</v>
      </c>
      <c r="C67" s="1393"/>
      <c r="D67" s="1394"/>
      <c r="E67" s="1394"/>
      <c r="F67" s="1394"/>
      <c r="G67" s="1394"/>
      <c r="H67" s="1394"/>
      <c r="I67" s="1394"/>
      <c r="J67" s="1395"/>
    </row>
    <row r="68" spans="1:20" s="103" customFormat="1" ht="18" customHeight="1" thickBot="1" x14ac:dyDescent="0.35">
      <c r="B68" s="100">
        <v>7</v>
      </c>
      <c r="C68" s="638"/>
      <c r="D68" s="639"/>
      <c r="E68" s="639"/>
      <c r="F68" s="639"/>
      <c r="G68" s="639"/>
      <c r="H68" s="639"/>
      <c r="I68" s="639"/>
      <c r="J68" s="640"/>
      <c r="K68" s="1"/>
      <c r="L68" s="1"/>
      <c r="M68" s="1"/>
      <c r="N68" s="1410" t="s">
        <v>47</v>
      </c>
      <c r="O68" s="1411"/>
      <c r="P68" s="1412" t="s">
        <v>48</v>
      </c>
      <c r="Q68" s="1413"/>
      <c r="R68" s="1414" t="s">
        <v>49</v>
      </c>
      <c r="S68" s="1415"/>
      <c r="T68" s="1232"/>
    </row>
    <row r="69" spans="1:20" ht="18" customHeight="1" x14ac:dyDescent="0.3">
      <c r="B69" s="100">
        <v>8</v>
      </c>
      <c r="C69" s="1393"/>
      <c r="D69" s="1394"/>
      <c r="E69" s="1394"/>
      <c r="F69" s="1394"/>
      <c r="G69" s="1394"/>
      <c r="H69" s="1394"/>
      <c r="I69" s="1394"/>
      <c r="J69" s="1395"/>
      <c r="N69" s="1416"/>
      <c r="O69" s="1417"/>
      <c r="P69" s="1422"/>
      <c r="Q69" s="1423"/>
      <c r="R69" s="1428"/>
      <c r="S69" s="1429"/>
      <c r="T69" s="1231"/>
    </row>
    <row r="70" spans="1:20" ht="18" customHeight="1" x14ac:dyDescent="0.3">
      <c r="B70" s="100"/>
      <c r="C70" s="1434"/>
      <c r="D70" s="1435"/>
      <c r="E70" s="1435"/>
      <c r="F70" s="1435"/>
      <c r="G70" s="1435"/>
      <c r="H70" s="1435"/>
      <c r="I70" s="1435"/>
      <c r="J70" s="1436"/>
      <c r="N70" s="1418"/>
      <c r="O70" s="1419"/>
      <c r="P70" s="1424"/>
      <c r="Q70" s="1425"/>
      <c r="R70" s="1430"/>
      <c r="S70" s="1431"/>
      <c r="T70" s="1231"/>
    </row>
    <row r="71" spans="1:20" ht="18" customHeight="1" x14ac:dyDescent="0.3">
      <c r="B71" s="100"/>
      <c r="C71" s="1434"/>
      <c r="D71" s="1435"/>
      <c r="E71" s="1435"/>
      <c r="F71" s="1435"/>
      <c r="G71" s="1435"/>
      <c r="H71" s="1435"/>
      <c r="I71" s="1435"/>
      <c r="J71" s="1436"/>
      <c r="N71" s="1418"/>
      <c r="O71" s="1419"/>
      <c r="P71" s="1424"/>
      <c r="Q71" s="1425"/>
      <c r="R71" s="1430"/>
      <c r="S71" s="1431"/>
      <c r="T71" s="1231"/>
    </row>
    <row r="72" spans="1:20" ht="18" customHeight="1" thickBot="1" x14ac:dyDescent="0.35">
      <c r="B72" s="101"/>
      <c r="C72" s="1407"/>
      <c r="D72" s="1408"/>
      <c r="E72" s="1408"/>
      <c r="F72" s="1408"/>
      <c r="G72" s="1408"/>
      <c r="H72" s="1408"/>
      <c r="I72" s="1408"/>
      <c r="J72" s="1409"/>
      <c r="N72" s="1420"/>
      <c r="O72" s="1421"/>
      <c r="P72" s="1426"/>
      <c r="Q72" s="1427"/>
      <c r="R72" s="1432"/>
      <c r="S72" s="1433"/>
      <c r="T72" s="1231"/>
    </row>
    <row r="73" spans="1:20" ht="18" customHeight="1" x14ac:dyDescent="0.3"/>
    <row r="74" spans="1:20" ht="18" customHeight="1" x14ac:dyDescent="0.3"/>
    <row r="75" spans="1:20" ht="18" customHeight="1" x14ac:dyDescent="0.3"/>
    <row r="76" spans="1:20" s="3" customFormat="1" x14ac:dyDescent="0.3">
      <c r="A76"/>
      <c r="B76" s="2"/>
      <c r="C76" s="2"/>
      <c r="D76" s="2"/>
      <c r="E76" s="2"/>
      <c r="K76" s="1"/>
      <c r="L76" s="1"/>
      <c r="M76" s="1"/>
      <c r="N76" s="5"/>
      <c r="O76" s="1"/>
      <c r="P76" s="1"/>
      <c r="Q76"/>
      <c r="R76"/>
      <c r="S76" s="93"/>
      <c r="T76" s="93"/>
    </row>
    <row r="77" spans="1:20" s="3" customFormat="1" x14ac:dyDescent="0.3">
      <c r="A77"/>
      <c r="B77" s="2"/>
      <c r="C77" s="2"/>
      <c r="D77" s="2"/>
      <c r="E77" s="2"/>
      <c r="K77" s="1"/>
      <c r="L77" s="1"/>
      <c r="M77" s="1"/>
      <c r="N77" s="5"/>
      <c r="O77" s="1"/>
      <c r="P77" s="1"/>
      <c r="Q77"/>
      <c r="R77"/>
      <c r="S77" s="93"/>
      <c r="T77" s="93"/>
    </row>
    <row r="78" spans="1:20" s="3" customFormat="1" x14ac:dyDescent="0.3">
      <c r="A78"/>
      <c r="B78" s="2"/>
      <c r="C78" s="2"/>
      <c r="D78" s="2"/>
      <c r="E78" s="2"/>
      <c r="K78" s="1"/>
      <c r="L78" s="1"/>
      <c r="M78" s="1"/>
      <c r="N78" s="5"/>
      <c r="O78" s="1"/>
      <c r="P78" s="1"/>
      <c r="Q78"/>
      <c r="R78"/>
      <c r="S78" s="93"/>
      <c r="T78" s="93"/>
    </row>
    <row r="79" spans="1:20" s="3" customFormat="1" x14ac:dyDescent="0.3">
      <c r="A79"/>
      <c r="B79" s="2"/>
      <c r="C79" s="2"/>
      <c r="D79" s="2"/>
      <c r="E79" s="2"/>
      <c r="K79" s="1"/>
      <c r="L79" s="1"/>
      <c r="M79" s="1"/>
      <c r="N79" s="5"/>
      <c r="O79" s="1"/>
      <c r="P79" s="1"/>
      <c r="Q79"/>
      <c r="R79"/>
      <c r="S79" s="93"/>
      <c r="T79" s="93"/>
    </row>
    <row r="80" spans="1:20" s="3" customFormat="1" x14ac:dyDescent="0.3">
      <c r="A80"/>
      <c r="B80" s="2"/>
      <c r="C80" s="2"/>
      <c r="D80" s="2"/>
      <c r="E80" s="2"/>
      <c r="K80" s="1"/>
      <c r="L80" s="1"/>
      <c r="M80" s="1"/>
      <c r="N80" s="5"/>
      <c r="O80" s="1"/>
      <c r="P80" s="1"/>
      <c r="Q80"/>
      <c r="R80"/>
      <c r="S80" s="93"/>
      <c r="T80" s="93"/>
    </row>
  </sheetData>
  <mergeCells count="135">
    <mergeCell ref="T37:T40"/>
    <mergeCell ref="C69:J69"/>
    <mergeCell ref="N69:O72"/>
    <mergeCell ref="P69:Q72"/>
    <mergeCell ref="R69:S72"/>
    <mergeCell ref="C70:J70"/>
    <mergeCell ref="C71:J71"/>
    <mergeCell ref="C72:J72"/>
    <mergeCell ref="C66:J66"/>
    <mergeCell ref="O66:P66"/>
    <mergeCell ref="Q66:R66"/>
    <mergeCell ref="C67:J67"/>
    <mergeCell ref="N68:O68"/>
    <mergeCell ref="P68:Q68"/>
    <mergeCell ref="R68:S68"/>
    <mergeCell ref="C64:J64"/>
    <mergeCell ref="O64:P64"/>
    <mergeCell ref="Q64:R64"/>
    <mergeCell ref="C65:J65"/>
    <mergeCell ref="O65:P65"/>
    <mergeCell ref="Q65:R65"/>
    <mergeCell ref="C62:J62"/>
    <mergeCell ref="O62:P62"/>
    <mergeCell ref="Q62:R62"/>
    <mergeCell ref="C63:J63"/>
    <mergeCell ref="O63:P63"/>
    <mergeCell ref="Q63:R63"/>
    <mergeCell ref="B59:L59"/>
    <mergeCell ref="O59:P59"/>
    <mergeCell ref="Q59:S59"/>
    <mergeCell ref="B61:E61"/>
    <mergeCell ref="O61:P61"/>
    <mergeCell ref="Q61:R61"/>
    <mergeCell ref="B57:L57"/>
    <mergeCell ref="O57:P57"/>
    <mergeCell ref="Q57:S57"/>
    <mergeCell ref="B58:L58"/>
    <mergeCell ref="O58:P58"/>
    <mergeCell ref="Q58:S58"/>
    <mergeCell ref="B55:L55"/>
    <mergeCell ref="O55:P55"/>
    <mergeCell ref="Q55:S55"/>
    <mergeCell ref="B56:L56"/>
    <mergeCell ref="O56:P56"/>
    <mergeCell ref="Q56:S56"/>
    <mergeCell ref="O47:P47"/>
    <mergeCell ref="Q47:R47"/>
    <mergeCell ref="O48:P48"/>
    <mergeCell ref="Q48:R54"/>
    <mergeCell ref="O49:P49"/>
    <mergeCell ref="O50:P50"/>
    <mergeCell ref="O51:P51"/>
    <mergeCell ref="O52:P52"/>
    <mergeCell ref="O53:P53"/>
    <mergeCell ref="O54:P54"/>
    <mergeCell ref="O44:P44"/>
    <mergeCell ref="Q44:R44"/>
    <mergeCell ref="O45:P45"/>
    <mergeCell ref="Q45:R45"/>
    <mergeCell ref="O46:P46"/>
    <mergeCell ref="Q46:R46"/>
    <mergeCell ref="O40:P40"/>
    <mergeCell ref="B42:L42"/>
    <mergeCell ref="O42:P42"/>
    <mergeCell ref="Q42:R42"/>
    <mergeCell ref="O43:P43"/>
    <mergeCell ref="Q43:R43"/>
    <mergeCell ref="Q40:R40"/>
    <mergeCell ref="O37:P37"/>
    <mergeCell ref="Q37:R37"/>
    <mergeCell ref="O38:P38"/>
    <mergeCell ref="Q38:R38"/>
    <mergeCell ref="O39:P39"/>
    <mergeCell ref="Q39:R39"/>
    <mergeCell ref="O33:P33"/>
    <mergeCell ref="O34:P34"/>
    <mergeCell ref="O35:P35"/>
    <mergeCell ref="Q35:R35"/>
    <mergeCell ref="O36:P36"/>
    <mergeCell ref="O32:P32"/>
    <mergeCell ref="O25:P25"/>
    <mergeCell ref="Q25:R25"/>
    <mergeCell ref="O26:P26"/>
    <mergeCell ref="O27:P27"/>
    <mergeCell ref="Q27:R27"/>
    <mergeCell ref="O28:P28"/>
    <mergeCell ref="Q26:R26"/>
    <mergeCell ref="Q32:R32"/>
    <mergeCell ref="Q17:R17"/>
    <mergeCell ref="O18:P18"/>
    <mergeCell ref="Q18:R18"/>
    <mergeCell ref="O14:P14"/>
    <mergeCell ref="Q14:R14"/>
    <mergeCell ref="O15:P15"/>
    <mergeCell ref="Q15:R16"/>
    <mergeCell ref="O16:P16"/>
    <mergeCell ref="S37:S40"/>
    <mergeCell ref="O22:P22"/>
    <mergeCell ref="Q22:R22"/>
    <mergeCell ref="O23:P23"/>
    <mergeCell ref="Q23:R23"/>
    <mergeCell ref="O24:P24"/>
    <mergeCell ref="Q24:R24"/>
    <mergeCell ref="O19:P19"/>
    <mergeCell ref="Q19:R19"/>
    <mergeCell ref="O20:P20"/>
    <mergeCell ref="Q20:R20"/>
    <mergeCell ref="O21:P21"/>
    <mergeCell ref="Q21:R21"/>
    <mergeCell ref="O29:P29"/>
    <mergeCell ref="O31:P31"/>
    <mergeCell ref="O30:P30"/>
    <mergeCell ref="O6:P6"/>
    <mergeCell ref="Q6:R6"/>
    <mergeCell ref="O7:P7"/>
    <mergeCell ref="Q7:R7"/>
    <mergeCell ref="O8:P8"/>
    <mergeCell ref="Q8:R8"/>
    <mergeCell ref="A2:S2"/>
    <mergeCell ref="Q3:S3"/>
    <mergeCell ref="B4:E4"/>
    <mergeCell ref="O4:P4"/>
    <mergeCell ref="Q4:R4"/>
    <mergeCell ref="O5:P5"/>
    <mergeCell ref="Q5:R5"/>
    <mergeCell ref="O11:P11"/>
    <mergeCell ref="Q11:R11"/>
    <mergeCell ref="O12:P12"/>
    <mergeCell ref="Q12:R12"/>
    <mergeCell ref="O13:P13"/>
    <mergeCell ref="Q13:R13"/>
    <mergeCell ref="O9:P9"/>
    <mergeCell ref="Q9:R9"/>
    <mergeCell ref="O10:P10"/>
    <mergeCell ref="Q10:R10"/>
  </mergeCells>
  <phoneticPr fontId="2" type="noConversion"/>
  <pageMargins left="0.25" right="0.25" top="0.75" bottom="0.75" header="0.3" footer="0.3"/>
  <pageSetup paperSize="9" scale="53" fitToWidth="0" orientation="landscape" horizontalDpi="300" r:id="rId1"/>
  <headerFooter>
    <oddFooter>&amp;R&amp;D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E8AF-80F9-4625-943A-CD4E8548A599}">
  <sheetPr>
    <tabColor rgb="FFC00000"/>
    <pageSetUpPr fitToPage="1"/>
  </sheetPr>
  <dimension ref="A1:AG79"/>
  <sheetViews>
    <sheetView zoomScale="85" zoomScaleNormal="85" zoomScaleSheetLayoutView="100" zoomScalePageLayoutView="85" workbookViewId="0">
      <selection activeCell="Q22" sqref="Q22:R22"/>
    </sheetView>
  </sheetViews>
  <sheetFormatPr defaultRowHeight="16.5" x14ac:dyDescent="0.3"/>
  <cols>
    <col min="1" max="1" width="1.625" customWidth="1"/>
    <col min="2" max="5" width="3.375" style="2" customWidth="1"/>
    <col min="6" max="6" width="57.25" style="3" customWidth="1"/>
    <col min="7" max="7" width="25.625" style="3" bestFit="1" customWidth="1"/>
    <col min="8" max="9" width="16.625" style="3" customWidth="1"/>
    <col min="10" max="10" width="6.625" style="3" customWidth="1"/>
    <col min="11" max="13" width="16.625" style="1" customWidth="1"/>
    <col min="14" max="14" width="12.625" style="5" customWidth="1"/>
    <col min="15" max="15" width="9.625" style="1" customWidth="1"/>
    <col min="16" max="16" width="12.625" style="1" customWidth="1"/>
    <col min="17" max="18" width="22.375" customWidth="1"/>
    <col min="19" max="20" width="21.875" style="93" customWidth="1"/>
    <col min="21" max="21" width="9" style="70"/>
    <col min="22" max="22" width="11.5" style="70" bestFit="1" customWidth="1"/>
    <col min="23" max="16384" width="9" style="70"/>
  </cols>
  <sheetData>
    <row r="1" spans="1:33" ht="9.9499999999999993" customHeight="1" x14ac:dyDescent="0.3"/>
    <row r="2" spans="1:33" ht="26.25" x14ac:dyDescent="0.3">
      <c r="A2" s="1445" t="s">
        <v>592</v>
      </c>
      <c r="B2" s="1445"/>
      <c r="C2" s="1445"/>
      <c r="D2" s="1445"/>
      <c r="E2" s="1445"/>
      <c r="F2" s="1445"/>
      <c r="G2" s="1445"/>
      <c r="H2" s="1445"/>
      <c r="I2" s="1445"/>
      <c r="J2" s="1445"/>
      <c r="K2" s="1445"/>
      <c r="L2" s="1445"/>
      <c r="M2" s="1445"/>
      <c r="N2" s="1445"/>
      <c r="O2" s="1445"/>
      <c r="P2" s="1445"/>
      <c r="Q2" s="1445"/>
      <c r="R2" s="1445"/>
      <c r="S2" s="1445"/>
      <c r="T2" s="1228"/>
    </row>
    <row r="3" spans="1:33" ht="17.25" thickBot="1" x14ac:dyDescent="0.35">
      <c r="Q3" s="1446">
        <v>45469</v>
      </c>
      <c r="R3" s="1446"/>
      <c r="S3" s="1446"/>
      <c r="T3" s="1229"/>
    </row>
    <row r="4" spans="1:33" ht="18" thickBot="1" x14ac:dyDescent="0.35">
      <c r="B4" s="1318" t="s">
        <v>491</v>
      </c>
      <c r="C4" s="1319"/>
      <c r="D4" s="1319"/>
      <c r="E4" s="1320"/>
      <c r="F4" s="6" t="s">
        <v>56</v>
      </c>
      <c r="G4" s="6" t="s">
        <v>55</v>
      </c>
      <c r="H4" s="6" t="s">
        <v>0</v>
      </c>
      <c r="I4" s="6" t="s">
        <v>43</v>
      </c>
      <c r="J4" s="6" t="s">
        <v>4</v>
      </c>
      <c r="K4" s="7" t="s">
        <v>12</v>
      </c>
      <c r="L4" s="8" t="s">
        <v>39</v>
      </c>
      <c r="M4" s="8" t="s">
        <v>5</v>
      </c>
      <c r="N4" s="141" t="s">
        <v>13</v>
      </c>
      <c r="O4" s="1321" t="s">
        <v>6</v>
      </c>
      <c r="P4" s="1322"/>
      <c r="Q4" s="1319" t="s">
        <v>3</v>
      </c>
      <c r="R4" s="1323"/>
      <c r="S4" s="71" t="s">
        <v>59</v>
      </c>
      <c r="T4" s="71" t="s">
        <v>933</v>
      </c>
    </row>
    <row r="5" spans="1:33" s="413" customFormat="1" ht="17.25" thickBot="1" x14ac:dyDescent="0.35">
      <c r="A5" s="82"/>
      <c r="B5" s="122" t="s">
        <v>2</v>
      </c>
      <c r="C5" s="116"/>
      <c r="D5" s="116"/>
      <c r="E5" s="117"/>
      <c r="F5" s="118" t="s">
        <v>265</v>
      </c>
      <c r="G5" s="119"/>
      <c r="H5" s="119"/>
      <c r="I5" s="119"/>
      <c r="J5" s="119"/>
      <c r="K5" s="272"/>
      <c r="L5" s="120"/>
      <c r="M5" s="121"/>
      <c r="N5" s="135"/>
      <c r="O5" s="1447"/>
      <c r="P5" s="1448"/>
      <c r="Q5" s="1326"/>
      <c r="R5" s="1327"/>
      <c r="S5" s="115"/>
      <c r="T5" s="115"/>
      <c r="U5" s="70"/>
      <c r="V5" s="70"/>
      <c r="W5" s="70"/>
      <c r="X5" s="70"/>
      <c r="Y5" s="70"/>
      <c r="Z5" s="70"/>
      <c r="AA5" s="70"/>
      <c r="AB5" s="70"/>
      <c r="AC5" s="70"/>
      <c r="AD5" s="70"/>
    </row>
    <row r="6" spans="1:33" s="394" customFormat="1" x14ac:dyDescent="0.3">
      <c r="A6" s="369"/>
      <c r="B6" s="62"/>
      <c r="C6" s="56" t="s">
        <v>2</v>
      </c>
      <c r="D6" s="56"/>
      <c r="E6" s="61"/>
      <c r="F6" s="269" t="s">
        <v>307</v>
      </c>
      <c r="G6" s="844" t="s">
        <v>433</v>
      </c>
      <c r="H6" s="185" t="s">
        <v>131</v>
      </c>
      <c r="I6" s="185" t="s">
        <v>131</v>
      </c>
      <c r="J6" s="184">
        <v>1</v>
      </c>
      <c r="K6" s="169">
        <f>(8210+3030+1140+2160+440)*0.6*1.071*1400</f>
        <v>13476607.199999999</v>
      </c>
      <c r="L6" s="55">
        <v>24756000</v>
      </c>
      <c r="M6" s="164">
        <f>J6*K6</f>
        <v>13476607.199999999</v>
      </c>
      <c r="N6" s="503">
        <v>0</v>
      </c>
      <c r="O6" s="1472">
        <f t="shared" ref="O6:O10" si="0">J6*L6/(1-N6)</f>
        <v>24756000</v>
      </c>
      <c r="P6" s="1473"/>
      <c r="Q6" s="1330" t="s">
        <v>437</v>
      </c>
      <c r="R6" s="1331"/>
      <c r="S6" s="212" t="s">
        <v>1135</v>
      </c>
      <c r="T6" s="212"/>
      <c r="U6" s="400"/>
      <c r="V6" s="400"/>
      <c r="W6" s="400"/>
      <c r="X6" s="400"/>
      <c r="Y6" s="400"/>
      <c r="Z6" s="400"/>
      <c r="AA6" s="400"/>
      <c r="AB6" s="400"/>
      <c r="AC6" s="400"/>
      <c r="AD6" s="400"/>
    </row>
    <row r="7" spans="1:33" s="369" customFormat="1" x14ac:dyDescent="0.3">
      <c r="B7" s="62"/>
      <c r="C7" s="56"/>
      <c r="D7" s="63" t="s">
        <v>73</v>
      </c>
      <c r="E7" s="61"/>
      <c r="F7" s="174" t="s">
        <v>372</v>
      </c>
      <c r="G7" s="844">
        <v>720268</v>
      </c>
      <c r="H7" s="482" t="s">
        <v>131</v>
      </c>
      <c r="I7" s="482" t="s">
        <v>131</v>
      </c>
      <c r="J7" s="56">
        <v>2</v>
      </c>
      <c r="K7" s="169">
        <f>(1190)*0.606*1.071*1400</f>
        <v>1081277.3159999999</v>
      </c>
      <c r="L7" s="55">
        <v>1806000</v>
      </c>
      <c r="M7" s="475">
        <f t="shared" ref="M7" si="1">J7*K7</f>
        <v>2162554.6319999998</v>
      </c>
      <c r="N7" s="503">
        <v>0</v>
      </c>
      <c r="O7" s="1472">
        <f t="shared" si="0"/>
        <v>3612000</v>
      </c>
      <c r="P7" s="1473"/>
      <c r="Q7" s="1474" t="s">
        <v>595</v>
      </c>
      <c r="R7" s="1475"/>
      <c r="S7" s="470" t="s">
        <v>1135</v>
      </c>
      <c r="T7" s="470"/>
      <c r="U7" s="370"/>
      <c r="V7" s="370"/>
    </row>
    <row r="8" spans="1:33" ht="16.149999999999999" customHeight="1" x14ac:dyDescent="0.3">
      <c r="B8" s="62"/>
      <c r="C8" s="56"/>
      <c r="D8" s="56"/>
      <c r="E8" s="61" t="s">
        <v>73</v>
      </c>
      <c r="F8" s="174" t="s">
        <v>281</v>
      </c>
      <c r="G8" s="844">
        <v>758933</v>
      </c>
      <c r="H8" s="482" t="s">
        <v>131</v>
      </c>
      <c r="I8" s="482" t="s">
        <v>131</v>
      </c>
      <c r="J8" s="56">
        <v>4</v>
      </c>
      <c r="K8" s="169">
        <f>(35)*0.643*1.071*1400</f>
        <v>33743.996999999996</v>
      </c>
      <c r="L8" s="392">
        <v>62000</v>
      </c>
      <c r="M8" s="475">
        <f t="shared" ref="M8:M16" si="2">J8*K8</f>
        <v>134975.98799999998</v>
      </c>
      <c r="N8" s="503">
        <v>0</v>
      </c>
      <c r="O8" s="1472">
        <f t="shared" si="0"/>
        <v>248000</v>
      </c>
      <c r="P8" s="1473"/>
      <c r="Q8" s="1474" t="s">
        <v>596</v>
      </c>
      <c r="R8" s="1475"/>
      <c r="S8" s="212" t="s">
        <v>1135</v>
      </c>
      <c r="T8" s="212"/>
    </row>
    <row r="9" spans="1:33" ht="16.149999999999999" customHeight="1" x14ac:dyDescent="0.3">
      <c r="B9" s="62"/>
      <c r="C9" s="56"/>
      <c r="D9" s="56"/>
      <c r="E9" s="61" t="s">
        <v>73</v>
      </c>
      <c r="F9" s="174" t="s">
        <v>283</v>
      </c>
      <c r="G9" s="844">
        <v>758921</v>
      </c>
      <c r="H9" s="482" t="s">
        <v>131</v>
      </c>
      <c r="I9" s="482" t="s">
        <v>131</v>
      </c>
      <c r="J9" s="56">
        <v>4</v>
      </c>
      <c r="K9" s="169">
        <f>(30)*0.643*1.071*1400</f>
        <v>28923.425999999996</v>
      </c>
      <c r="L9" s="392">
        <v>54000</v>
      </c>
      <c r="M9" s="475">
        <f t="shared" si="2"/>
        <v>115693.70399999998</v>
      </c>
      <c r="N9" s="503">
        <v>0</v>
      </c>
      <c r="O9" s="1472">
        <f t="shared" si="0"/>
        <v>216000</v>
      </c>
      <c r="P9" s="1473"/>
      <c r="Q9" s="1474" t="s">
        <v>597</v>
      </c>
      <c r="R9" s="1475"/>
      <c r="S9" s="212" t="s">
        <v>1132</v>
      </c>
      <c r="T9" s="212"/>
    </row>
    <row r="10" spans="1:33" s="369" customFormat="1" x14ac:dyDescent="0.3">
      <c r="B10" s="62"/>
      <c r="C10" s="56"/>
      <c r="D10" s="63" t="s">
        <v>73</v>
      </c>
      <c r="E10" s="61"/>
      <c r="F10" s="174" t="s">
        <v>310</v>
      </c>
      <c r="G10" s="844">
        <v>701251</v>
      </c>
      <c r="H10" s="482" t="s">
        <v>131</v>
      </c>
      <c r="I10" s="482" t="s">
        <v>131</v>
      </c>
      <c r="J10" s="56">
        <v>2</v>
      </c>
      <c r="K10" s="169">
        <f>(1190)*0.606*1.071*1400</f>
        <v>1081277.3159999999</v>
      </c>
      <c r="L10" s="169">
        <v>1806000</v>
      </c>
      <c r="M10" s="475">
        <f t="shared" si="2"/>
        <v>2162554.6319999998</v>
      </c>
      <c r="N10" s="503">
        <v>0</v>
      </c>
      <c r="O10" s="1472">
        <f t="shared" si="0"/>
        <v>3612000</v>
      </c>
      <c r="P10" s="1473"/>
      <c r="Q10" s="1474" t="s">
        <v>598</v>
      </c>
      <c r="R10" s="1475"/>
      <c r="S10" s="470" t="s">
        <v>1135</v>
      </c>
      <c r="T10" s="470"/>
      <c r="U10" s="370"/>
      <c r="V10" s="370"/>
    </row>
    <row r="11" spans="1:33" s="394" customFormat="1" x14ac:dyDescent="0.3">
      <c r="A11" s="369"/>
      <c r="B11" s="62"/>
      <c r="C11" s="56"/>
      <c r="D11" s="63"/>
      <c r="E11" s="61" t="s">
        <v>73</v>
      </c>
      <c r="F11" s="504" t="s">
        <v>489</v>
      </c>
      <c r="G11" s="844">
        <v>702916</v>
      </c>
      <c r="H11" s="482" t="s">
        <v>131</v>
      </c>
      <c r="I11" s="482" t="s">
        <v>131</v>
      </c>
      <c r="J11" s="56">
        <v>1</v>
      </c>
      <c r="K11" s="169">
        <f>(6450)*0.6*1.071*1400</f>
        <v>5802677.9999999991</v>
      </c>
      <c r="L11" s="55">
        <v>8712000</v>
      </c>
      <c r="M11" s="418">
        <f>J11*K11</f>
        <v>5802677.9999999991</v>
      </c>
      <c r="N11" s="503">
        <v>0</v>
      </c>
      <c r="O11" s="1472">
        <f>J11*L11/(1-N11)</f>
        <v>8712000</v>
      </c>
      <c r="P11" s="1473"/>
      <c r="Q11" s="1474" t="s">
        <v>490</v>
      </c>
      <c r="R11" s="1475"/>
      <c r="S11" s="212" t="s">
        <v>1135</v>
      </c>
      <c r="T11" s="212"/>
      <c r="U11" s="400"/>
      <c r="V11" s="400"/>
      <c r="W11" s="400"/>
      <c r="X11" s="400"/>
      <c r="Y11" s="400"/>
      <c r="Z11" s="400"/>
      <c r="AA11" s="400"/>
      <c r="AB11" s="400"/>
      <c r="AC11" s="400"/>
    </row>
    <row r="12" spans="1:33" s="394" customFormat="1" x14ac:dyDescent="0.3">
      <c r="A12" s="369"/>
      <c r="B12" s="62"/>
      <c r="C12" s="56"/>
      <c r="D12" s="63"/>
      <c r="E12" s="61" t="s">
        <v>73</v>
      </c>
      <c r="F12" s="504" t="s">
        <v>487</v>
      </c>
      <c r="G12" s="844">
        <v>701930</v>
      </c>
      <c r="H12" s="482" t="s">
        <v>40</v>
      </c>
      <c r="I12" s="482" t="s">
        <v>40</v>
      </c>
      <c r="J12" s="56">
        <v>1</v>
      </c>
      <c r="K12" s="169">
        <f>(3630)*0.704*1.071*1400</f>
        <v>3831746.6879999996</v>
      </c>
      <c r="L12" s="55">
        <v>5748000</v>
      </c>
      <c r="M12" s="418">
        <f>J12*K12</f>
        <v>3831746.6879999996</v>
      </c>
      <c r="N12" s="503">
        <v>0</v>
      </c>
      <c r="O12" s="1472">
        <f>J12*L12/(1-N12)</f>
        <v>5748000</v>
      </c>
      <c r="P12" s="1473"/>
      <c r="Q12" s="1474" t="s">
        <v>486</v>
      </c>
      <c r="R12" s="1475"/>
      <c r="S12" s="212" t="s">
        <v>1134</v>
      </c>
      <c r="T12" s="212"/>
      <c r="U12" s="400"/>
      <c r="V12" s="400"/>
      <c r="W12" s="400"/>
      <c r="X12" s="400"/>
      <c r="Y12" s="400"/>
      <c r="Z12" s="400"/>
      <c r="AA12" s="400"/>
      <c r="AB12" s="400"/>
      <c r="AC12" s="400"/>
    </row>
    <row r="13" spans="1:33" ht="16.149999999999999" customHeight="1" x14ac:dyDescent="0.3">
      <c r="B13" s="62"/>
      <c r="C13" s="56"/>
      <c r="D13" s="63" t="s">
        <v>73</v>
      </c>
      <c r="E13" s="61"/>
      <c r="F13" s="174" t="s">
        <v>368</v>
      </c>
      <c r="G13" s="844">
        <v>701265</v>
      </c>
      <c r="H13" s="482" t="s">
        <v>131</v>
      </c>
      <c r="I13" s="482" t="s">
        <v>131</v>
      </c>
      <c r="J13" s="56">
        <v>3</v>
      </c>
      <c r="K13" s="169">
        <f>(1140)*0.606*1.071*1400</f>
        <v>1035845.4959999999</v>
      </c>
      <c r="L13" s="392">
        <v>1723000</v>
      </c>
      <c r="M13" s="475">
        <f>J13*K13</f>
        <v>3107536.4879999999</v>
      </c>
      <c r="N13" s="503">
        <v>0</v>
      </c>
      <c r="O13" s="1472">
        <f>J13*L13/(1-N13)</f>
        <v>5169000</v>
      </c>
      <c r="P13" s="1473"/>
      <c r="Q13" s="1474" t="s">
        <v>375</v>
      </c>
      <c r="R13" s="1475"/>
      <c r="S13" s="212" t="s">
        <v>1135</v>
      </c>
      <c r="T13" s="212"/>
    </row>
    <row r="14" spans="1:33" s="369" customFormat="1" x14ac:dyDescent="0.3">
      <c r="B14" s="498"/>
      <c r="C14" s="155" t="s">
        <v>73</v>
      </c>
      <c r="D14" s="155"/>
      <c r="E14" s="151"/>
      <c r="F14" s="269" t="s">
        <v>399</v>
      </c>
      <c r="G14" s="844" t="s">
        <v>336</v>
      </c>
      <c r="H14" s="185" t="s">
        <v>337</v>
      </c>
      <c r="I14" s="185" t="s">
        <v>337</v>
      </c>
      <c r="J14" s="184">
        <v>1</v>
      </c>
      <c r="K14" s="55">
        <f>690000*8.7116</f>
        <v>6011004.0000000009</v>
      </c>
      <c r="L14" s="392">
        <v>11825000</v>
      </c>
      <c r="M14" s="164">
        <f>J14*K14</f>
        <v>6011004.0000000009</v>
      </c>
      <c r="N14" s="158">
        <v>0</v>
      </c>
      <c r="O14" s="1328">
        <f t="shared" ref="O14" si="3">J14*L14/(1-N14)</f>
        <v>11825000</v>
      </c>
      <c r="P14" s="1329"/>
      <c r="Q14" s="1330" t="s">
        <v>586</v>
      </c>
      <c r="R14" s="1331"/>
      <c r="S14" s="1025" t="s">
        <v>954</v>
      </c>
      <c r="T14" s="1247" t="s">
        <v>1126</v>
      </c>
      <c r="U14" s="682" t="s">
        <v>585</v>
      </c>
      <c r="V14" s="562"/>
      <c r="W14" s="370"/>
      <c r="X14" s="370"/>
      <c r="Y14" s="370"/>
      <c r="Z14" s="370"/>
      <c r="AA14" s="370"/>
      <c r="AB14" s="370"/>
      <c r="AC14" s="370"/>
      <c r="AD14" s="370"/>
      <c r="AE14" s="370"/>
      <c r="AF14" s="370"/>
      <c r="AG14" s="370"/>
    </row>
    <row r="15" spans="1:33" s="528" customFormat="1" x14ac:dyDescent="0.3">
      <c r="A15" s="512"/>
      <c r="B15" s="62"/>
      <c r="C15" s="63" t="s">
        <v>2</v>
      </c>
      <c r="D15" s="63"/>
      <c r="E15" s="61"/>
      <c r="F15" s="174" t="s">
        <v>459</v>
      </c>
      <c r="G15" s="844" t="s">
        <v>195</v>
      </c>
      <c r="H15" s="56" t="s">
        <v>142</v>
      </c>
      <c r="I15" s="56" t="s">
        <v>64</v>
      </c>
      <c r="J15" s="56">
        <v>1</v>
      </c>
      <c r="K15" s="55">
        <f>L15*0.75</f>
        <v>14394750</v>
      </c>
      <c r="L15" s="55">
        <f>19193000</f>
        <v>19193000</v>
      </c>
      <c r="M15" s="418">
        <f t="shared" si="2"/>
        <v>14394750</v>
      </c>
      <c r="N15" s="503">
        <v>0</v>
      </c>
      <c r="O15" s="1472">
        <f>L15*J15</f>
        <v>19193000</v>
      </c>
      <c r="P15" s="1473"/>
      <c r="Q15" s="1484" t="s">
        <v>410</v>
      </c>
      <c r="R15" s="1485"/>
      <c r="S15" s="212" t="s">
        <v>653</v>
      </c>
      <c r="T15" s="212"/>
      <c r="U15" s="70"/>
      <c r="V15" s="70"/>
      <c r="W15" s="70"/>
      <c r="X15" s="70"/>
      <c r="Y15" s="70"/>
      <c r="Z15" s="70"/>
      <c r="AA15" s="70"/>
      <c r="AB15" s="70"/>
      <c r="AC15" s="70"/>
    </row>
    <row r="16" spans="1:33" s="528" customFormat="1" x14ac:dyDescent="0.3">
      <c r="A16" s="512"/>
      <c r="B16" s="62"/>
      <c r="C16" s="63"/>
      <c r="D16" s="63" t="s">
        <v>2</v>
      </c>
      <c r="E16" s="61"/>
      <c r="F16" s="174" t="s">
        <v>460</v>
      </c>
      <c r="G16" s="844" t="s">
        <v>461</v>
      </c>
      <c r="H16" s="56" t="s">
        <v>142</v>
      </c>
      <c r="I16" s="56" t="s">
        <v>64</v>
      </c>
      <c r="J16" s="56">
        <f t="shared" ref="J16" si="4">1*2</f>
        <v>2</v>
      </c>
      <c r="K16" s="55">
        <f>L16*0.75</f>
        <v>14008500</v>
      </c>
      <c r="L16" s="55">
        <v>18678000</v>
      </c>
      <c r="M16" s="418">
        <f t="shared" si="2"/>
        <v>28017000</v>
      </c>
      <c r="N16" s="503">
        <v>0</v>
      </c>
      <c r="O16" s="1472">
        <f>L16*J16</f>
        <v>37356000</v>
      </c>
      <c r="P16" s="1473"/>
      <c r="Q16" s="1486"/>
      <c r="R16" s="1487"/>
      <c r="S16" s="212" t="s">
        <v>653</v>
      </c>
      <c r="T16" s="212"/>
      <c r="U16" s="70"/>
      <c r="V16" s="70"/>
      <c r="W16" s="70"/>
      <c r="X16" s="70"/>
      <c r="Y16" s="70"/>
      <c r="Z16" s="70"/>
      <c r="AA16" s="70"/>
      <c r="AB16" s="70"/>
      <c r="AC16" s="70"/>
    </row>
    <row r="17" spans="1:32" s="528" customFormat="1" ht="17.25" thickBot="1" x14ac:dyDescent="0.35">
      <c r="A17" s="84" t="s">
        <v>1072</v>
      </c>
      <c r="B17" s="581"/>
      <c r="C17" s="184"/>
      <c r="D17" s="184"/>
      <c r="E17" s="582"/>
      <c r="F17" s="156"/>
      <c r="G17" s="155"/>
      <c r="H17" s="155"/>
      <c r="I17" s="155"/>
      <c r="J17" s="184"/>
      <c r="K17" s="199"/>
      <c r="L17" s="55"/>
      <c r="M17" s="164"/>
      <c r="N17" s="158"/>
      <c r="O17" s="1498"/>
      <c r="P17" s="1499"/>
      <c r="Q17" s="647"/>
      <c r="R17" s="648"/>
      <c r="S17" s="204"/>
      <c r="T17" s="204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2" s="528" customFormat="1" ht="17.25" thickBot="1" x14ac:dyDescent="0.35">
      <c r="A18" s="84"/>
      <c r="B18" s="587" t="s">
        <v>2</v>
      </c>
      <c r="C18" s="588"/>
      <c r="D18" s="588"/>
      <c r="E18" s="589"/>
      <c r="F18" s="270" t="s">
        <v>266</v>
      </c>
      <c r="G18" s="590"/>
      <c r="H18" s="590"/>
      <c r="I18" s="590"/>
      <c r="J18" s="590"/>
      <c r="K18" s="590"/>
      <c r="L18" s="591"/>
      <c r="M18" s="592"/>
      <c r="N18" s="593"/>
      <c r="O18" s="1324"/>
      <c r="P18" s="1325"/>
      <c r="Q18" s="1326"/>
      <c r="R18" s="1327"/>
      <c r="S18" s="115"/>
      <c r="T18" s="115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2" s="413" customFormat="1" x14ac:dyDescent="0.3">
      <c r="A19" s="82"/>
      <c r="B19" s="64"/>
      <c r="C19" s="65" t="s">
        <v>2</v>
      </c>
      <c r="D19" s="80"/>
      <c r="E19" s="66"/>
      <c r="F19" s="816" t="s">
        <v>541</v>
      </c>
      <c r="G19" s="844" t="s">
        <v>278</v>
      </c>
      <c r="H19" s="80" t="s">
        <v>80</v>
      </c>
      <c r="I19" s="80" t="s">
        <v>240</v>
      </c>
      <c r="J19" s="80">
        <v>1</v>
      </c>
      <c r="K19" s="55">
        <f t="shared" ref="K19" si="5">L19*0.95</f>
        <v>2422500</v>
      </c>
      <c r="L19" s="81">
        <v>2550000</v>
      </c>
      <c r="M19" s="817">
        <f>J19*K19</f>
        <v>2422500</v>
      </c>
      <c r="N19" s="818">
        <v>0</v>
      </c>
      <c r="O19" s="1472">
        <f t="shared" ref="O19:O22" si="6">J19*L19/(1-N19)</f>
        <v>2550000</v>
      </c>
      <c r="P19" s="1473"/>
      <c r="Q19" s="1502"/>
      <c r="R19" s="1503"/>
      <c r="S19" s="287" t="s">
        <v>645</v>
      </c>
      <c r="T19" s="287" t="s">
        <v>1137</v>
      </c>
      <c r="U19" s="273"/>
    </row>
    <row r="20" spans="1:32" s="82" customFormat="1" x14ac:dyDescent="0.3">
      <c r="A20" s="84"/>
      <c r="B20" s="62"/>
      <c r="C20" s="63"/>
      <c r="D20" s="63" t="s">
        <v>2</v>
      </c>
      <c r="E20" s="61"/>
      <c r="F20" s="174" t="s">
        <v>538</v>
      </c>
      <c r="G20" s="844" t="s">
        <v>311</v>
      </c>
      <c r="H20" s="56" t="s">
        <v>80</v>
      </c>
      <c r="I20" s="56" t="s">
        <v>430</v>
      </c>
      <c r="J20" s="56">
        <v>2</v>
      </c>
      <c r="K20" s="55">
        <f t="shared" ref="K20:K22" si="7">L20*0.95</f>
        <v>2242000</v>
      </c>
      <c r="L20" s="55">
        <v>2360000</v>
      </c>
      <c r="M20" s="418">
        <f t="shared" ref="M20:M22" si="8">J20*K20</f>
        <v>4484000</v>
      </c>
      <c r="N20" s="503">
        <v>0</v>
      </c>
      <c r="O20" s="1472">
        <f t="shared" si="6"/>
        <v>4720000</v>
      </c>
      <c r="P20" s="1473"/>
      <c r="Q20" s="1474" t="s">
        <v>560</v>
      </c>
      <c r="R20" s="1475"/>
      <c r="S20" s="152" t="s">
        <v>646</v>
      </c>
      <c r="T20" s="152" t="s">
        <v>1136</v>
      </c>
      <c r="U20" s="606" t="s">
        <v>552</v>
      </c>
      <c r="V20"/>
      <c r="W20"/>
      <c r="X20"/>
      <c r="Y20"/>
      <c r="Z20"/>
      <c r="AA20"/>
      <c r="AB20"/>
      <c r="AC20"/>
      <c r="AD20"/>
      <c r="AE20"/>
      <c r="AF20"/>
    </row>
    <row r="21" spans="1:32" x14ac:dyDescent="0.3">
      <c r="B21" s="62"/>
      <c r="C21" s="63"/>
      <c r="D21" s="63" t="s">
        <v>2</v>
      </c>
      <c r="E21" s="61"/>
      <c r="F21" s="174" t="s">
        <v>536</v>
      </c>
      <c r="G21" s="844" t="s">
        <v>316</v>
      </c>
      <c r="H21" s="56" t="s">
        <v>80</v>
      </c>
      <c r="I21" s="56" t="s">
        <v>430</v>
      </c>
      <c r="J21" s="56">
        <v>1</v>
      </c>
      <c r="K21" s="55">
        <f t="shared" si="7"/>
        <v>836000</v>
      </c>
      <c r="L21" s="55">
        <v>880000</v>
      </c>
      <c r="M21" s="418">
        <f t="shared" si="8"/>
        <v>836000</v>
      </c>
      <c r="N21" s="503">
        <v>0</v>
      </c>
      <c r="O21" s="1472">
        <f t="shared" si="6"/>
        <v>880000</v>
      </c>
      <c r="P21" s="1473"/>
      <c r="Q21" s="1474" t="s">
        <v>579</v>
      </c>
      <c r="R21" s="1475"/>
      <c r="S21" s="850" t="s">
        <v>646</v>
      </c>
      <c r="T21" s="1230" t="s">
        <v>1136</v>
      </c>
      <c r="U21" s="82" t="s">
        <v>533</v>
      </c>
    </row>
    <row r="22" spans="1:32" s="528" customFormat="1" x14ac:dyDescent="0.3">
      <c r="A22" s="84"/>
      <c r="B22" s="62"/>
      <c r="C22" s="63"/>
      <c r="D22" s="63" t="s">
        <v>2</v>
      </c>
      <c r="E22" s="61"/>
      <c r="F22" s="174" t="s">
        <v>534</v>
      </c>
      <c r="G22" s="844" t="s">
        <v>720</v>
      </c>
      <c r="H22" s="56" t="s">
        <v>80</v>
      </c>
      <c r="I22" s="56" t="s">
        <v>430</v>
      </c>
      <c r="J22" s="56">
        <v>1</v>
      </c>
      <c r="K22" s="55">
        <f t="shared" si="7"/>
        <v>1396500</v>
      </c>
      <c r="L22" s="55">
        <v>1470000</v>
      </c>
      <c r="M22" s="418">
        <f t="shared" si="8"/>
        <v>1396500</v>
      </c>
      <c r="N22" s="503">
        <v>0</v>
      </c>
      <c r="O22" s="1472">
        <f t="shared" si="6"/>
        <v>1470000</v>
      </c>
      <c r="P22" s="1473"/>
      <c r="Q22" s="1474" t="s">
        <v>593</v>
      </c>
      <c r="R22" s="1475"/>
      <c r="S22" s="850" t="s">
        <v>646</v>
      </c>
      <c r="T22" s="1230" t="s">
        <v>1136</v>
      </c>
      <c r="U22" s="625" t="s">
        <v>555</v>
      </c>
      <c r="V22" s="70"/>
      <c r="W22" s="70"/>
      <c r="X22" s="70"/>
      <c r="Y22" s="70"/>
      <c r="Z22" s="70"/>
      <c r="AA22" s="70"/>
      <c r="AB22" s="70"/>
    </row>
    <row r="23" spans="1:32" s="528" customFormat="1" ht="17.25" thickBot="1" x14ac:dyDescent="0.35">
      <c r="A23" s="84"/>
      <c r="B23" s="62"/>
      <c r="C23" s="56"/>
      <c r="D23" s="56"/>
      <c r="E23" s="61"/>
      <c r="F23" s="174"/>
      <c r="G23" s="56"/>
      <c r="H23" s="56"/>
      <c r="I23" s="56"/>
      <c r="J23" s="56"/>
      <c r="K23" s="169"/>
      <c r="L23" s="55"/>
      <c r="M23" s="418"/>
      <c r="N23" s="503"/>
      <c r="O23" s="778"/>
      <c r="P23" s="779"/>
      <c r="Q23" s="780"/>
      <c r="R23" s="781"/>
      <c r="S23" s="204"/>
      <c r="T23" s="204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2" s="528" customFormat="1" ht="17.25" thickBot="1" x14ac:dyDescent="0.35">
      <c r="A24" s="84"/>
      <c r="B24" s="587" t="s">
        <v>2</v>
      </c>
      <c r="C24" s="588"/>
      <c r="D24" s="588"/>
      <c r="E24" s="589"/>
      <c r="F24" s="270" t="s">
        <v>267</v>
      </c>
      <c r="G24" s="590"/>
      <c r="H24" s="590"/>
      <c r="I24" s="590"/>
      <c r="J24" s="590"/>
      <c r="K24" s="590"/>
      <c r="L24" s="591"/>
      <c r="M24" s="592"/>
      <c r="N24" s="593"/>
      <c r="O24" s="1324"/>
      <c r="P24" s="1325"/>
      <c r="Q24" s="1326"/>
      <c r="R24" s="1327"/>
      <c r="S24" s="115"/>
      <c r="T24" s="115"/>
      <c r="U24" s="70"/>
      <c r="V24" s="70"/>
      <c r="W24" s="70"/>
      <c r="X24" s="70"/>
      <c r="Y24" s="70"/>
      <c r="Z24" s="70"/>
      <c r="AA24" s="70"/>
      <c r="AB24" s="70"/>
      <c r="AC24" s="70"/>
      <c r="AD24" s="70"/>
    </row>
    <row r="25" spans="1:32" s="413" customFormat="1" x14ac:dyDescent="0.3">
      <c r="A25" s="82"/>
      <c r="B25" s="64"/>
      <c r="C25" s="65" t="s">
        <v>2</v>
      </c>
      <c r="D25" s="80"/>
      <c r="E25" s="66"/>
      <c r="F25" s="816" t="s">
        <v>418</v>
      </c>
      <c r="G25" s="844"/>
      <c r="H25" s="416" t="s">
        <v>60</v>
      </c>
      <c r="I25" s="56" t="s">
        <v>725</v>
      </c>
      <c r="J25" s="80">
        <v>1</v>
      </c>
      <c r="K25" s="55">
        <v>4000000</v>
      </c>
      <c r="L25" s="55">
        <v>4000000</v>
      </c>
      <c r="M25" s="817">
        <f>J25*K25</f>
        <v>4000000</v>
      </c>
      <c r="N25" s="818">
        <v>0.3</v>
      </c>
      <c r="O25" s="1500">
        <f t="shared" ref="O25:O42" si="9">J25*L25*(1+N25)</f>
        <v>5200000</v>
      </c>
      <c r="P25" s="1501"/>
      <c r="Q25" s="1502"/>
      <c r="R25" s="1503"/>
      <c r="S25" s="287"/>
      <c r="T25" s="287"/>
      <c r="U25" s="413" t="s">
        <v>628</v>
      </c>
      <c r="V25" s="728">
        <f>(2000000+(300000*4))*1.2</f>
        <v>3840000</v>
      </c>
    </row>
    <row r="26" spans="1:32" s="413" customFormat="1" x14ac:dyDescent="0.3">
      <c r="A26" s="82"/>
      <c r="B26" s="62"/>
      <c r="C26" s="63"/>
      <c r="D26" s="56" t="s">
        <v>2</v>
      </c>
      <c r="E26" s="61"/>
      <c r="F26" s="174" t="s">
        <v>245</v>
      </c>
      <c r="G26" s="844" t="s">
        <v>246</v>
      </c>
      <c r="H26" s="56" t="s">
        <v>183</v>
      </c>
      <c r="I26" s="56" t="s">
        <v>725</v>
      </c>
      <c r="J26" s="56">
        <v>1</v>
      </c>
      <c r="K26" s="55">
        <v>200000</v>
      </c>
      <c r="L26" s="55">
        <v>200000</v>
      </c>
      <c r="M26" s="418">
        <f t="shared" ref="M26" si="10">J26*K26</f>
        <v>200000</v>
      </c>
      <c r="N26" s="503">
        <v>0.3</v>
      </c>
      <c r="O26" s="1472">
        <f t="shared" si="9"/>
        <v>260000</v>
      </c>
      <c r="P26" s="1473"/>
      <c r="Q26" s="1474"/>
      <c r="R26" s="1475"/>
      <c r="S26" s="152"/>
      <c r="T26" s="152"/>
      <c r="V26" s="728"/>
    </row>
    <row r="27" spans="1:32" s="528" customFormat="1" x14ac:dyDescent="0.3">
      <c r="A27" s="84"/>
      <c r="B27" s="62"/>
      <c r="C27" s="56"/>
      <c r="D27" s="56" t="s">
        <v>2</v>
      </c>
      <c r="E27" s="61"/>
      <c r="F27" s="174" t="s">
        <v>343</v>
      </c>
      <c r="G27" s="844" t="s">
        <v>334</v>
      </c>
      <c r="H27" s="56" t="s">
        <v>328</v>
      </c>
      <c r="I27" s="56" t="s">
        <v>725</v>
      </c>
      <c r="J27" s="56">
        <v>1</v>
      </c>
      <c r="K27" s="169">
        <v>450000</v>
      </c>
      <c r="L27" s="169">
        <v>500000</v>
      </c>
      <c r="M27" s="418">
        <f>J27*K27</f>
        <v>450000</v>
      </c>
      <c r="N27" s="503">
        <v>0</v>
      </c>
      <c r="O27" s="1472">
        <f t="shared" si="9"/>
        <v>500000</v>
      </c>
      <c r="P27" s="1473"/>
      <c r="Q27" s="1474" t="s">
        <v>522</v>
      </c>
      <c r="R27" s="1475"/>
      <c r="S27" s="204"/>
      <c r="T27" s="152" t="s">
        <v>1125</v>
      </c>
      <c r="U27" s="70"/>
      <c r="V27" s="716"/>
      <c r="W27" s="70"/>
      <c r="X27" s="70"/>
      <c r="Y27" s="70"/>
      <c r="Z27" s="70"/>
      <c r="AA27" s="70"/>
      <c r="AB27" s="70"/>
    </row>
    <row r="28" spans="1:32" s="413" customFormat="1" x14ac:dyDescent="0.3">
      <c r="A28" s="82"/>
      <c r="B28" s="496"/>
      <c r="C28" s="56" t="s">
        <v>2</v>
      </c>
      <c r="D28" s="56"/>
      <c r="E28" s="819"/>
      <c r="F28" s="820" t="s">
        <v>268</v>
      </c>
      <c r="G28" s="844"/>
      <c r="H28" s="416" t="s">
        <v>60</v>
      </c>
      <c r="I28" s="56" t="s">
        <v>725</v>
      </c>
      <c r="J28" s="56">
        <v>1</v>
      </c>
      <c r="K28" s="55">
        <v>1000000</v>
      </c>
      <c r="L28" s="55">
        <v>1000000</v>
      </c>
      <c r="M28" s="418">
        <f>J28*K28</f>
        <v>1000000</v>
      </c>
      <c r="N28" s="503">
        <v>0.3</v>
      </c>
      <c r="O28" s="1472">
        <f t="shared" ref="O28" si="11">J28*L28*(1+N28)</f>
        <v>1300000</v>
      </c>
      <c r="P28" s="1473"/>
      <c r="Q28" s="780"/>
      <c r="R28" s="781"/>
      <c r="S28" s="152"/>
      <c r="T28" s="152"/>
      <c r="V28" s="728"/>
    </row>
    <row r="29" spans="1:32" s="413" customFormat="1" x14ac:dyDescent="0.3">
      <c r="A29" s="82"/>
      <c r="B29" s="496"/>
      <c r="C29" s="416"/>
      <c r="D29" s="56" t="s">
        <v>2</v>
      </c>
      <c r="E29" s="819"/>
      <c r="F29" s="820" t="s">
        <v>519</v>
      </c>
      <c r="G29" s="844" t="s">
        <v>520</v>
      </c>
      <c r="H29" s="416" t="s">
        <v>521</v>
      </c>
      <c r="I29" s="56" t="s">
        <v>725</v>
      </c>
      <c r="J29" s="56">
        <v>6</v>
      </c>
      <c r="K29" s="55">
        <v>20000</v>
      </c>
      <c r="L29" s="55">
        <v>20000</v>
      </c>
      <c r="M29" s="418">
        <f t="shared" ref="M29" si="12">J29*K29</f>
        <v>120000</v>
      </c>
      <c r="N29" s="503">
        <v>0.3</v>
      </c>
      <c r="O29" s="1472">
        <f t="shared" si="9"/>
        <v>156000</v>
      </c>
      <c r="P29" s="1473"/>
      <c r="Q29" s="780"/>
      <c r="R29" s="781"/>
      <c r="S29" s="152"/>
      <c r="T29" s="152" t="s">
        <v>1125</v>
      </c>
      <c r="V29" s="728"/>
    </row>
    <row r="30" spans="1:32" s="413" customFormat="1" x14ac:dyDescent="0.3">
      <c r="A30" s="82"/>
      <c r="B30" s="960"/>
      <c r="C30" s="961"/>
      <c r="D30" s="964"/>
      <c r="E30" s="962"/>
      <c r="F30" s="963" t="s">
        <v>269</v>
      </c>
      <c r="G30" s="995" t="s">
        <v>270</v>
      </c>
      <c r="H30" s="961" t="s">
        <v>271</v>
      </c>
      <c r="I30" s="964" t="s">
        <v>725</v>
      </c>
      <c r="J30" s="964">
        <v>0</v>
      </c>
      <c r="K30" s="965">
        <v>120000</v>
      </c>
      <c r="L30" s="965">
        <v>120000</v>
      </c>
      <c r="M30" s="966">
        <f t="shared" ref="M30:M33" si="13">J30*K30</f>
        <v>0</v>
      </c>
      <c r="N30" s="967">
        <v>0.3</v>
      </c>
      <c r="O30" s="1443">
        <f t="shared" si="9"/>
        <v>0</v>
      </c>
      <c r="P30" s="1444"/>
      <c r="Q30" s="1504"/>
      <c r="R30" s="1505"/>
      <c r="S30" s="970" t="s">
        <v>947</v>
      </c>
      <c r="T30" s="970"/>
      <c r="V30" s="728"/>
    </row>
    <row r="31" spans="1:32" s="413" customFormat="1" x14ac:dyDescent="0.3">
      <c r="A31" s="82"/>
      <c r="B31" s="496"/>
      <c r="C31" s="416"/>
      <c r="D31" s="56" t="s">
        <v>2</v>
      </c>
      <c r="E31" s="819"/>
      <c r="F31" s="820" t="s">
        <v>909</v>
      </c>
      <c r="G31" s="844" t="s">
        <v>907</v>
      </c>
      <c r="H31" s="416" t="s">
        <v>518</v>
      </c>
      <c r="I31" s="56" t="s">
        <v>725</v>
      </c>
      <c r="J31" s="56">
        <v>1</v>
      </c>
      <c r="K31" s="55">
        <v>50000</v>
      </c>
      <c r="L31" s="55">
        <v>50000</v>
      </c>
      <c r="M31" s="418">
        <f>J31*K31</f>
        <v>50000</v>
      </c>
      <c r="N31" s="503">
        <v>0.3</v>
      </c>
      <c r="O31" s="1472">
        <f>J31*L31*(1+N31)</f>
        <v>65000</v>
      </c>
      <c r="P31" s="1473"/>
      <c r="Q31" s="922"/>
      <c r="R31" s="923"/>
      <c r="S31" s="152"/>
      <c r="T31" s="152"/>
      <c r="V31" s="728"/>
    </row>
    <row r="32" spans="1:32" s="413" customFormat="1" x14ac:dyDescent="0.3">
      <c r="A32" s="82"/>
      <c r="B32" s="496"/>
      <c r="C32" s="416"/>
      <c r="D32" s="56" t="s">
        <v>2</v>
      </c>
      <c r="E32" s="819"/>
      <c r="F32" s="820" t="s">
        <v>516</v>
      </c>
      <c r="G32" s="844" t="s">
        <v>517</v>
      </c>
      <c r="H32" s="416" t="s">
        <v>518</v>
      </c>
      <c r="I32" s="56" t="s">
        <v>725</v>
      </c>
      <c r="J32" s="56">
        <v>7</v>
      </c>
      <c r="K32" s="55">
        <v>100000</v>
      </c>
      <c r="L32" s="55">
        <v>100000</v>
      </c>
      <c r="M32" s="418">
        <f t="shared" si="13"/>
        <v>700000</v>
      </c>
      <c r="N32" s="503">
        <v>0.3</v>
      </c>
      <c r="O32" s="1472">
        <f t="shared" si="9"/>
        <v>910000</v>
      </c>
      <c r="P32" s="1473"/>
      <c r="Q32" s="1490"/>
      <c r="R32" s="1491"/>
      <c r="S32" s="152"/>
      <c r="T32" s="152"/>
      <c r="V32" s="728"/>
    </row>
    <row r="33" spans="1:30" s="413" customFormat="1" x14ac:dyDescent="0.3">
      <c r="A33" s="82"/>
      <c r="B33" s="496"/>
      <c r="C33" s="416"/>
      <c r="D33" s="416" t="s">
        <v>2</v>
      </c>
      <c r="E33" s="819"/>
      <c r="F33" s="820" t="s">
        <v>272</v>
      </c>
      <c r="G33" s="844" t="s">
        <v>757</v>
      </c>
      <c r="H33" s="56" t="s">
        <v>626</v>
      </c>
      <c r="I33" s="56" t="s">
        <v>725</v>
      </c>
      <c r="J33" s="56">
        <v>1</v>
      </c>
      <c r="K33" s="55">
        <v>250000</v>
      </c>
      <c r="L33" s="55">
        <v>250000</v>
      </c>
      <c r="M33" s="418">
        <f t="shared" si="13"/>
        <v>250000</v>
      </c>
      <c r="N33" s="503">
        <v>0.3</v>
      </c>
      <c r="O33" s="1472">
        <f t="shared" si="9"/>
        <v>325000</v>
      </c>
      <c r="P33" s="1473"/>
      <c r="Q33" s="1474" t="s">
        <v>572</v>
      </c>
      <c r="R33" s="1475"/>
      <c r="S33" s="152"/>
      <c r="T33" s="152" t="s">
        <v>1125</v>
      </c>
      <c r="V33" s="728"/>
    </row>
    <row r="34" spans="1:30" s="413" customFormat="1" x14ac:dyDescent="0.3">
      <c r="A34" s="82"/>
      <c r="B34" s="496"/>
      <c r="C34" s="416" t="s">
        <v>2</v>
      </c>
      <c r="D34" s="56"/>
      <c r="E34" s="819"/>
      <c r="F34" s="820" t="s">
        <v>419</v>
      </c>
      <c r="G34" s="844"/>
      <c r="H34" s="416" t="s">
        <v>60</v>
      </c>
      <c r="I34" s="56" t="s">
        <v>725</v>
      </c>
      <c r="J34" s="56">
        <v>1</v>
      </c>
      <c r="K34" s="55">
        <v>3500000</v>
      </c>
      <c r="L34" s="55">
        <v>3500000</v>
      </c>
      <c r="M34" s="418">
        <f>J34*K34</f>
        <v>3500000</v>
      </c>
      <c r="N34" s="503">
        <v>0.3</v>
      </c>
      <c r="O34" s="1472">
        <f>J34*L34*(1+N34)</f>
        <v>4550000</v>
      </c>
      <c r="P34" s="1473"/>
      <c r="Q34" s="780"/>
      <c r="R34" s="781"/>
      <c r="S34" s="152"/>
      <c r="T34" s="152"/>
      <c r="U34" s="413" t="s">
        <v>629</v>
      </c>
      <c r="V34" s="728">
        <f>(2000000+(300000*3))*1.2</f>
        <v>3480000</v>
      </c>
    </row>
    <row r="35" spans="1:30" s="413" customFormat="1" x14ac:dyDescent="0.3">
      <c r="A35" s="82"/>
      <c r="B35" s="62"/>
      <c r="C35" s="416" t="s">
        <v>2</v>
      </c>
      <c r="D35" s="56"/>
      <c r="E35" s="61"/>
      <c r="F35" s="174" t="s">
        <v>247</v>
      </c>
      <c r="G35" s="844" t="s">
        <v>248</v>
      </c>
      <c r="H35" s="56" t="s">
        <v>756</v>
      </c>
      <c r="I35" s="56" t="s">
        <v>249</v>
      </c>
      <c r="J35" s="56">
        <v>1</v>
      </c>
      <c r="K35" s="55">
        <v>530000</v>
      </c>
      <c r="L35" s="55">
        <v>530000</v>
      </c>
      <c r="M35" s="418">
        <f>J35*K35</f>
        <v>530000</v>
      </c>
      <c r="N35" s="503">
        <v>0.3</v>
      </c>
      <c r="O35" s="1472">
        <f>J35*L35*(1+N35)</f>
        <v>689000</v>
      </c>
      <c r="P35" s="1473"/>
      <c r="Q35" s="780"/>
      <c r="R35" s="781"/>
      <c r="S35" s="152" t="s">
        <v>734</v>
      </c>
      <c r="T35" s="152" t="s">
        <v>1124</v>
      </c>
      <c r="V35" s="728"/>
    </row>
    <row r="36" spans="1:30" s="413" customFormat="1" x14ac:dyDescent="0.3">
      <c r="A36" s="82"/>
      <c r="B36" s="496"/>
      <c r="C36" s="416" t="s">
        <v>2</v>
      </c>
      <c r="D36" s="416"/>
      <c r="E36" s="819"/>
      <c r="F36" s="174" t="s">
        <v>727</v>
      </c>
      <c r="G36" s="844" t="s">
        <v>758</v>
      </c>
      <c r="H36" s="56" t="s">
        <v>726</v>
      </c>
      <c r="I36" s="56" t="s">
        <v>251</v>
      </c>
      <c r="J36" s="56">
        <v>1</v>
      </c>
      <c r="K36" s="55">
        <v>140000</v>
      </c>
      <c r="L36" s="55">
        <v>200000</v>
      </c>
      <c r="M36" s="418">
        <f>J36*K36</f>
        <v>140000</v>
      </c>
      <c r="N36" s="503">
        <v>0.3</v>
      </c>
      <c r="O36" s="1472">
        <f>J36*L36*(1+N36)</f>
        <v>260000</v>
      </c>
      <c r="P36" s="1473"/>
      <c r="Q36" s="1474"/>
      <c r="R36" s="1475"/>
      <c r="S36" s="152" t="s">
        <v>1130</v>
      </c>
      <c r="T36" s="152"/>
      <c r="V36" s="728"/>
    </row>
    <row r="37" spans="1:30" s="413" customFormat="1" x14ac:dyDescent="0.3">
      <c r="A37" s="82"/>
      <c r="B37" s="62"/>
      <c r="C37" s="416" t="s">
        <v>2</v>
      </c>
      <c r="D37" s="56"/>
      <c r="E37" s="61"/>
      <c r="F37" s="174" t="s">
        <v>252</v>
      </c>
      <c r="G37" s="844" t="s">
        <v>729</v>
      </c>
      <c r="H37" s="56" t="s">
        <v>254</v>
      </c>
      <c r="I37" s="56" t="s">
        <v>254</v>
      </c>
      <c r="J37" s="56">
        <v>1</v>
      </c>
      <c r="K37" s="55">
        <v>2630000</v>
      </c>
      <c r="L37" s="55">
        <v>3000000</v>
      </c>
      <c r="M37" s="418">
        <f>J37*K37</f>
        <v>2630000</v>
      </c>
      <c r="N37" s="503">
        <v>0.3</v>
      </c>
      <c r="O37" s="1472">
        <f>J37*L37*(1+N37)</f>
        <v>3900000</v>
      </c>
      <c r="P37" s="1473"/>
      <c r="Q37" s="780"/>
      <c r="R37" s="781"/>
      <c r="S37" s="289" t="s">
        <v>733</v>
      </c>
      <c r="T37" s="152" t="s">
        <v>1124</v>
      </c>
      <c r="V37" s="728"/>
    </row>
    <row r="38" spans="1:30" s="413" customFormat="1" x14ac:dyDescent="0.3">
      <c r="A38" s="82"/>
      <c r="B38" s="496"/>
      <c r="C38" s="416" t="s">
        <v>2</v>
      </c>
      <c r="D38" s="416"/>
      <c r="E38" s="819"/>
      <c r="F38" s="822" t="s">
        <v>355</v>
      </c>
      <c r="G38" s="991" t="s">
        <v>1058</v>
      </c>
      <c r="H38" s="56" t="s">
        <v>636</v>
      </c>
      <c r="I38" s="56" t="s">
        <v>636</v>
      </c>
      <c r="J38" s="56">
        <v>1</v>
      </c>
      <c r="K38" s="55">
        <v>7500</v>
      </c>
      <c r="L38" s="55">
        <v>70000</v>
      </c>
      <c r="M38" s="418">
        <f>J38*K38</f>
        <v>7500</v>
      </c>
      <c r="N38" s="503">
        <v>0.3</v>
      </c>
      <c r="O38" s="1472">
        <f t="shared" si="9"/>
        <v>91000</v>
      </c>
      <c r="P38" s="1473"/>
      <c r="Q38" s="1474" t="s">
        <v>571</v>
      </c>
      <c r="R38" s="1475"/>
      <c r="S38" s="1469" t="s">
        <v>733</v>
      </c>
      <c r="T38" s="1469"/>
      <c r="V38" s="728"/>
      <c r="W38" s="413" t="s">
        <v>346</v>
      </c>
      <c r="X38" s="413" t="s">
        <v>347</v>
      </c>
      <c r="Y38" s="413" t="s">
        <v>344</v>
      </c>
    </row>
    <row r="39" spans="1:30" s="413" customFormat="1" x14ac:dyDescent="0.3">
      <c r="A39" s="82"/>
      <c r="B39" s="496"/>
      <c r="C39" s="416"/>
      <c r="D39" s="56" t="s">
        <v>2</v>
      </c>
      <c r="E39" s="819"/>
      <c r="F39" s="820" t="s">
        <v>730</v>
      </c>
      <c r="G39" s="844" t="s">
        <v>515</v>
      </c>
      <c r="H39" s="56" t="s">
        <v>636</v>
      </c>
      <c r="I39" s="56" t="s">
        <v>636</v>
      </c>
      <c r="J39" s="56">
        <v>1</v>
      </c>
      <c r="K39" s="55">
        <v>750000</v>
      </c>
      <c r="L39" s="55">
        <v>450000</v>
      </c>
      <c r="M39" s="418">
        <f t="shared" ref="M39:M40" si="14">J39*K39</f>
        <v>750000</v>
      </c>
      <c r="N39" s="503">
        <v>0.3</v>
      </c>
      <c r="O39" s="1472">
        <f t="shared" si="9"/>
        <v>585000</v>
      </c>
      <c r="P39" s="1473"/>
      <c r="Q39" s="1474" t="s">
        <v>573</v>
      </c>
      <c r="R39" s="1475"/>
      <c r="S39" s="1470"/>
      <c r="T39" s="1470"/>
      <c r="V39" s="728"/>
      <c r="W39" s="413">
        <v>450</v>
      </c>
      <c r="X39" s="413">
        <v>40</v>
      </c>
      <c r="Y39" s="413">
        <f>(W39^2)/X39</f>
        <v>5062.5</v>
      </c>
    </row>
    <row r="40" spans="1:30" s="413" customFormat="1" x14ac:dyDescent="0.3">
      <c r="A40" s="82"/>
      <c r="B40" s="496"/>
      <c r="C40" s="416"/>
      <c r="D40" s="56" t="s">
        <v>2</v>
      </c>
      <c r="E40" s="819"/>
      <c r="F40" s="820" t="s">
        <v>731</v>
      </c>
      <c r="G40" s="844" t="s">
        <v>514</v>
      </c>
      <c r="H40" s="56" t="s">
        <v>636</v>
      </c>
      <c r="I40" s="56" t="s">
        <v>636</v>
      </c>
      <c r="J40" s="56">
        <v>1</v>
      </c>
      <c r="K40" s="55">
        <v>0</v>
      </c>
      <c r="L40" s="55">
        <v>1000000</v>
      </c>
      <c r="M40" s="418">
        <f t="shared" si="14"/>
        <v>0</v>
      </c>
      <c r="N40" s="503">
        <v>0.3</v>
      </c>
      <c r="O40" s="1472">
        <f t="shared" si="9"/>
        <v>1300000</v>
      </c>
      <c r="P40" s="1473"/>
      <c r="Q40" s="1474" t="s">
        <v>574</v>
      </c>
      <c r="R40" s="1475"/>
      <c r="S40" s="1470"/>
      <c r="T40" s="1470"/>
      <c r="V40" s="728"/>
      <c r="W40" s="413">
        <v>800</v>
      </c>
      <c r="X40" s="413">
        <v>40</v>
      </c>
      <c r="Y40" s="413">
        <f>(W40^2)/X40</f>
        <v>16000</v>
      </c>
    </row>
    <row r="41" spans="1:30" s="413" customFormat="1" x14ac:dyDescent="0.3">
      <c r="A41" s="82"/>
      <c r="B41" s="496"/>
      <c r="C41" s="416"/>
      <c r="D41" s="416" t="s">
        <v>2</v>
      </c>
      <c r="E41" s="819"/>
      <c r="F41" s="820" t="s">
        <v>357</v>
      </c>
      <c r="G41" s="991" t="s">
        <v>1058</v>
      </c>
      <c r="H41" s="56" t="s">
        <v>636</v>
      </c>
      <c r="I41" s="56" t="s">
        <v>636</v>
      </c>
      <c r="J41" s="56">
        <v>1</v>
      </c>
      <c r="K41" s="55">
        <v>7500</v>
      </c>
      <c r="L41" s="55">
        <v>70000</v>
      </c>
      <c r="M41" s="418">
        <f>J41*K41</f>
        <v>7500</v>
      </c>
      <c r="N41" s="503">
        <v>0.3</v>
      </c>
      <c r="O41" s="1472">
        <f t="shared" si="9"/>
        <v>91000</v>
      </c>
      <c r="P41" s="1473"/>
      <c r="Q41" s="1474" t="s">
        <v>361</v>
      </c>
      <c r="R41" s="1475"/>
      <c r="S41" s="1470"/>
      <c r="T41" s="1470"/>
      <c r="V41" s="728"/>
    </row>
    <row r="42" spans="1:30" s="413" customFormat="1" x14ac:dyDescent="0.3">
      <c r="A42" s="82"/>
      <c r="B42" s="496"/>
      <c r="C42" s="416"/>
      <c r="D42" s="416" t="s">
        <v>2</v>
      </c>
      <c r="E42" s="819"/>
      <c r="F42" s="820" t="s">
        <v>587</v>
      </c>
      <c r="G42" s="844" t="s">
        <v>728</v>
      </c>
      <c r="H42" s="56" t="s">
        <v>636</v>
      </c>
      <c r="I42" s="56" t="s">
        <v>636</v>
      </c>
      <c r="J42" s="56">
        <v>1</v>
      </c>
      <c r="K42" s="55">
        <v>21000</v>
      </c>
      <c r="L42" s="55">
        <v>20000</v>
      </c>
      <c r="M42" s="55">
        <f t="shared" ref="M42" si="15">J42*K42</f>
        <v>21000</v>
      </c>
      <c r="N42" s="503">
        <v>0.3</v>
      </c>
      <c r="O42" s="1472">
        <f t="shared" si="9"/>
        <v>26000</v>
      </c>
      <c r="P42" s="1473"/>
      <c r="Q42" s="1474" t="s">
        <v>589</v>
      </c>
      <c r="R42" s="1475"/>
      <c r="S42" s="1471"/>
      <c r="T42" s="1471"/>
      <c r="V42" s="728"/>
    </row>
    <row r="43" spans="1:30" s="528" customFormat="1" ht="17.25" thickBot="1" x14ac:dyDescent="0.35">
      <c r="A43" s="84"/>
      <c r="B43" s="365"/>
      <c r="C43" s="366"/>
      <c r="D43" s="366"/>
      <c r="E43" s="367"/>
      <c r="F43" s="156"/>
      <c r="G43" s="155"/>
      <c r="H43" s="155"/>
      <c r="I43" s="155"/>
      <c r="J43" s="186"/>
      <c r="K43" s="199"/>
      <c r="L43" s="55"/>
      <c r="M43" s="164"/>
      <c r="N43" s="158"/>
      <c r="O43" s="641"/>
      <c r="P43" s="642"/>
      <c r="Q43" s="645"/>
      <c r="R43" s="646"/>
      <c r="S43" s="204"/>
      <c r="T43" s="204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30" s="413" customFormat="1" ht="18" thickBot="1" x14ac:dyDescent="0.35">
      <c r="A44" s="82"/>
      <c r="B44" s="1338" t="s">
        <v>53</v>
      </c>
      <c r="C44" s="1339"/>
      <c r="D44" s="1339"/>
      <c r="E44" s="1339"/>
      <c r="F44" s="1339"/>
      <c r="G44" s="1339"/>
      <c r="H44" s="1339"/>
      <c r="I44" s="1339"/>
      <c r="J44" s="1339"/>
      <c r="K44" s="1339"/>
      <c r="L44" s="1340"/>
      <c r="M44" s="123">
        <f>SUM(M5:M43)</f>
        <v>102712101.332</v>
      </c>
      <c r="N44" s="136"/>
      <c r="O44" s="1341">
        <f>SUM(O5:P43)</f>
        <v>150275000</v>
      </c>
      <c r="P44" s="1342"/>
      <c r="Q44" s="1343"/>
      <c r="R44" s="1344"/>
      <c r="S44" s="130"/>
      <c r="T44" s="13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1:30" s="528" customFormat="1" ht="17.25" thickBot="1" x14ac:dyDescent="0.35">
      <c r="A45" s="84"/>
      <c r="B45" s="122" t="s">
        <v>2</v>
      </c>
      <c r="C45" s="116"/>
      <c r="D45" s="116"/>
      <c r="E45" s="117"/>
      <c r="F45" s="118" t="s">
        <v>321</v>
      </c>
      <c r="G45" s="119"/>
      <c r="H45" s="119"/>
      <c r="I45" s="119"/>
      <c r="J45" s="119"/>
      <c r="K45" s="119"/>
      <c r="L45" s="120"/>
      <c r="M45" s="121"/>
      <c r="N45" s="135"/>
      <c r="O45" s="1447"/>
      <c r="P45" s="1448"/>
      <c r="Q45" s="1326"/>
      <c r="R45" s="1327"/>
      <c r="S45" s="115"/>
      <c r="T45" s="115"/>
      <c r="U45" s="70"/>
      <c r="V45" s="70"/>
      <c r="W45" s="70"/>
      <c r="X45" s="70"/>
      <c r="Y45" s="70"/>
      <c r="Z45" s="70"/>
      <c r="AA45" s="70"/>
      <c r="AB45" s="70"/>
    </row>
    <row r="46" spans="1:30" s="528" customFormat="1" x14ac:dyDescent="0.3">
      <c r="A46" s="84"/>
      <c r="B46" s="131"/>
      <c r="C46" s="132" t="s">
        <v>73</v>
      </c>
      <c r="D46" s="133"/>
      <c r="E46" s="165"/>
      <c r="F46" s="227" t="s">
        <v>319</v>
      </c>
      <c r="G46" s="222" t="s">
        <v>94</v>
      </c>
      <c r="H46" s="222" t="s">
        <v>130</v>
      </c>
      <c r="I46" s="222" t="s">
        <v>131</v>
      </c>
      <c r="J46" s="371">
        <v>15</v>
      </c>
      <c r="K46" s="55">
        <v>307000</v>
      </c>
      <c r="L46" s="55">
        <v>307000</v>
      </c>
      <c r="M46" s="230">
        <f t="shared" ref="M46:M47" si="16">J46*K46</f>
        <v>4605000</v>
      </c>
      <c r="N46" s="148"/>
      <c r="O46" s="1365">
        <f t="shared" ref="O46:O47" si="17">L46*J46</f>
        <v>4605000</v>
      </c>
      <c r="P46" s="1366"/>
      <c r="Q46" s="1492"/>
      <c r="R46" s="1493"/>
      <c r="S46" s="207"/>
      <c r="T46" s="207"/>
      <c r="U46" s="70"/>
      <c r="V46" s="70"/>
      <c r="W46" s="70"/>
      <c r="X46" s="70"/>
      <c r="Y46" s="70"/>
      <c r="Z46" s="70"/>
      <c r="AA46" s="70"/>
      <c r="AB46" s="70"/>
    </row>
    <row r="47" spans="1:30" s="528" customFormat="1" x14ac:dyDescent="0.3">
      <c r="A47" s="84"/>
      <c r="B47" s="62"/>
      <c r="C47" s="63" t="s">
        <v>73</v>
      </c>
      <c r="D47" s="56"/>
      <c r="E47" s="823"/>
      <c r="F47" s="824" t="s">
        <v>320</v>
      </c>
      <c r="G47" s="825" t="s">
        <v>94</v>
      </c>
      <c r="H47" s="825" t="s">
        <v>130</v>
      </c>
      <c r="I47" s="825" t="s">
        <v>131</v>
      </c>
      <c r="J47" s="826">
        <v>60</v>
      </c>
      <c r="K47" s="55">
        <v>307000</v>
      </c>
      <c r="L47" s="55">
        <v>307000</v>
      </c>
      <c r="M47" s="827">
        <f t="shared" si="16"/>
        <v>18420000</v>
      </c>
      <c r="N47" s="158"/>
      <c r="O47" s="1328">
        <f t="shared" si="17"/>
        <v>18420000</v>
      </c>
      <c r="P47" s="1329"/>
      <c r="Q47" s="1494"/>
      <c r="R47" s="1495"/>
      <c r="S47" s="212"/>
      <c r="T47" s="212"/>
      <c r="U47" s="70"/>
      <c r="V47" s="70"/>
      <c r="W47" s="70"/>
      <c r="X47" s="70"/>
      <c r="Y47" s="70"/>
      <c r="Z47" s="70"/>
      <c r="AA47" s="70"/>
      <c r="AB47" s="70"/>
    </row>
    <row r="48" spans="1:30" s="528" customFormat="1" ht="17.25" thickBot="1" x14ac:dyDescent="0.35">
      <c r="A48" s="84"/>
      <c r="B48" s="213"/>
      <c r="C48" s="214"/>
      <c r="D48" s="215"/>
      <c r="E48" s="216"/>
      <c r="F48" s="229"/>
      <c r="G48" s="224"/>
      <c r="H48" s="224"/>
      <c r="I48" s="224"/>
      <c r="J48" s="373" t="s">
        <v>513</v>
      </c>
      <c r="K48" s="225"/>
      <c r="L48" s="225"/>
      <c r="M48" s="226"/>
      <c r="N48" s="162"/>
      <c r="O48" s="1365">
        <f t="shared" ref="O48" si="18">L48</f>
        <v>0</v>
      </c>
      <c r="P48" s="1366"/>
      <c r="Q48" s="1453"/>
      <c r="R48" s="1454"/>
      <c r="S48" s="217"/>
      <c r="T48" s="217"/>
      <c r="U48" s="70"/>
      <c r="V48" s="70"/>
      <c r="W48" s="70"/>
      <c r="X48" s="70"/>
      <c r="Y48" s="70"/>
      <c r="Z48" s="70"/>
      <c r="AA48" s="70"/>
      <c r="AB48" s="70"/>
    </row>
    <row r="49" spans="1:30" s="528" customFormat="1" ht="17.25" thickBot="1" x14ac:dyDescent="0.35">
      <c r="A49" s="84"/>
      <c r="B49" s="122" t="s">
        <v>2</v>
      </c>
      <c r="C49" s="116"/>
      <c r="D49" s="116"/>
      <c r="E49" s="117"/>
      <c r="F49" s="218" t="s">
        <v>243</v>
      </c>
      <c r="G49" s="219"/>
      <c r="H49" s="219"/>
      <c r="I49" s="219"/>
      <c r="J49" s="219"/>
      <c r="K49" s="220"/>
      <c r="L49" s="220"/>
      <c r="M49" s="221"/>
      <c r="N49" s="135"/>
      <c r="O49" s="1447"/>
      <c r="P49" s="1448"/>
      <c r="Q49" s="1447"/>
      <c r="R49" s="1448"/>
      <c r="S49" s="115"/>
      <c r="T49" s="115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x14ac:dyDescent="0.3">
      <c r="B50" s="64"/>
      <c r="C50" s="65" t="s">
        <v>2</v>
      </c>
      <c r="D50" s="65"/>
      <c r="E50" s="66"/>
      <c r="F50" s="88" t="s">
        <v>7</v>
      </c>
      <c r="G50" s="85"/>
      <c r="H50" s="223" t="s">
        <v>130</v>
      </c>
      <c r="I50" s="223" t="s">
        <v>131</v>
      </c>
      <c r="J50" s="80">
        <v>5</v>
      </c>
      <c r="K50" s="55">
        <v>307000</v>
      </c>
      <c r="L50" s="55">
        <v>307000</v>
      </c>
      <c r="M50" s="112">
        <f>K50*J50</f>
        <v>1535000</v>
      </c>
      <c r="N50" s="137"/>
      <c r="O50" s="1365">
        <f t="shared" ref="O50:O56" si="19">L50*J50</f>
        <v>1535000</v>
      </c>
      <c r="P50" s="1366"/>
      <c r="Q50" s="1359" t="s">
        <v>62</v>
      </c>
      <c r="R50" s="1360"/>
      <c r="S50" s="94"/>
      <c r="T50" s="94"/>
    </row>
    <row r="51" spans="1:30" x14ac:dyDescent="0.3">
      <c r="B51" s="62"/>
      <c r="C51" s="63" t="s">
        <v>2</v>
      </c>
      <c r="D51" s="63"/>
      <c r="E51" s="61"/>
      <c r="F51" s="89" t="s">
        <v>11</v>
      </c>
      <c r="G51" s="86"/>
      <c r="H51" s="223" t="s">
        <v>130</v>
      </c>
      <c r="I51" s="223" t="s">
        <v>131</v>
      </c>
      <c r="J51" s="56">
        <v>3</v>
      </c>
      <c r="K51" s="55">
        <v>307000</v>
      </c>
      <c r="L51" s="55">
        <v>307000</v>
      </c>
      <c r="M51" s="113">
        <f t="shared" ref="M51:M56" si="20">K51*J51</f>
        <v>921000</v>
      </c>
      <c r="N51" s="138"/>
      <c r="O51" s="1365">
        <f t="shared" si="19"/>
        <v>921000</v>
      </c>
      <c r="P51" s="1366"/>
      <c r="Q51" s="1361"/>
      <c r="R51" s="1362"/>
      <c r="S51" s="95"/>
      <c r="T51" s="95"/>
    </row>
    <row r="52" spans="1:30" x14ac:dyDescent="0.3">
      <c r="B52" s="62"/>
      <c r="C52" s="63" t="s">
        <v>2</v>
      </c>
      <c r="D52" s="63"/>
      <c r="E52" s="61"/>
      <c r="F52" s="89" t="s">
        <v>41</v>
      </c>
      <c r="G52" s="86"/>
      <c r="H52" s="223" t="s">
        <v>130</v>
      </c>
      <c r="I52" s="223" t="s">
        <v>131</v>
      </c>
      <c r="J52" s="56">
        <v>5</v>
      </c>
      <c r="K52" s="55">
        <v>307000</v>
      </c>
      <c r="L52" s="55">
        <v>307000</v>
      </c>
      <c r="M52" s="113">
        <f t="shared" si="20"/>
        <v>1535000</v>
      </c>
      <c r="N52" s="138"/>
      <c r="O52" s="1365">
        <f t="shared" si="19"/>
        <v>1535000</v>
      </c>
      <c r="P52" s="1366"/>
      <c r="Q52" s="1361"/>
      <c r="R52" s="1362"/>
      <c r="S52" s="95"/>
      <c r="T52" s="95"/>
    </row>
    <row r="53" spans="1:30" x14ac:dyDescent="0.3">
      <c r="B53" s="62"/>
      <c r="C53" s="63" t="s">
        <v>2</v>
      </c>
      <c r="D53" s="63"/>
      <c r="E53" s="61"/>
      <c r="F53" s="89" t="s">
        <v>10</v>
      </c>
      <c r="G53" s="86"/>
      <c r="H53" s="223" t="s">
        <v>130</v>
      </c>
      <c r="I53" s="223" t="s">
        <v>131</v>
      </c>
      <c r="J53" s="56">
        <v>3</v>
      </c>
      <c r="K53" s="55">
        <v>307000</v>
      </c>
      <c r="L53" s="55">
        <v>307000</v>
      </c>
      <c r="M53" s="113">
        <f t="shared" si="20"/>
        <v>921000</v>
      </c>
      <c r="N53" s="138"/>
      <c r="O53" s="1365">
        <f t="shared" si="19"/>
        <v>921000</v>
      </c>
      <c r="P53" s="1366"/>
      <c r="Q53" s="1361"/>
      <c r="R53" s="1362"/>
      <c r="S53" s="95"/>
      <c r="T53" s="95"/>
    </row>
    <row r="54" spans="1:30" x14ac:dyDescent="0.3">
      <c r="B54" s="62"/>
      <c r="C54" s="63" t="s">
        <v>2</v>
      </c>
      <c r="D54" s="63"/>
      <c r="E54" s="61"/>
      <c r="F54" s="89" t="s">
        <v>61</v>
      </c>
      <c r="G54" s="86"/>
      <c r="H54" s="223" t="s">
        <v>130</v>
      </c>
      <c r="I54" s="223" t="s">
        <v>131</v>
      </c>
      <c r="J54" s="56">
        <v>2</v>
      </c>
      <c r="K54" s="55">
        <v>307000</v>
      </c>
      <c r="L54" s="55">
        <v>307000</v>
      </c>
      <c r="M54" s="113">
        <f t="shared" si="20"/>
        <v>614000</v>
      </c>
      <c r="N54" s="138"/>
      <c r="O54" s="1365">
        <f t="shared" si="19"/>
        <v>614000</v>
      </c>
      <c r="P54" s="1366"/>
      <c r="Q54" s="1361"/>
      <c r="R54" s="1362"/>
      <c r="S54" s="95"/>
      <c r="T54" s="95"/>
    </row>
    <row r="55" spans="1:30" x14ac:dyDescent="0.3">
      <c r="B55" s="67"/>
      <c r="C55" s="63" t="s">
        <v>2</v>
      </c>
      <c r="D55" s="68"/>
      <c r="E55" s="69"/>
      <c r="F55" s="90" t="s">
        <v>9</v>
      </c>
      <c r="G55" s="86"/>
      <c r="H55" s="223" t="s">
        <v>130</v>
      </c>
      <c r="I55" s="223" t="s">
        <v>131</v>
      </c>
      <c r="J55" s="56">
        <v>5</v>
      </c>
      <c r="K55" s="55">
        <v>307000</v>
      </c>
      <c r="L55" s="55">
        <v>307000</v>
      </c>
      <c r="M55" s="113">
        <f t="shared" si="20"/>
        <v>1535000</v>
      </c>
      <c r="N55" s="138"/>
      <c r="O55" s="1365">
        <f t="shared" si="19"/>
        <v>1535000</v>
      </c>
      <c r="P55" s="1366"/>
      <c r="Q55" s="1361"/>
      <c r="R55" s="1362"/>
      <c r="S55" s="95"/>
      <c r="T55" s="95"/>
    </row>
    <row r="56" spans="1:30" ht="17.25" thickBot="1" x14ac:dyDescent="0.35">
      <c r="B56" s="57"/>
      <c r="C56" s="58" t="s">
        <v>2</v>
      </c>
      <c r="D56" s="58"/>
      <c r="E56" s="60"/>
      <c r="F56" s="91" t="s">
        <v>8</v>
      </c>
      <c r="G56" s="87"/>
      <c r="H56" s="223" t="s">
        <v>130</v>
      </c>
      <c r="I56" s="223" t="s">
        <v>131</v>
      </c>
      <c r="J56" s="59">
        <v>2</v>
      </c>
      <c r="K56" s="55">
        <v>307000</v>
      </c>
      <c r="L56" s="55">
        <v>307000</v>
      </c>
      <c r="M56" s="114">
        <f t="shared" si="20"/>
        <v>614000</v>
      </c>
      <c r="N56" s="139"/>
      <c r="O56" s="1365">
        <f t="shared" si="19"/>
        <v>614000</v>
      </c>
      <c r="P56" s="1366"/>
      <c r="Q56" s="1363"/>
      <c r="R56" s="1364"/>
      <c r="S56" s="96"/>
      <c r="T56" s="96"/>
    </row>
    <row r="57" spans="1:30" ht="18" thickBot="1" x14ac:dyDescent="0.35">
      <c r="B57" s="1345" t="s">
        <v>46</v>
      </c>
      <c r="C57" s="1346"/>
      <c r="D57" s="1346"/>
      <c r="E57" s="1346"/>
      <c r="F57" s="1346"/>
      <c r="G57" s="1346"/>
      <c r="H57" s="1346"/>
      <c r="I57" s="1346"/>
      <c r="J57" s="1346"/>
      <c r="K57" s="1346"/>
      <c r="L57" s="1347"/>
      <c r="M57" s="124">
        <f>SUM(M45:M56)</f>
        <v>30700000</v>
      </c>
      <c r="N57" s="140"/>
      <c r="O57" s="1348">
        <f>SUM(O45:P56)</f>
        <v>30700000</v>
      </c>
      <c r="P57" s="1349"/>
      <c r="Q57" s="1350"/>
      <c r="R57" s="1350"/>
      <c r="S57" s="1351"/>
      <c r="T57" s="1248"/>
    </row>
    <row r="58" spans="1:30" ht="20.25" thickBot="1" x14ac:dyDescent="0.35">
      <c r="B58" s="1352" t="s">
        <v>52</v>
      </c>
      <c r="C58" s="1353"/>
      <c r="D58" s="1353"/>
      <c r="E58" s="1353"/>
      <c r="F58" s="1353"/>
      <c r="G58" s="1353"/>
      <c r="H58" s="1353"/>
      <c r="I58" s="1353"/>
      <c r="J58" s="1353"/>
      <c r="K58" s="1353"/>
      <c r="L58" s="1353"/>
      <c r="M58" s="125"/>
      <c r="N58" s="134">
        <v>0.03</v>
      </c>
      <c r="O58" s="1354">
        <f>ROUNDDOWN(O44*N58,-3)</f>
        <v>4508000</v>
      </c>
      <c r="P58" s="1355"/>
      <c r="Q58" s="1356"/>
      <c r="R58" s="1357"/>
      <c r="S58" s="1358"/>
      <c r="T58" s="1249"/>
      <c r="U58" s="529"/>
      <c r="V58" s="529"/>
      <c r="W58" s="529"/>
      <c r="X58" s="529"/>
      <c r="Y58" s="529"/>
      <c r="Z58" s="529"/>
      <c r="AA58" s="529"/>
      <c r="AB58" s="529"/>
      <c r="AC58" s="529"/>
      <c r="AD58" s="529"/>
    </row>
    <row r="59" spans="1:30" ht="20.25" thickBot="1" x14ac:dyDescent="0.35">
      <c r="B59" s="1352" t="s">
        <v>54</v>
      </c>
      <c r="C59" s="1353"/>
      <c r="D59" s="1353"/>
      <c r="E59" s="1353"/>
      <c r="F59" s="1353"/>
      <c r="G59" s="1353"/>
      <c r="H59" s="1353"/>
      <c r="I59" s="1353"/>
      <c r="J59" s="1353"/>
      <c r="K59" s="1353"/>
      <c r="L59" s="1353"/>
      <c r="M59" s="127"/>
      <c r="N59" s="128"/>
      <c r="O59" s="1354">
        <f>SUM(O58,O57,O44)</f>
        <v>185483000</v>
      </c>
      <c r="P59" s="1355"/>
      <c r="Q59" s="1374"/>
      <c r="R59" s="1375"/>
      <c r="S59" s="1376"/>
      <c r="T59" s="1250"/>
      <c r="U59" s="529"/>
      <c r="V59" s="529"/>
      <c r="W59" s="529"/>
      <c r="X59" s="529"/>
      <c r="Y59" s="529"/>
      <c r="Z59" s="529"/>
      <c r="AA59" s="529"/>
      <c r="AB59" s="529"/>
      <c r="AC59" s="529"/>
      <c r="AD59" s="529"/>
    </row>
    <row r="60" spans="1:30" ht="20.25" thickBot="1" x14ac:dyDescent="0.35">
      <c r="B60" s="1352" t="s">
        <v>51</v>
      </c>
      <c r="C60" s="1353"/>
      <c r="D60" s="1353"/>
      <c r="E60" s="1353"/>
      <c r="F60" s="1353"/>
      <c r="G60" s="1353"/>
      <c r="H60" s="1353"/>
      <c r="I60" s="1353"/>
      <c r="J60" s="1353"/>
      <c r="K60" s="1353"/>
      <c r="L60" s="1353"/>
      <c r="M60" s="129"/>
      <c r="N60" s="126">
        <v>0.1</v>
      </c>
      <c r="O60" s="1381">
        <f>ROUNDDOWN(O59*N60,-3)</f>
        <v>18548000</v>
      </c>
      <c r="P60" s="1382"/>
      <c r="Q60" s="1383"/>
      <c r="R60" s="1384"/>
      <c r="S60" s="1385"/>
      <c r="T60" s="1250"/>
      <c r="U60" s="529"/>
      <c r="V60" s="529"/>
      <c r="W60" s="529"/>
      <c r="X60" s="529"/>
      <c r="Y60" s="529"/>
      <c r="Z60" s="529"/>
      <c r="AA60" s="529"/>
      <c r="AB60" s="529"/>
      <c r="AC60" s="529"/>
      <c r="AD60" s="529"/>
    </row>
    <row r="61" spans="1:30" ht="21" thickBot="1" x14ac:dyDescent="0.35">
      <c r="B61" s="1367" t="s">
        <v>44</v>
      </c>
      <c r="C61" s="1368"/>
      <c r="D61" s="1368"/>
      <c r="E61" s="1368"/>
      <c r="F61" s="1368"/>
      <c r="G61" s="1368"/>
      <c r="H61" s="1368"/>
      <c r="I61" s="1368"/>
      <c r="J61" s="1368"/>
      <c r="K61" s="1368"/>
      <c r="L61" s="1368"/>
      <c r="M61" s="92"/>
      <c r="N61" s="111"/>
      <c r="O61" s="1369">
        <f>ROUNDDOWN(SUM(O59:P60), -6)</f>
        <v>204000000</v>
      </c>
      <c r="P61" s="1370"/>
      <c r="Q61" s="1371"/>
      <c r="R61" s="1372"/>
      <c r="S61" s="1373"/>
      <c r="T61" s="1251"/>
      <c r="U61" s="529"/>
      <c r="V61" s="529"/>
      <c r="W61" s="529"/>
      <c r="X61" s="529"/>
      <c r="Y61" s="529"/>
      <c r="Z61" s="529"/>
      <c r="AA61" s="529"/>
      <c r="AB61" s="529"/>
      <c r="AC61" s="529"/>
      <c r="AD61" s="529"/>
    </row>
    <row r="62" spans="1:30" ht="21" thickBot="1" x14ac:dyDescent="0.35">
      <c r="B62" s="104"/>
      <c r="C62" s="104"/>
      <c r="D62" s="104"/>
      <c r="E62" s="104"/>
      <c r="F62" s="105"/>
      <c r="G62" s="105"/>
      <c r="H62" s="105"/>
      <c r="I62" s="105"/>
      <c r="J62" s="105"/>
      <c r="K62" s="105"/>
      <c r="L62" s="105"/>
      <c r="M62" s="106"/>
      <c r="N62" s="107"/>
      <c r="O62" s="107"/>
      <c r="P62" s="107"/>
      <c r="Q62" s="108"/>
      <c r="R62" s="108"/>
      <c r="S62" s="108"/>
      <c r="T62" s="108"/>
      <c r="U62" s="529"/>
      <c r="V62" s="529"/>
      <c r="W62" s="529"/>
      <c r="X62" s="529"/>
      <c r="Y62" s="529"/>
      <c r="Z62" s="529"/>
      <c r="AA62" s="529"/>
      <c r="AB62" s="529"/>
      <c r="AC62" s="529"/>
      <c r="AD62" s="529"/>
    </row>
    <row r="63" spans="1:30" ht="18" thickBot="1" x14ac:dyDescent="0.35">
      <c r="B63" s="1374" t="s">
        <v>50</v>
      </c>
      <c r="C63" s="1375"/>
      <c r="D63" s="1375"/>
      <c r="E63" s="1376"/>
      <c r="F63" s="109"/>
      <c r="G63" s="109"/>
      <c r="H63" s="109"/>
      <c r="I63" s="109"/>
      <c r="J63" s="109"/>
      <c r="K63" s="110"/>
      <c r="L63" s="110"/>
      <c r="M63" s="110"/>
      <c r="N63" s="77" t="s">
        <v>14</v>
      </c>
      <c r="O63" s="1377" t="s">
        <v>15</v>
      </c>
      <c r="P63" s="1378"/>
      <c r="Q63" s="1379" t="s">
        <v>17</v>
      </c>
      <c r="R63" s="1380"/>
      <c r="S63" s="166" t="s">
        <v>16</v>
      </c>
      <c r="T63" s="166"/>
    </row>
    <row r="64" spans="1:30" ht="18" customHeight="1" x14ac:dyDescent="0.3">
      <c r="B64" s="102">
        <v>1</v>
      </c>
      <c r="C64" s="1400"/>
      <c r="D64" s="1401"/>
      <c r="E64" s="1401"/>
      <c r="F64" s="1401"/>
      <c r="G64" s="1401"/>
      <c r="H64" s="1401"/>
      <c r="I64" s="1401"/>
      <c r="J64" s="1402"/>
      <c r="N64" s="11">
        <v>0</v>
      </c>
      <c r="O64" s="1403">
        <f>$O$61/(1+N64)</f>
        <v>204000000</v>
      </c>
      <c r="P64" s="1404"/>
      <c r="Q64" s="1405">
        <f>O64-$M$44</f>
        <v>101287898.668</v>
      </c>
      <c r="R64" s="1406"/>
      <c r="S64" s="160">
        <f>Q64/O64</f>
        <v>0.49650930719607844</v>
      </c>
      <c r="T64" s="160"/>
    </row>
    <row r="65" spans="1:30" ht="18" customHeight="1" x14ac:dyDescent="0.3">
      <c r="B65" s="100">
        <v>2</v>
      </c>
      <c r="C65" s="1458"/>
      <c r="D65" s="1456"/>
      <c r="E65" s="1456"/>
      <c r="F65" s="1456"/>
      <c r="G65" s="1456"/>
      <c r="H65" s="1456"/>
      <c r="I65" s="1456"/>
      <c r="J65" s="1457"/>
      <c r="N65" s="9">
        <v>0.1</v>
      </c>
      <c r="O65" s="1389">
        <f>$O$61/(1+N65)</f>
        <v>185454545.45454544</v>
      </c>
      <c r="P65" s="1390"/>
      <c r="Q65" s="1391">
        <f t="shared" ref="Q65:Q68" si="21">O65-$M$44</f>
        <v>82742444.122545436</v>
      </c>
      <c r="R65" s="1392"/>
      <c r="S65" s="161">
        <f t="shared" ref="S65:S68" si="22">Q65/O65</f>
        <v>0.44616023791568621</v>
      </c>
      <c r="T65" s="161"/>
    </row>
    <row r="66" spans="1:30" ht="18" customHeight="1" x14ac:dyDescent="0.3">
      <c r="B66" s="100">
        <v>3</v>
      </c>
      <c r="C66" s="1455"/>
      <c r="D66" s="1456"/>
      <c r="E66" s="1456"/>
      <c r="F66" s="1456"/>
      <c r="G66" s="1456"/>
      <c r="H66" s="1456"/>
      <c r="I66" s="1456"/>
      <c r="J66" s="1457"/>
      <c r="N66" s="10">
        <v>0.15</v>
      </c>
      <c r="O66" s="1389">
        <f t="shared" ref="O66:O67" si="23">$O$61/(1+N66)</f>
        <v>177391304.34782609</v>
      </c>
      <c r="P66" s="1390"/>
      <c r="Q66" s="1391">
        <f t="shared" si="21"/>
        <v>74679203.015826091</v>
      </c>
      <c r="R66" s="1392"/>
      <c r="S66" s="161">
        <f t="shared" si="22"/>
        <v>0.42098570327549023</v>
      </c>
      <c r="T66" s="161"/>
    </row>
    <row r="67" spans="1:30" ht="18" customHeight="1" x14ac:dyDescent="0.3">
      <c r="A67" s="103"/>
      <c r="B67" s="100">
        <v>4</v>
      </c>
      <c r="C67" s="1455"/>
      <c r="D67" s="1456"/>
      <c r="E67" s="1456"/>
      <c r="F67" s="1456"/>
      <c r="G67" s="1456"/>
      <c r="H67" s="1456"/>
      <c r="I67" s="1456"/>
      <c r="J67" s="1457"/>
      <c r="N67" s="10">
        <v>0.2</v>
      </c>
      <c r="O67" s="1389">
        <f t="shared" si="23"/>
        <v>170000000</v>
      </c>
      <c r="P67" s="1390"/>
      <c r="Q67" s="1391">
        <f t="shared" si="21"/>
        <v>67287898.667999998</v>
      </c>
      <c r="R67" s="1392"/>
      <c r="S67" s="161">
        <f t="shared" si="22"/>
        <v>0.39581116863529409</v>
      </c>
      <c r="T67" s="161"/>
    </row>
    <row r="68" spans="1:30" ht="18" customHeight="1" thickBot="1" x14ac:dyDescent="0.35">
      <c r="B68" s="100">
        <v>5</v>
      </c>
      <c r="C68" s="1393"/>
      <c r="D68" s="1394"/>
      <c r="E68" s="1394"/>
      <c r="F68" s="1394"/>
      <c r="G68" s="1394"/>
      <c r="H68" s="1394"/>
      <c r="I68" s="1394"/>
      <c r="J68" s="1395"/>
      <c r="N68" s="12" t="s">
        <v>45</v>
      </c>
      <c r="O68" s="1396">
        <v>0</v>
      </c>
      <c r="P68" s="1397"/>
      <c r="Q68" s="1398">
        <f t="shared" si="21"/>
        <v>-102712101.332</v>
      </c>
      <c r="R68" s="1399"/>
      <c r="S68" s="99" t="e">
        <f t="shared" si="22"/>
        <v>#DIV/0!</v>
      </c>
      <c r="T68" s="99"/>
    </row>
    <row r="69" spans="1:30" ht="18" customHeight="1" thickBot="1" x14ac:dyDescent="0.35">
      <c r="B69" s="100">
        <v>6</v>
      </c>
      <c r="C69" s="1393"/>
      <c r="D69" s="1394"/>
      <c r="E69" s="1394"/>
      <c r="F69" s="1394"/>
      <c r="G69" s="1394"/>
      <c r="H69" s="1394"/>
      <c r="I69" s="1394"/>
      <c r="J69" s="1395"/>
    </row>
    <row r="70" spans="1:30" ht="18" customHeight="1" thickBot="1" x14ac:dyDescent="0.35">
      <c r="B70" s="100">
        <v>7</v>
      </c>
      <c r="C70" s="638"/>
      <c r="D70" s="639"/>
      <c r="E70" s="639"/>
      <c r="F70" s="639"/>
      <c r="G70" s="639"/>
      <c r="H70" s="639"/>
      <c r="I70" s="639"/>
      <c r="J70" s="640"/>
      <c r="N70" s="1410" t="s">
        <v>47</v>
      </c>
      <c r="O70" s="1411"/>
      <c r="P70" s="1412" t="s">
        <v>48</v>
      </c>
      <c r="Q70" s="1413"/>
      <c r="R70" s="1414" t="s">
        <v>49</v>
      </c>
      <c r="S70" s="1415"/>
      <c r="T70" s="1232"/>
    </row>
    <row r="71" spans="1:30" ht="18" customHeight="1" x14ac:dyDescent="0.3">
      <c r="B71" s="100">
        <v>8</v>
      </c>
      <c r="C71" s="1393"/>
      <c r="D71" s="1394"/>
      <c r="E71" s="1394"/>
      <c r="F71" s="1394"/>
      <c r="G71" s="1394"/>
      <c r="H71" s="1394"/>
      <c r="I71" s="1394"/>
      <c r="J71" s="1395"/>
      <c r="N71" s="1416"/>
      <c r="O71" s="1417"/>
      <c r="P71" s="1422"/>
      <c r="Q71" s="1423"/>
      <c r="R71" s="1428"/>
      <c r="S71" s="1429"/>
      <c r="T71" s="1231"/>
    </row>
    <row r="72" spans="1:30" ht="18" customHeight="1" x14ac:dyDescent="0.3">
      <c r="B72" s="100"/>
      <c r="C72" s="1434"/>
      <c r="D72" s="1435"/>
      <c r="E72" s="1435"/>
      <c r="F72" s="1435"/>
      <c r="G72" s="1435"/>
      <c r="H72" s="1435"/>
      <c r="I72" s="1435"/>
      <c r="J72" s="1436"/>
      <c r="N72" s="1418"/>
      <c r="O72" s="1419"/>
      <c r="P72" s="1424"/>
      <c r="Q72" s="1425"/>
      <c r="R72" s="1430"/>
      <c r="S72" s="1431"/>
      <c r="T72" s="1231"/>
    </row>
    <row r="73" spans="1:30" ht="18" customHeight="1" x14ac:dyDescent="0.3">
      <c r="B73" s="100"/>
      <c r="C73" s="1434"/>
      <c r="D73" s="1435"/>
      <c r="E73" s="1435"/>
      <c r="F73" s="1435"/>
      <c r="G73" s="1435"/>
      <c r="H73" s="1435"/>
      <c r="I73" s="1435"/>
      <c r="J73" s="1436"/>
      <c r="N73" s="1418"/>
      <c r="O73" s="1419"/>
      <c r="P73" s="1424"/>
      <c r="Q73" s="1425"/>
      <c r="R73" s="1430"/>
      <c r="S73" s="1431"/>
      <c r="T73" s="1231"/>
    </row>
    <row r="74" spans="1:30" ht="18" customHeight="1" thickBot="1" x14ac:dyDescent="0.35">
      <c r="B74" s="101"/>
      <c r="C74" s="1407"/>
      <c r="D74" s="1408"/>
      <c r="E74" s="1408"/>
      <c r="F74" s="1408"/>
      <c r="G74" s="1408"/>
      <c r="H74" s="1408"/>
      <c r="I74" s="1408"/>
      <c r="J74" s="1409"/>
      <c r="N74" s="1420"/>
      <c r="O74" s="1421"/>
      <c r="P74" s="1426"/>
      <c r="Q74" s="1427"/>
      <c r="R74" s="1432"/>
      <c r="S74" s="1433"/>
      <c r="T74" s="1231"/>
    </row>
    <row r="75" spans="1:30" s="529" customFormat="1" x14ac:dyDescent="0.3">
      <c r="A75"/>
      <c r="B75" s="2"/>
      <c r="C75" s="2"/>
      <c r="D75" s="2"/>
      <c r="E75" s="2"/>
      <c r="F75" s="3"/>
      <c r="G75" s="3"/>
      <c r="H75" s="3"/>
      <c r="I75" s="3"/>
      <c r="J75" s="3"/>
      <c r="K75" s="1"/>
      <c r="L75" s="1"/>
      <c r="M75" s="1"/>
      <c r="N75" s="5"/>
      <c r="O75" s="1"/>
      <c r="P75" s="1"/>
      <c r="Q75"/>
      <c r="R75"/>
      <c r="S75" s="93"/>
      <c r="T75" s="93"/>
      <c r="U75" s="70"/>
      <c r="V75" s="70"/>
      <c r="W75" s="70"/>
      <c r="X75" s="70"/>
      <c r="Y75" s="70"/>
      <c r="Z75" s="70"/>
      <c r="AA75" s="70"/>
      <c r="AB75" s="70"/>
      <c r="AC75" s="70"/>
      <c r="AD75" s="70"/>
    </row>
    <row r="76" spans="1:30" s="529" customFormat="1" x14ac:dyDescent="0.3">
      <c r="A76"/>
      <c r="B76" s="2"/>
      <c r="C76" s="2"/>
      <c r="D76" s="2"/>
      <c r="E76" s="2"/>
      <c r="F76" s="3"/>
      <c r="G76" s="3"/>
      <c r="H76" s="3"/>
      <c r="I76" s="3"/>
      <c r="J76" s="3"/>
      <c r="K76" s="1"/>
      <c r="L76" s="1"/>
      <c r="M76" s="1"/>
      <c r="N76" s="5"/>
      <c r="O76" s="1"/>
      <c r="P76" s="1"/>
      <c r="Q76"/>
      <c r="R76"/>
      <c r="S76" s="93"/>
      <c r="T76" s="93"/>
      <c r="U76" s="70"/>
      <c r="V76" s="70"/>
      <c r="W76" s="70"/>
      <c r="X76" s="70"/>
      <c r="Y76" s="70"/>
      <c r="Z76" s="70"/>
      <c r="AA76" s="70"/>
      <c r="AB76" s="70"/>
      <c r="AC76" s="70"/>
      <c r="AD76" s="70"/>
    </row>
    <row r="77" spans="1:30" s="529" customFormat="1" x14ac:dyDescent="0.3">
      <c r="A77"/>
      <c r="B77" s="2"/>
      <c r="C77" s="2"/>
      <c r="D77" s="2"/>
      <c r="E77" s="2"/>
      <c r="F77" s="3"/>
      <c r="G77" s="3"/>
      <c r="H77" s="3"/>
      <c r="I77" s="3"/>
      <c r="J77" s="3"/>
      <c r="K77" s="1"/>
      <c r="L77" s="1"/>
      <c r="M77" s="1"/>
      <c r="N77" s="5"/>
      <c r="O77" s="1"/>
      <c r="P77" s="1"/>
      <c r="Q77"/>
      <c r="R77"/>
      <c r="S77" s="93"/>
      <c r="T77" s="93"/>
      <c r="U77" s="70"/>
      <c r="V77" s="70"/>
      <c r="W77" s="70"/>
      <c r="X77" s="70"/>
      <c r="Y77" s="70"/>
      <c r="Z77" s="70"/>
      <c r="AA77" s="70"/>
      <c r="AB77" s="70"/>
      <c r="AC77" s="70"/>
      <c r="AD77" s="70"/>
    </row>
    <row r="78" spans="1:30" s="529" customFormat="1" x14ac:dyDescent="0.3">
      <c r="A78"/>
      <c r="B78" s="2"/>
      <c r="C78" s="2"/>
      <c r="D78" s="2"/>
      <c r="E78" s="2"/>
      <c r="F78" s="3"/>
      <c r="G78" s="3"/>
      <c r="H78" s="3"/>
      <c r="I78" s="3"/>
      <c r="J78" s="3"/>
      <c r="K78" s="1"/>
      <c r="L78" s="1"/>
      <c r="M78" s="1"/>
      <c r="N78" s="5"/>
      <c r="O78" s="1"/>
      <c r="P78" s="1"/>
      <c r="Q78"/>
      <c r="R78"/>
      <c r="S78" s="93"/>
      <c r="T78" s="93"/>
      <c r="U78" s="70"/>
      <c r="V78" s="70"/>
      <c r="W78" s="70"/>
      <c r="X78" s="70"/>
      <c r="Y78" s="70"/>
      <c r="Z78" s="70"/>
      <c r="AA78" s="70"/>
      <c r="AB78" s="70"/>
      <c r="AC78" s="70"/>
      <c r="AD78" s="70"/>
    </row>
    <row r="79" spans="1:30" s="529" customFormat="1" x14ac:dyDescent="0.3">
      <c r="A79"/>
      <c r="B79" s="2"/>
      <c r="C79" s="2"/>
      <c r="D79" s="2"/>
      <c r="E79" s="2"/>
      <c r="F79" s="3"/>
      <c r="G79" s="3"/>
      <c r="H79" s="3"/>
      <c r="I79" s="3"/>
      <c r="J79" s="3"/>
      <c r="K79" s="1"/>
      <c r="L79" s="1"/>
      <c r="M79" s="1"/>
      <c r="N79" s="5"/>
      <c r="O79" s="1"/>
      <c r="P79" s="1"/>
      <c r="Q79"/>
      <c r="R79"/>
      <c r="S79" s="93"/>
      <c r="T79" s="93"/>
      <c r="U79" s="70"/>
      <c r="V79" s="70"/>
      <c r="W79" s="70"/>
      <c r="X79" s="70"/>
      <c r="Y79" s="70"/>
      <c r="Z79" s="70"/>
      <c r="AA79" s="70"/>
      <c r="AB79" s="70"/>
      <c r="AC79" s="70"/>
      <c r="AD79" s="70"/>
    </row>
  </sheetData>
  <mergeCells count="138">
    <mergeCell ref="T38:T42"/>
    <mergeCell ref="C71:J71"/>
    <mergeCell ref="N71:O74"/>
    <mergeCell ref="P71:Q74"/>
    <mergeCell ref="R71:S74"/>
    <mergeCell ref="C72:J72"/>
    <mergeCell ref="C73:J73"/>
    <mergeCell ref="C74:J74"/>
    <mergeCell ref="C68:J68"/>
    <mergeCell ref="O68:P68"/>
    <mergeCell ref="Q68:R68"/>
    <mergeCell ref="C69:J69"/>
    <mergeCell ref="N70:O70"/>
    <mergeCell ref="P70:Q70"/>
    <mergeCell ref="R70:S70"/>
    <mergeCell ref="C66:J66"/>
    <mergeCell ref="O66:P66"/>
    <mergeCell ref="Q66:R66"/>
    <mergeCell ref="C67:J67"/>
    <mergeCell ref="O67:P67"/>
    <mergeCell ref="Q67:R67"/>
    <mergeCell ref="C64:J64"/>
    <mergeCell ref="O64:P64"/>
    <mergeCell ref="Q64:R64"/>
    <mergeCell ref="C65:J65"/>
    <mergeCell ref="O65:P65"/>
    <mergeCell ref="Q65:R65"/>
    <mergeCell ref="B61:L61"/>
    <mergeCell ref="O61:P61"/>
    <mergeCell ref="Q61:S61"/>
    <mergeCell ref="B63:E63"/>
    <mergeCell ref="O63:P63"/>
    <mergeCell ref="Q63:R63"/>
    <mergeCell ref="B59:L59"/>
    <mergeCell ref="O59:P59"/>
    <mergeCell ref="Q59:S59"/>
    <mergeCell ref="B60:L60"/>
    <mergeCell ref="O60:P60"/>
    <mergeCell ref="Q60:S60"/>
    <mergeCell ref="O55:P55"/>
    <mergeCell ref="O56:P56"/>
    <mergeCell ref="B57:L57"/>
    <mergeCell ref="O57:P57"/>
    <mergeCell ref="Q57:S57"/>
    <mergeCell ref="B58:L58"/>
    <mergeCell ref="O58:P58"/>
    <mergeCell ref="Q58:S58"/>
    <mergeCell ref="O48:P48"/>
    <mergeCell ref="Q48:R48"/>
    <mergeCell ref="O49:P49"/>
    <mergeCell ref="Q49:R49"/>
    <mergeCell ref="O50:P50"/>
    <mergeCell ref="Q50:R56"/>
    <mergeCell ref="O51:P51"/>
    <mergeCell ref="O52:P52"/>
    <mergeCell ref="O53:P53"/>
    <mergeCell ref="O54:P54"/>
    <mergeCell ref="O45:P45"/>
    <mergeCell ref="Q45:R45"/>
    <mergeCell ref="O46:P46"/>
    <mergeCell ref="Q46:R46"/>
    <mergeCell ref="O47:P47"/>
    <mergeCell ref="Q47:R47"/>
    <mergeCell ref="O41:P41"/>
    <mergeCell ref="Q41:R41"/>
    <mergeCell ref="O42:P42"/>
    <mergeCell ref="Q42:R42"/>
    <mergeCell ref="O37:P37"/>
    <mergeCell ref="O26:P26"/>
    <mergeCell ref="Q26:R26"/>
    <mergeCell ref="O27:P27"/>
    <mergeCell ref="Q27:R27"/>
    <mergeCell ref="O34:P34"/>
    <mergeCell ref="B44:L44"/>
    <mergeCell ref="O44:P44"/>
    <mergeCell ref="Q44:R44"/>
    <mergeCell ref="O38:P38"/>
    <mergeCell ref="Q38:R38"/>
    <mergeCell ref="O39:P39"/>
    <mergeCell ref="Q39:R39"/>
    <mergeCell ref="O40:P40"/>
    <mergeCell ref="Q40:R40"/>
    <mergeCell ref="O28:P28"/>
    <mergeCell ref="O24:P24"/>
    <mergeCell ref="Q24:R24"/>
    <mergeCell ref="O25:P25"/>
    <mergeCell ref="Q25:R25"/>
    <mergeCell ref="O35:P35"/>
    <mergeCell ref="O36:P36"/>
    <mergeCell ref="Q36:R36"/>
    <mergeCell ref="O20:P20"/>
    <mergeCell ref="Q20:R20"/>
    <mergeCell ref="O21:P21"/>
    <mergeCell ref="Q21:R21"/>
    <mergeCell ref="O22:P22"/>
    <mergeCell ref="Q22:R22"/>
    <mergeCell ref="O29:P29"/>
    <mergeCell ref="O30:P30"/>
    <mergeCell ref="Q30:R30"/>
    <mergeCell ref="O32:P32"/>
    <mergeCell ref="Q32:R32"/>
    <mergeCell ref="O33:P33"/>
    <mergeCell ref="Q33:R33"/>
    <mergeCell ref="O31:P31"/>
    <mergeCell ref="O18:P18"/>
    <mergeCell ref="Q18:R18"/>
    <mergeCell ref="O19:P19"/>
    <mergeCell ref="Q19:R19"/>
    <mergeCell ref="O12:P12"/>
    <mergeCell ref="Q12:R12"/>
    <mergeCell ref="O13:P13"/>
    <mergeCell ref="Q13:R13"/>
    <mergeCell ref="O14:P14"/>
    <mergeCell ref="Q14:R14"/>
    <mergeCell ref="S38:S42"/>
    <mergeCell ref="A2:S2"/>
    <mergeCell ref="Q3:S3"/>
    <mergeCell ref="B4:E4"/>
    <mergeCell ref="O4:P4"/>
    <mergeCell ref="Q4:R4"/>
    <mergeCell ref="O5:P5"/>
    <mergeCell ref="Q5:R5"/>
    <mergeCell ref="O9:P9"/>
    <mergeCell ref="Q9:R9"/>
    <mergeCell ref="O11:P11"/>
    <mergeCell ref="Q11:R11"/>
    <mergeCell ref="O10:P10"/>
    <mergeCell ref="Q10:R10"/>
    <mergeCell ref="O6:P6"/>
    <mergeCell ref="Q6:R6"/>
    <mergeCell ref="O7:P7"/>
    <mergeCell ref="Q7:R7"/>
    <mergeCell ref="O8:P8"/>
    <mergeCell ref="Q8:R8"/>
    <mergeCell ref="O15:P15"/>
    <mergeCell ref="Q15:R16"/>
    <mergeCell ref="O16:P16"/>
    <mergeCell ref="O17:P17"/>
  </mergeCells>
  <phoneticPr fontId="2" type="noConversion"/>
  <pageMargins left="0.25" right="0.25" top="0.75" bottom="0.75" header="0.3" footer="0.3"/>
  <pageSetup paperSize="9" scale="10" fitToWidth="0" orientation="landscape" horizontalDpi="300" r:id="rId1"/>
  <headerFooter>
    <oddFooter>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935C-BEC6-4606-8F2A-783A053719B0}">
  <sheetPr>
    <pageSetUpPr fitToPage="1"/>
  </sheetPr>
  <dimension ref="A1:T132"/>
  <sheetViews>
    <sheetView topLeftCell="G91" zoomScale="85" zoomScaleNormal="85" zoomScaleSheetLayoutView="100" zoomScalePageLayoutView="85" workbookViewId="0">
      <selection activeCell="M107" sqref="M107"/>
    </sheetView>
  </sheetViews>
  <sheetFormatPr defaultRowHeight="16.5" x14ac:dyDescent="0.3"/>
  <cols>
    <col min="1" max="1" width="6.375" customWidth="1"/>
    <col min="2" max="2" width="22.75" style="918" bestFit="1" customWidth="1"/>
    <col min="3" max="3" width="57.25" style="2" customWidth="1"/>
    <col min="4" max="4" width="25.625" style="918" bestFit="1" customWidth="1"/>
    <col min="5" max="6" width="16.625" style="918" customWidth="1"/>
    <col min="7" max="7" width="6.625" style="918" customWidth="1"/>
    <col min="8" max="10" width="16.625" style="1" customWidth="1"/>
    <col min="11" max="11" width="12.625" style="5" customWidth="1"/>
    <col min="12" max="12" width="14.125" style="1" bestFit="1" customWidth="1"/>
    <col min="13" max="13" width="63.25" bestFit="1" customWidth="1"/>
    <col min="14" max="14" width="21.875" style="93" customWidth="1"/>
    <col min="15" max="15" width="11.25" bestFit="1" customWidth="1"/>
  </cols>
  <sheetData>
    <row r="1" spans="1:20" ht="9.9499999999999993" customHeight="1" x14ac:dyDescent="0.3"/>
    <row r="2" spans="1:20" ht="26.25" x14ac:dyDescent="0.3">
      <c r="A2" s="851" t="s">
        <v>798</v>
      </c>
      <c r="B2" s="856"/>
      <c r="C2" s="856"/>
      <c r="D2" s="916"/>
      <c r="E2" s="916"/>
      <c r="F2" s="916"/>
      <c r="G2" s="916"/>
      <c r="H2" s="851"/>
      <c r="I2" s="851"/>
      <c r="J2" s="851"/>
      <c r="K2" s="851"/>
      <c r="L2" s="851"/>
      <c r="M2" s="851"/>
      <c r="N2" s="851"/>
      <c r="O2">
        <v>100</v>
      </c>
      <c r="P2">
        <f>O2/24</f>
        <v>4.166666666666667</v>
      </c>
    </row>
    <row r="3" spans="1:20" ht="17.25" thickBot="1" x14ac:dyDescent="0.35">
      <c r="M3" s="927">
        <v>45469</v>
      </c>
      <c r="N3" s="927"/>
    </row>
    <row r="4" spans="1:20" ht="18" thickBot="1" x14ac:dyDescent="0.35">
      <c r="A4" t="s">
        <v>765</v>
      </c>
      <c r="B4" s="862" t="s">
        <v>532</v>
      </c>
      <c r="C4" s="928" t="s">
        <v>56</v>
      </c>
      <c r="D4" s="863" t="s">
        <v>55</v>
      </c>
      <c r="E4" s="863" t="s">
        <v>0</v>
      </c>
      <c r="F4" s="863" t="s">
        <v>43</v>
      </c>
      <c r="G4" s="863" t="s">
        <v>4</v>
      </c>
      <c r="H4" s="864" t="s">
        <v>12</v>
      </c>
      <c r="I4" s="865" t="s">
        <v>39</v>
      </c>
      <c r="J4" s="865" t="s">
        <v>5</v>
      </c>
      <c r="K4" s="874" t="s">
        <v>13</v>
      </c>
      <c r="L4" s="875" t="s">
        <v>6</v>
      </c>
      <c r="M4" s="886" t="s">
        <v>3</v>
      </c>
      <c r="N4" s="884" t="s">
        <v>59</v>
      </c>
      <c r="P4" t="s">
        <v>1079</v>
      </c>
    </row>
    <row r="5" spans="1:20" s="369" customFormat="1" x14ac:dyDescent="0.3">
      <c r="A5" s="857">
        <v>1</v>
      </c>
      <c r="B5" s="1157" t="s">
        <v>764</v>
      </c>
      <c r="C5" s="1158" t="s">
        <v>578</v>
      </c>
      <c r="D5" s="1159" t="s">
        <v>512</v>
      </c>
      <c r="E5" s="1160" t="s">
        <v>131</v>
      </c>
      <c r="F5" s="1160" t="s">
        <v>131</v>
      </c>
      <c r="G5" s="1159">
        <v>1</v>
      </c>
      <c r="H5" s="1161">
        <f>(16960+2700+810)*0.5*1.071*1400</f>
        <v>15346359</v>
      </c>
      <c r="I5" s="1161">
        <f>21492000+4038000+1220000</f>
        <v>26750000</v>
      </c>
      <c r="J5" s="1162">
        <f>G5*H5</f>
        <v>15346359</v>
      </c>
      <c r="K5" s="1163">
        <v>0</v>
      </c>
      <c r="L5" s="1164">
        <f t="shared" ref="L5:L10" si="0">G5*I5/(1-K5)</f>
        <v>26750000</v>
      </c>
      <c r="M5" s="1165" t="s">
        <v>437</v>
      </c>
      <c r="N5" s="1166" t="s">
        <v>714</v>
      </c>
      <c r="O5" t="s">
        <v>1074</v>
      </c>
      <c r="P5">
        <v>1.2</v>
      </c>
      <c r="Q5" s="370"/>
      <c r="R5" s="394" t="s">
        <v>1109</v>
      </c>
      <c r="S5" s="370"/>
      <c r="T5" s="370"/>
    </row>
    <row r="6" spans="1:20" s="369" customFormat="1" x14ac:dyDescent="0.3">
      <c r="A6" s="857">
        <v>2</v>
      </c>
      <c r="B6" s="358" t="s">
        <v>764</v>
      </c>
      <c r="C6" s="1167" t="s">
        <v>369</v>
      </c>
      <c r="D6" s="1168">
        <v>701978</v>
      </c>
      <c r="E6" s="1169" t="s">
        <v>131</v>
      </c>
      <c r="F6" s="1169" t="s">
        <v>131</v>
      </c>
      <c r="G6" s="1168">
        <v>2</v>
      </c>
      <c r="H6" s="354">
        <f>(1200)*0.6*1.071*1400</f>
        <v>1079568</v>
      </c>
      <c r="I6" s="1170">
        <v>2025000</v>
      </c>
      <c r="J6" s="1171">
        <f>G6*H6</f>
        <v>2159136</v>
      </c>
      <c r="K6" s="1172">
        <v>0</v>
      </c>
      <c r="L6" s="1173">
        <f t="shared" si="0"/>
        <v>4050000</v>
      </c>
      <c r="M6" s="1174" t="s">
        <v>509</v>
      </c>
      <c r="N6" s="1175" t="s">
        <v>715</v>
      </c>
      <c r="O6" s="370"/>
      <c r="P6" s="370"/>
      <c r="Q6" s="370"/>
      <c r="R6" s="370"/>
      <c r="S6" s="370"/>
      <c r="T6" s="370"/>
    </row>
    <row r="7" spans="1:20" s="369" customFormat="1" x14ac:dyDescent="0.3">
      <c r="A7" s="857">
        <v>3</v>
      </c>
      <c r="B7" s="358" t="s">
        <v>764</v>
      </c>
      <c r="C7" s="1167" t="s">
        <v>549</v>
      </c>
      <c r="D7" s="1168">
        <v>701937</v>
      </c>
      <c r="E7" s="1169" t="s">
        <v>131</v>
      </c>
      <c r="F7" s="1169" t="s">
        <v>131</v>
      </c>
      <c r="G7" s="1168">
        <v>1</v>
      </c>
      <c r="H7" s="354"/>
      <c r="I7" s="1170"/>
      <c r="J7" s="1171"/>
      <c r="K7" s="1172">
        <v>0</v>
      </c>
      <c r="L7" s="1173">
        <f t="shared" si="0"/>
        <v>0</v>
      </c>
      <c r="M7" s="1174" t="s">
        <v>556</v>
      </c>
      <c r="N7" s="1175"/>
      <c r="O7" s="370"/>
      <c r="P7" s="370"/>
      <c r="Q7" s="370"/>
      <c r="R7" s="370"/>
      <c r="S7" s="370"/>
      <c r="T7" s="370"/>
    </row>
    <row r="8" spans="1:20" s="413" customFormat="1" x14ac:dyDescent="0.3">
      <c r="A8" s="857">
        <v>4</v>
      </c>
      <c r="B8" s="1176" t="s">
        <v>764</v>
      </c>
      <c r="C8" s="1177" t="s">
        <v>489</v>
      </c>
      <c r="D8" s="351">
        <v>702916</v>
      </c>
      <c r="E8" s="351" t="s">
        <v>131</v>
      </c>
      <c r="F8" s="1168" t="s">
        <v>131</v>
      </c>
      <c r="G8" s="351">
        <v>1</v>
      </c>
      <c r="H8" s="354">
        <f>(6450)*0.6*1.071*1400</f>
        <v>5802677.9999999991</v>
      </c>
      <c r="I8" s="354">
        <v>8712000</v>
      </c>
      <c r="J8" s="1171">
        <f t="shared" ref="J8:J40" si="1">G8*H8</f>
        <v>5802677.9999999991</v>
      </c>
      <c r="K8" s="1178">
        <v>0</v>
      </c>
      <c r="L8" s="1173">
        <f t="shared" si="0"/>
        <v>8712000</v>
      </c>
      <c r="M8" s="1174" t="s">
        <v>575</v>
      </c>
      <c r="N8" s="1179"/>
      <c r="O8" s="70"/>
      <c r="P8" s="70"/>
      <c r="Q8" s="70"/>
      <c r="R8" s="70"/>
      <c r="S8" s="70"/>
      <c r="T8" s="70"/>
    </row>
    <row r="9" spans="1:20" s="369" customFormat="1" x14ac:dyDescent="0.3">
      <c r="A9" s="857">
        <v>5</v>
      </c>
      <c r="B9" s="358" t="s">
        <v>764</v>
      </c>
      <c r="C9" s="1167" t="s">
        <v>399</v>
      </c>
      <c r="D9" s="1168" t="s">
        <v>336</v>
      </c>
      <c r="E9" s="1169" t="s">
        <v>337</v>
      </c>
      <c r="F9" s="1169" t="s">
        <v>337</v>
      </c>
      <c r="G9" s="1168">
        <v>1</v>
      </c>
      <c r="H9" s="1170">
        <f>690000*8.7116</f>
        <v>6011004.0000000009</v>
      </c>
      <c r="I9" s="354">
        <v>11825000</v>
      </c>
      <c r="J9" s="1171">
        <f t="shared" si="1"/>
        <v>6011004.0000000009</v>
      </c>
      <c r="K9" s="1172">
        <v>0</v>
      </c>
      <c r="L9" s="1173">
        <f t="shared" si="0"/>
        <v>11825000</v>
      </c>
      <c r="M9" s="1180" t="s">
        <v>586</v>
      </c>
      <c r="N9" s="1175" t="s">
        <v>644</v>
      </c>
      <c r="O9" t="s">
        <v>1091</v>
      </c>
      <c r="P9">
        <v>5.5</v>
      </c>
      <c r="Q9" s="370"/>
      <c r="R9" s="370"/>
      <c r="S9" s="370"/>
      <c r="T9" s="370"/>
    </row>
    <row r="10" spans="1:20" s="84" customFormat="1" x14ac:dyDescent="0.3">
      <c r="A10" s="857">
        <v>6</v>
      </c>
      <c r="B10" s="1181" t="s">
        <v>764</v>
      </c>
      <c r="C10" s="1182" t="s">
        <v>759</v>
      </c>
      <c r="D10" s="1183" t="s">
        <v>425</v>
      </c>
      <c r="E10" s="1168" t="s">
        <v>142</v>
      </c>
      <c r="F10" s="1168" t="s">
        <v>64</v>
      </c>
      <c r="G10" s="1168">
        <v>1</v>
      </c>
      <c r="H10" s="1170">
        <f>I10*0.75</f>
        <v>1731750</v>
      </c>
      <c r="I10" s="1170">
        <v>2309000</v>
      </c>
      <c r="J10" s="1171">
        <f t="shared" si="1"/>
        <v>1731750</v>
      </c>
      <c r="K10" s="1172">
        <v>0</v>
      </c>
      <c r="L10" s="1173">
        <f t="shared" si="0"/>
        <v>2309000</v>
      </c>
      <c r="M10" s="1174" t="s">
        <v>426</v>
      </c>
      <c r="N10" s="1184" t="s">
        <v>653</v>
      </c>
      <c r="O10" t="s">
        <v>1074</v>
      </c>
      <c r="P10">
        <v>4.0999999999999996</v>
      </c>
      <c r="Q10"/>
      <c r="R10"/>
      <c r="S10"/>
      <c r="T10"/>
    </row>
    <row r="11" spans="1:20" s="528" customFormat="1" x14ac:dyDescent="0.3">
      <c r="A11" s="857">
        <v>7</v>
      </c>
      <c r="B11" s="1181" t="s">
        <v>764</v>
      </c>
      <c r="C11" s="1182" t="s">
        <v>459</v>
      </c>
      <c r="D11" s="1183" t="s">
        <v>195</v>
      </c>
      <c r="E11" s="1168" t="s">
        <v>142</v>
      </c>
      <c r="F11" s="1168" t="s">
        <v>64</v>
      </c>
      <c r="G11" s="1168">
        <v>1</v>
      </c>
      <c r="H11" s="1170">
        <f>I11*0.75</f>
        <v>14394750</v>
      </c>
      <c r="I11" s="1170">
        <f>19193000</f>
        <v>19193000</v>
      </c>
      <c r="J11" s="1171">
        <f t="shared" si="1"/>
        <v>14394750</v>
      </c>
      <c r="K11" s="1172">
        <v>0</v>
      </c>
      <c r="L11" s="1173">
        <f>I11*G11</f>
        <v>19193000</v>
      </c>
      <c r="M11" s="1185" t="s">
        <v>401</v>
      </c>
      <c r="N11" s="1184" t="s">
        <v>653</v>
      </c>
      <c r="O11" s="70" t="s">
        <v>1080</v>
      </c>
      <c r="P11">
        <f>15000/0.95/0.86/1.73/220</f>
        <v>48.239235736140387</v>
      </c>
      <c r="R11" s="528" t="s">
        <v>1104</v>
      </c>
    </row>
    <row r="12" spans="1:20" s="528" customFormat="1" x14ac:dyDescent="0.3">
      <c r="A12" s="857">
        <v>8</v>
      </c>
      <c r="B12" s="1181" t="s">
        <v>764</v>
      </c>
      <c r="C12" s="1182" t="s">
        <v>460</v>
      </c>
      <c r="D12" s="1183" t="s">
        <v>461</v>
      </c>
      <c r="E12" s="1168" t="s">
        <v>142</v>
      </c>
      <c r="F12" s="1168" t="s">
        <v>64</v>
      </c>
      <c r="G12" s="1168">
        <v>1</v>
      </c>
      <c r="H12" s="1170">
        <f>I12*0.75</f>
        <v>14008500</v>
      </c>
      <c r="I12" s="1170">
        <v>18678000</v>
      </c>
      <c r="J12" s="1171">
        <f t="shared" si="1"/>
        <v>14008500</v>
      </c>
      <c r="K12" s="1172">
        <v>0</v>
      </c>
      <c r="L12" s="1173">
        <f>I12*G12</f>
        <v>18678000</v>
      </c>
      <c r="M12" s="1186"/>
      <c r="N12" s="1184" t="s">
        <v>653</v>
      </c>
      <c r="O12" s="70" t="s">
        <v>1080</v>
      </c>
      <c r="P12">
        <f>15000/0.95/0.86/1.73/220</f>
        <v>48.239235736140387</v>
      </c>
    </row>
    <row r="13" spans="1:20" s="84" customFormat="1" x14ac:dyDescent="0.3">
      <c r="A13" s="857">
        <v>9</v>
      </c>
      <c r="B13" s="1181" t="s">
        <v>764</v>
      </c>
      <c r="C13" s="1182" t="s">
        <v>427</v>
      </c>
      <c r="D13" s="1168">
        <v>2470</v>
      </c>
      <c r="E13" s="1168" t="s">
        <v>258</v>
      </c>
      <c r="F13" s="1168" t="s">
        <v>42</v>
      </c>
      <c r="G13" s="1168">
        <v>1</v>
      </c>
      <c r="H13" s="354">
        <f>I13*0.85</f>
        <v>14960000</v>
      </c>
      <c r="I13" s="1170">
        <v>17600000</v>
      </c>
      <c r="J13" s="1171">
        <f t="shared" si="1"/>
        <v>14960000</v>
      </c>
      <c r="K13" s="1172">
        <v>0</v>
      </c>
      <c r="L13" s="1173">
        <f t="shared" ref="L13:L19" si="2">G13*I13/(1-K13)</f>
        <v>17600000</v>
      </c>
      <c r="M13" s="1174" t="s">
        <v>263</v>
      </c>
      <c r="N13" s="1175"/>
      <c r="O13" t="s">
        <v>1091</v>
      </c>
      <c r="P13">
        <v>1</v>
      </c>
      <c r="Q13"/>
      <c r="R13" s="394" t="s">
        <v>1108</v>
      </c>
      <c r="S13"/>
      <c r="T13"/>
    </row>
    <row r="14" spans="1:20" s="84" customFormat="1" x14ac:dyDescent="0.3">
      <c r="A14" s="857">
        <v>10</v>
      </c>
      <c r="B14" s="1181" t="s">
        <v>764</v>
      </c>
      <c r="C14" s="1182" t="s">
        <v>761</v>
      </c>
      <c r="D14" s="1168" t="s">
        <v>325</v>
      </c>
      <c r="E14" s="1168" t="s">
        <v>510</v>
      </c>
      <c r="F14" s="1168" t="s">
        <v>42</v>
      </c>
      <c r="G14" s="1168">
        <v>1</v>
      </c>
      <c r="H14" s="354">
        <f>I14*0.85</f>
        <v>6273000</v>
      </c>
      <c r="I14" s="1170">
        <v>7380000</v>
      </c>
      <c r="J14" s="1171">
        <f t="shared" si="1"/>
        <v>6273000</v>
      </c>
      <c r="K14" s="1172">
        <v>0</v>
      </c>
      <c r="L14" s="1173">
        <f t="shared" si="2"/>
        <v>7380000</v>
      </c>
      <c r="M14" s="1174" t="s">
        <v>326</v>
      </c>
      <c r="N14" s="1175"/>
      <c r="O14" t="s">
        <v>1091</v>
      </c>
      <c r="P14">
        <v>1</v>
      </c>
      <c r="Q14"/>
      <c r="R14"/>
      <c r="S14"/>
      <c r="T14"/>
    </row>
    <row r="15" spans="1:20" s="84" customFormat="1" ht="17.25" thickBot="1" x14ac:dyDescent="0.35">
      <c r="A15" s="857">
        <v>11</v>
      </c>
      <c r="B15" s="1187" t="s">
        <v>764</v>
      </c>
      <c r="C15" s="1188" t="s">
        <v>428</v>
      </c>
      <c r="D15" s="1189">
        <v>3153</v>
      </c>
      <c r="E15" s="1189" t="s">
        <v>711</v>
      </c>
      <c r="F15" s="1189" t="s">
        <v>42</v>
      </c>
      <c r="G15" s="1189">
        <v>1</v>
      </c>
      <c r="H15" s="1190">
        <f>I15*0.75</f>
        <v>8088000</v>
      </c>
      <c r="I15" s="1191">
        <v>10784000</v>
      </c>
      <c r="J15" s="1192">
        <f t="shared" si="1"/>
        <v>8088000</v>
      </c>
      <c r="K15" s="1193">
        <v>0</v>
      </c>
      <c r="L15" s="1194">
        <f t="shared" si="2"/>
        <v>10784000</v>
      </c>
      <c r="M15" s="1195" t="s">
        <v>511</v>
      </c>
      <c r="N15" s="1196"/>
      <c r="O15" t="s">
        <v>1091</v>
      </c>
      <c r="P15">
        <v>0.5</v>
      </c>
      <c r="Q15"/>
      <c r="R15"/>
      <c r="S15"/>
      <c r="T15"/>
    </row>
    <row r="16" spans="1:20" s="82" customFormat="1" x14ac:dyDescent="0.3">
      <c r="A16" s="857">
        <v>12</v>
      </c>
      <c r="B16" s="1176" t="s">
        <v>764</v>
      </c>
      <c r="C16" s="1177" t="s">
        <v>541</v>
      </c>
      <c r="D16" s="351" t="s">
        <v>278</v>
      </c>
      <c r="E16" s="351" t="s">
        <v>80</v>
      </c>
      <c r="F16" s="351" t="s">
        <v>240</v>
      </c>
      <c r="G16" s="351">
        <v>1</v>
      </c>
      <c r="H16" s="354">
        <f>I16*0.95</f>
        <v>2422500</v>
      </c>
      <c r="I16" s="354">
        <v>2550000</v>
      </c>
      <c r="J16" s="1197">
        <f t="shared" si="1"/>
        <v>2422500</v>
      </c>
      <c r="K16" s="1178">
        <v>0</v>
      </c>
      <c r="L16" s="1198">
        <f t="shared" si="2"/>
        <v>2550000</v>
      </c>
      <c r="M16" s="1186"/>
      <c r="N16" s="1179" t="s">
        <v>645</v>
      </c>
      <c r="O16" t="s">
        <v>1081</v>
      </c>
      <c r="P16" t="s">
        <v>1082</v>
      </c>
    </row>
    <row r="17" spans="1:20" x14ac:dyDescent="0.3">
      <c r="A17" s="857">
        <v>13</v>
      </c>
      <c r="B17" s="1181" t="s">
        <v>764</v>
      </c>
      <c r="C17" s="1182" t="s">
        <v>539</v>
      </c>
      <c r="D17" s="1168" t="s">
        <v>422</v>
      </c>
      <c r="E17" s="1168" t="s">
        <v>80</v>
      </c>
      <c r="F17" s="1168" t="s">
        <v>430</v>
      </c>
      <c r="G17" s="1168">
        <v>1</v>
      </c>
      <c r="H17" s="1170">
        <f>I17*0.95</f>
        <v>2242000</v>
      </c>
      <c r="I17" s="1170">
        <v>2360000</v>
      </c>
      <c r="J17" s="1171">
        <f t="shared" si="1"/>
        <v>2242000</v>
      </c>
      <c r="K17" s="1172">
        <v>0</v>
      </c>
      <c r="L17" s="1173">
        <f t="shared" si="2"/>
        <v>2360000</v>
      </c>
      <c r="M17" s="1174" t="s">
        <v>582</v>
      </c>
      <c r="N17" s="1199" t="s">
        <v>646</v>
      </c>
    </row>
    <row r="18" spans="1:20" x14ac:dyDescent="0.3">
      <c r="A18" s="857">
        <v>14</v>
      </c>
      <c r="B18" s="1181" t="s">
        <v>764</v>
      </c>
      <c r="C18" s="1182" t="s">
        <v>537</v>
      </c>
      <c r="D18" s="1168" t="s">
        <v>316</v>
      </c>
      <c r="E18" s="1168" t="s">
        <v>80</v>
      </c>
      <c r="F18" s="1168" t="s">
        <v>430</v>
      </c>
      <c r="G18" s="1168">
        <v>1</v>
      </c>
      <c r="H18" s="1170">
        <f>I18*0.95</f>
        <v>836000</v>
      </c>
      <c r="I18" s="1170">
        <v>880000</v>
      </c>
      <c r="J18" s="1171">
        <f t="shared" si="1"/>
        <v>836000</v>
      </c>
      <c r="K18" s="1172">
        <v>0</v>
      </c>
      <c r="L18" s="1173">
        <f t="shared" si="2"/>
        <v>880000</v>
      </c>
      <c r="M18" s="1174" t="s">
        <v>581</v>
      </c>
      <c r="N18" s="1200" t="s">
        <v>646</v>
      </c>
    </row>
    <row r="19" spans="1:20" ht="17.25" thickBot="1" x14ac:dyDescent="0.35">
      <c r="A19" s="857">
        <v>15</v>
      </c>
      <c r="B19" s="1181" t="s">
        <v>764</v>
      </c>
      <c r="C19" s="1182" t="s">
        <v>535</v>
      </c>
      <c r="D19" s="1168" t="s">
        <v>554</v>
      </c>
      <c r="E19" s="1168" t="s">
        <v>80</v>
      </c>
      <c r="F19" s="1168" t="s">
        <v>430</v>
      </c>
      <c r="G19" s="1168">
        <v>1</v>
      </c>
      <c r="H19" s="1170">
        <f>I19*0.95</f>
        <v>1396500</v>
      </c>
      <c r="I19" s="1170">
        <v>1470000</v>
      </c>
      <c r="J19" s="1171">
        <f t="shared" si="1"/>
        <v>1396500</v>
      </c>
      <c r="K19" s="1172">
        <v>0</v>
      </c>
      <c r="L19" s="1173">
        <f t="shared" si="2"/>
        <v>1470000</v>
      </c>
      <c r="M19" s="1180" t="s">
        <v>594</v>
      </c>
      <c r="N19" s="1175" t="s">
        <v>646</v>
      </c>
    </row>
    <row r="20" spans="1:20" s="82" customFormat="1" x14ac:dyDescent="0.3">
      <c r="A20" s="857">
        <v>16</v>
      </c>
      <c r="B20" s="1176" t="s">
        <v>764</v>
      </c>
      <c r="C20" s="1177" t="s">
        <v>853</v>
      </c>
      <c r="D20" s="352" t="s">
        <v>417</v>
      </c>
      <c r="E20" s="351" t="s">
        <v>60</v>
      </c>
      <c r="F20" s="1168" t="s">
        <v>116</v>
      </c>
      <c r="G20" s="1168">
        <v>1</v>
      </c>
      <c r="H20" s="1170">
        <v>4500000</v>
      </c>
      <c r="I20" s="1170">
        <v>4500000</v>
      </c>
      <c r="J20" s="1171">
        <f t="shared" si="1"/>
        <v>4500000</v>
      </c>
      <c r="K20" s="1172">
        <v>0.3</v>
      </c>
      <c r="L20" s="1164">
        <f>G20*I20*(1+K20)</f>
        <v>5850000</v>
      </c>
      <c r="M20" s="1174" t="s">
        <v>420</v>
      </c>
      <c r="N20" s="1199" t="s">
        <v>647</v>
      </c>
    </row>
    <row r="21" spans="1:20" s="82" customFormat="1" x14ac:dyDescent="0.3">
      <c r="A21" s="857">
        <v>17</v>
      </c>
      <c r="B21" s="1181" t="s">
        <v>764</v>
      </c>
      <c r="C21" s="1182" t="s">
        <v>245</v>
      </c>
      <c r="D21" s="1168" t="s">
        <v>246</v>
      </c>
      <c r="E21" s="1168" t="s">
        <v>183</v>
      </c>
      <c r="F21" s="1168" t="s">
        <v>116</v>
      </c>
      <c r="G21" s="1168">
        <v>1</v>
      </c>
      <c r="H21" s="1170">
        <v>200000</v>
      </c>
      <c r="I21" s="1170">
        <v>200000</v>
      </c>
      <c r="J21" s="1171">
        <f t="shared" si="1"/>
        <v>200000</v>
      </c>
      <c r="K21" s="1172">
        <v>0.3</v>
      </c>
      <c r="L21" s="1173">
        <f>G21*I21*(1+K21)</f>
        <v>260000</v>
      </c>
      <c r="M21" s="1174"/>
      <c r="N21" s="1199"/>
    </row>
    <row r="22" spans="1:20" s="84" customFormat="1" x14ac:dyDescent="0.3">
      <c r="A22" s="857">
        <v>18</v>
      </c>
      <c r="B22" s="1181" t="s">
        <v>764</v>
      </c>
      <c r="C22" s="1182" t="s">
        <v>343</v>
      </c>
      <c r="D22" s="1168" t="s">
        <v>334</v>
      </c>
      <c r="E22" s="1168" t="s">
        <v>328</v>
      </c>
      <c r="F22" s="1168" t="s">
        <v>116</v>
      </c>
      <c r="G22" s="1168">
        <v>1</v>
      </c>
      <c r="H22" s="354">
        <v>450000</v>
      </c>
      <c r="I22" s="354">
        <v>500000</v>
      </c>
      <c r="J22" s="1171">
        <f t="shared" si="1"/>
        <v>450000</v>
      </c>
      <c r="K22" s="1172">
        <v>0</v>
      </c>
      <c r="L22" s="1173">
        <f>G22*I22/(1-K22)</f>
        <v>500000</v>
      </c>
      <c r="M22" s="1174" t="s">
        <v>526</v>
      </c>
      <c r="N22" s="1175"/>
      <c r="O22"/>
      <c r="P22"/>
      <c r="Q22"/>
      <c r="R22"/>
      <c r="S22"/>
      <c r="T22"/>
    </row>
    <row r="23" spans="1:20" s="82" customFormat="1" x14ac:dyDescent="0.3">
      <c r="A23" s="857">
        <v>19</v>
      </c>
      <c r="B23" s="1176" t="s">
        <v>764</v>
      </c>
      <c r="C23" s="1201" t="s">
        <v>857</v>
      </c>
      <c r="D23" s="1202" t="s">
        <v>268</v>
      </c>
      <c r="E23" s="351" t="s">
        <v>60</v>
      </c>
      <c r="F23" s="1168" t="s">
        <v>725</v>
      </c>
      <c r="G23" s="1168">
        <v>1</v>
      </c>
      <c r="H23" s="1170">
        <v>1000000</v>
      </c>
      <c r="I23" s="1170">
        <v>1000000</v>
      </c>
      <c r="J23" s="1203">
        <f t="shared" si="1"/>
        <v>1000000</v>
      </c>
      <c r="K23" s="1172">
        <v>0.3</v>
      </c>
      <c r="L23" s="1173">
        <f t="shared" ref="L23:L39" si="3">G23*I23*(1+K23)</f>
        <v>1300000</v>
      </c>
      <c r="M23" s="1174"/>
      <c r="N23" s="1199"/>
    </row>
    <row r="24" spans="1:20" s="413" customFormat="1" x14ac:dyDescent="0.3">
      <c r="A24" s="857">
        <v>55</v>
      </c>
      <c r="B24" s="1176" t="s">
        <v>764</v>
      </c>
      <c r="C24" s="1201" t="s">
        <v>519</v>
      </c>
      <c r="D24" s="1168" t="s">
        <v>520</v>
      </c>
      <c r="E24" s="351" t="s">
        <v>521</v>
      </c>
      <c r="F24" s="1168" t="s">
        <v>725</v>
      </c>
      <c r="G24" s="1168">
        <v>1</v>
      </c>
      <c r="H24" s="1170">
        <v>20000</v>
      </c>
      <c r="I24" s="1170">
        <v>20000</v>
      </c>
      <c r="J24" s="1171">
        <f t="shared" si="1"/>
        <v>20000</v>
      </c>
      <c r="K24" s="1172">
        <v>0.3</v>
      </c>
      <c r="L24" s="1173">
        <f t="shared" si="3"/>
        <v>26000</v>
      </c>
      <c r="M24" s="1174"/>
      <c r="N24" s="1184"/>
    </row>
    <row r="25" spans="1:20" s="82" customFormat="1" x14ac:dyDescent="0.3">
      <c r="A25" s="857">
        <v>20</v>
      </c>
      <c r="B25" s="1176" t="s">
        <v>764</v>
      </c>
      <c r="C25" s="1204" t="s">
        <v>909</v>
      </c>
      <c r="D25" s="351" t="s">
        <v>907</v>
      </c>
      <c r="E25" s="351" t="s">
        <v>518</v>
      </c>
      <c r="F25" s="1168" t="s">
        <v>725</v>
      </c>
      <c r="G25" s="1168">
        <v>1</v>
      </c>
      <c r="H25" s="1170">
        <v>50000</v>
      </c>
      <c r="I25" s="1170">
        <v>50000</v>
      </c>
      <c r="J25" s="1171">
        <f t="shared" si="1"/>
        <v>50000</v>
      </c>
      <c r="K25" s="1172">
        <v>0.3</v>
      </c>
      <c r="L25" s="1173">
        <f t="shared" si="3"/>
        <v>65000</v>
      </c>
      <c r="M25" s="1174" t="s">
        <v>584</v>
      </c>
      <c r="N25" s="1184" t="s">
        <v>648</v>
      </c>
      <c r="O25">
        <v>100</v>
      </c>
      <c r="P25">
        <f>O25/24</f>
        <v>4.166666666666667</v>
      </c>
    </row>
    <row r="26" spans="1:20" s="82" customFormat="1" x14ac:dyDescent="0.3">
      <c r="A26" s="857">
        <v>21</v>
      </c>
      <c r="B26" s="1176" t="s">
        <v>764</v>
      </c>
      <c r="C26" s="1177" t="s">
        <v>272</v>
      </c>
      <c r="D26" s="1168" t="s">
        <v>625</v>
      </c>
      <c r="E26" s="1168" t="s">
        <v>626</v>
      </c>
      <c r="F26" s="1168" t="s">
        <v>116</v>
      </c>
      <c r="G26" s="1168">
        <v>1</v>
      </c>
      <c r="H26" s="1170">
        <v>250000</v>
      </c>
      <c r="I26" s="1170">
        <v>250000</v>
      </c>
      <c r="J26" s="1171">
        <f t="shared" si="1"/>
        <v>250000</v>
      </c>
      <c r="K26" s="1172">
        <v>0.3</v>
      </c>
      <c r="L26" s="1173">
        <f t="shared" si="3"/>
        <v>325000</v>
      </c>
      <c r="M26" s="1174" t="s">
        <v>572</v>
      </c>
      <c r="N26" s="1199"/>
    </row>
    <row r="27" spans="1:20" s="82" customFormat="1" x14ac:dyDescent="0.3">
      <c r="A27" s="857">
        <v>22</v>
      </c>
      <c r="B27" s="1176" t="s">
        <v>764</v>
      </c>
      <c r="C27" s="1177" t="s">
        <v>619</v>
      </c>
      <c r="D27" s="1168" t="s">
        <v>622</v>
      </c>
      <c r="E27" s="351" t="s">
        <v>277</v>
      </c>
      <c r="F27" s="1168" t="s">
        <v>116</v>
      </c>
      <c r="G27" s="1168">
        <v>1</v>
      </c>
      <c r="H27" s="1170">
        <v>70000</v>
      </c>
      <c r="I27" s="1170">
        <v>70000</v>
      </c>
      <c r="J27" s="1171">
        <f t="shared" si="1"/>
        <v>70000</v>
      </c>
      <c r="K27" s="1172">
        <v>0.3</v>
      </c>
      <c r="L27" s="1173">
        <f t="shared" si="3"/>
        <v>91000</v>
      </c>
      <c r="M27" s="1180" t="s">
        <v>561</v>
      </c>
      <c r="N27" s="1184"/>
    </row>
    <row r="28" spans="1:20" s="82" customFormat="1" x14ac:dyDescent="0.3">
      <c r="A28" s="857">
        <v>23</v>
      </c>
      <c r="B28" s="1176" t="s">
        <v>764</v>
      </c>
      <c r="C28" s="1177" t="s">
        <v>620</v>
      </c>
      <c r="D28" s="1168" t="s">
        <v>621</v>
      </c>
      <c r="E28" s="351" t="s">
        <v>277</v>
      </c>
      <c r="F28" s="1168" t="s">
        <v>116</v>
      </c>
      <c r="G28" s="1168">
        <v>1</v>
      </c>
      <c r="H28" s="1170">
        <v>70000</v>
      </c>
      <c r="I28" s="1170">
        <v>70000</v>
      </c>
      <c r="J28" s="1171">
        <f t="shared" si="1"/>
        <v>70000</v>
      </c>
      <c r="K28" s="1172">
        <v>0.3</v>
      </c>
      <c r="L28" s="1173">
        <f t="shared" si="3"/>
        <v>91000</v>
      </c>
      <c r="M28" s="1180" t="s">
        <v>561</v>
      </c>
      <c r="N28" s="1184"/>
    </row>
    <row r="29" spans="1:20" s="82" customFormat="1" x14ac:dyDescent="0.3">
      <c r="A29" s="857">
        <v>24</v>
      </c>
      <c r="B29" s="1176" t="s">
        <v>764</v>
      </c>
      <c r="C29" s="1177" t="s">
        <v>855</v>
      </c>
      <c r="D29" s="352" t="s">
        <v>429</v>
      </c>
      <c r="E29" s="351" t="s">
        <v>60</v>
      </c>
      <c r="F29" s="1168" t="s">
        <v>116</v>
      </c>
      <c r="G29" s="1168">
        <v>1</v>
      </c>
      <c r="H29" s="1170">
        <v>3500000</v>
      </c>
      <c r="I29" s="1170">
        <v>3500000</v>
      </c>
      <c r="J29" s="1171">
        <f t="shared" si="1"/>
        <v>3500000</v>
      </c>
      <c r="K29" s="1172">
        <v>0.3</v>
      </c>
      <c r="L29" s="1173">
        <f t="shared" si="3"/>
        <v>4550000</v>
      </c>
      <c r="M29" s="1174"/>
      <c r="N29" s="1199"/>
    </row>
    <row r="30" spans="1:20" s="82" customFormat="1" x14ac:dyDescent="0.3">
      <c r="A30" s="857">
        <v>25</v>
      </c>
      <c r="B30" s="1181" t="s">
        <v>764</v>
      </c>
      <c r="C30" s="1182" t="s">
        <v>727</v>
      </c>
      <c r="D30" s="1168" t="s">
        <v>758</v>
      </c>
      <c r="E30" s="1168" t="s">
        <v>726</v>
      </c>
      <c r="F30" s="1168" t="s">
        <v>251</v>
      </c>
      <c r="G30" s="1168">
        <v>1</v>
      </c>
      <c r="H30" s="1170">
        <v>140000</v>
      </c>
      <c r="I30" s="1170">
        <v>200000</v>
      </c>
      <c r="J30" s="1171">
        <f t="shared" si="1"/>
        <v>140000</v>
      </c>
      <c r="K30" s="1172">
        <v>0.3</v>
      </c>
      <c r="L30" s="1173">
        <f t="shared" si="3"/>
        <v>260000</v>
      </c>
      <c r="M30" s="1174"/>
      <c r="N30" s="1199" t="s">
        <v>735</v>
      </c>
      <c r="O30" t="s">
        <v>1074</v>
      </c>
      <c r="P30" s="82">
        <v>0.1</v>
      </c>
    </row>
    <row r="31" spans="1:20" s="82" customFormat="1" x14ac:dyDescent="0.3">
      <c r="A31" s="857">
        <v>26</v>
      </c>
      <c r="B31" s="1181" t="s">
        <v>764</v>
      </c>
      <c r="C31" s="1182" t="s">
        <v>252</v>
      </c>
      <c r="D31" s="1168" t="s">
        <v>729</v>
      </c>
      <c r="E31" s="1168" t="s">
        <v>254</v>
      </c>
      <c r="F31" s="1168" t="s">
        <v>254</v>
      </c>
      <c r="G31" s="1168">
        <v>1</v>
      </c>
      <c r="H31" s="1170">
        <v>2630000</v>
      </c>
      <c r="I31" s="1170">
        <v>3000000</v>
      </c>
      <c r="J31" s="1171">
        <f t="shared" si="1"/>
        <v>2630000</v>
      </c>
      <c r="K31" s="1172">
        <v>0.3</v>
      </c>
      <c r="L31" s="1173">
        <f t="shared" si="3"/>
        <v>3900000</v>
      </c>
      <c r="M31" s="1174"/>
      <c r="N31" s="1199" t="s">
        <v>760</v>
      </c>
      <c r="O31" t="s">
        <v>1091</v>
      </c>
      <c r="P31">
        <v>3</v>
      </c>
    </row>
    <row r="32" spans="1:20" s="82" customFormat="1" x14ac:dyDescent="0.3">
      <c r="A32" s="857">
        <v>27</v>
      </c>
      <c r="B32" s="1181" t="s">
        <v>764</v>
      </c>
      <c r="C32" s="1182" t="s">
        <v>355</v>
      </c>
      <c r="D32" s="1168" t="s">
        <v>721</v>
      </c>
      <c r="E32" s="1168" t="s">
        <v>636</v>
      </c>
      <c r="F32" s="1168" t="s">
        <v>636</v>
      </c>
      <c r="G32" s="1168">
        <v>1</v>
      </c>
      <c r="H32" s="1170">
        <v>65000</v>
      </c>
      <c r="I32" s="1170">
        <v>70000</v>
      </c>
      <c r="J32" s="1171">
        <f t="shared" si="1"/>
        <v>65000</v>
      </c>
      <c r="K32" s="1172">
        <v>0.3</v>
      </c>
      <c r="L32" s="1173">
        <f t="shared" si="3"/>
        <v>91000</v>
      </c>
      <c r="M32" s="1174" t="s">
        <v>571</v>
      </c>
      <c r="N32" s="1199" t="s">
        <v>733</v>
      </c>
    </row>
    <row r="33" spans="1:19" s="82" customFormat="1" x14ac:dyDescent="0.3">
      <c r="A33" s="857">
        <v>28</v>
      </c>
      <c r="B33" s="1176" t="s">
        <v>764</v>
      </c>
      <c r="C33" s="1177" t="s">
        <v>354</v>
      </c>
      <c r="D33" s="1168" t="s">
        <v>724</v>
      </c>
      <c r="E33" s="1168" t="s">
        <v>636</v>
      </c>
      <c r="F33" s="1168" t="s">
        <v>636</v>
      </c>
      <c r="G33" s="1168">
        <v>1</v>
      </c>
      <c r="H33" s="1170">
        <v>65000</v>
      </c>
      <c r="I33" s="1170">
        <v>70000</v>
      </c>
      <c r="J33" s="1171">
        <f t="shared" si="1"/>
        <v>65000</v>
      </c>
      <c r="K33" s="1172">
        <v>0.3</v>
      </c>
      <c r="L33" s="1173">
        <f t="shared" si="3"/>
        <v>91000</v>
      </c>
      <c r="M33" s="1174" t="s">
        <v>564</v>
      </c>
      <c r="N33" s="1184" t="s">
        <v>733</v>
      </c>
    </row>
    <row r="34" spans="1:19" s="413" customFormat="1" x14ac:dyDescent="0.3">
      <c r="A34" s="857">
        <v>29</v>
      </c>
      <c r="B34" s="1176" t="s">
        <v>764</v>
      </c>
      <c r="C34" s="1177" t="s">
        <v>616</v>
      </c>
      <c r="D34" s="1168" t="s">
        <v>515</v>
      </c>
      <c r="E34" s="1168" t="s">
        <v>636</v>
      </c>
      <c r="F34" s="1168" t="s">
        <v>636</v>
      </c>
      <c r="G34" s="1168">
        <v>1</v>
      </c>
      <c r="H34" s="1170">
        <v>750000</v>
      </c>
      <c r="I34" s="1170">
        <v>450000</v>
      </c>
      <c r="J34" s="1171">
        <f t="shared" si="1"/>
        <v>750000</v>
      </c>
      <c r="K34" s="1172">
        <v>0.3</v>
      </c>
      <c r="L34" s="1173">
        <f t="shared" si="3"/>
        <v>585000</v>
      </c>
      <c r="M34" s="1180" t="s">
        <v>617</v>
      </c>
      <c r="N34" s="1199" t="s">
        <v>733</v>
      </c>
    </row>
    <row r="35" spans="1:19" s="413" customFormat="1" x14ac:dyDescent="0.3">
      <c r="A35" s="857">
        <v>30</v>
      </c>
      <c r="B35" s="1176" t="s">
        <v>764</v>
      </c>
      <c r="C35" s="1177" t="s">
        <v>634</v>
      </c>
      <c r="D35" s="1168" t="s">
        <v>514</v>
      </c>
      <c r="E35" s="1168" t="s">
        <v>636</v>
      </c>
      <c r="F35" s="1168" t="s">
        <v>636</v>
      </c>
      <c r="G35" s="1168">
        <v>1</v>
      </c>
      <c r="H35" s="1170">
        <v>0</v>
      </c>
      <c r="I35" s="1170">
        <v>1000000</v>
      </c>
      <c r="J35" s="1171">
        <f t="shared" si="1"/>
        <v>0</v>
      </c>
      <c r="K35" s="1172">
        <v>0.3</v>
      </c>
      <c r="L35" s="1173">
        <f t="shared" si="3"/>
        <v>1300000</v>
      </c>
      <c r="M35" s="1180" t="s">
        <v>618</v>
      </c>
      <c r="N35" s="1199" t="s">
        <v>733</v>
      </c>
    </row>
    <row r="36" spans="1:19" s="82" customFormat="1" x14ac:dyDescent="0.3">
      <c r="A36" s="857">
        <v>31</v>
      </c>
      <c r="B36" s="1176" t="s">
        <v>764</v>
      </c>
      <c r="C36" s="1177" t="s">
        <v>611</v>
      </c>
      <c r="D36" s="1168" t="s">
        <v>722</v>
      </c>
      <c r="E36" s="1168" t="s">
        <v>636</v>
      </c>
      <c r="F36" s="1168" t="s">
        <v>636</v>
      </c>
      <c r="G36" s="1168">
        <v>1</v>
      </c>
      <c r="H36" s="1170">
        <v>70000</v>
      </c>
      <c r="I36" s="1170">
        <v>70000</v>
      </c>
      <c r="J36" s="1171">
        <f t="shared" si="1"/>
        <v>70000</v>
      </c>
      <c r="K36" s="1172">
        <v>0.3</v>
      </c>
      <c r="L36" s="1173">
        <f t="shared" si="3"/>
        <v>91000</v>
      </c>
      <c r="M36" s="1174" t="s">
        <v>565</v>
      </c>
      <c r="N36" s="1184" t="s">
        <v>733</v>
      </c>
    </row>
    <row r="37" spans="1:19" s="82" customFormat="1" x14ac:dyDescent="0.3">
      <c r="A37" s="857">
        <v>32</v>
      </c>
      <c r="B37" s="1176" t="s">
        <v>764</v>
      </c>
      <c r="C37" s="1177" t="s">
        <v>612</v>
      </c>
      <c r="D37" s="1168" t="s">
        <v>723</v>
      </c>
      <c r="E37" s="1168" t="s">
        <v>636</v>
      </c>
      <c r="F37" s="1168" t="s">
        <v>636</v>
      </c>
      <c r="G37" s="1168">
        <v>1</v>
      </c>
      <c r="H37" s="1170">
        <v>70000</v>
      </c>
      <c r="I37" s="1170">
        <v>70000</v>
      </c>
      <c r="J37" s="1171">
        <f t="shared" si="1"/>
        <v>70000</v>
      </c>
      <c r="K37" s="1172">
        <v>0.3</v>
      </c>
      <c r="L37" s="1173">
        <f t="shared" si="3"/>
        <v>91000</v>
      </c>
      <c r="M37" s="1174" t="s">
        <v>566</v>
      </c>
      <c r="N37" s="1184" t="s">
        <v>733</v>
      </c>
    </row>
    <row r="38" spans="1:19" s="82" customFormat="1" x14ac:dyDescent="0.3">
      <c r="A38" s="857">
        <v>33</v>
      </c>
      <c r="B38" s="1176" t="s">
        <v>764</v>
      </c>
      <c r="C38" s="1177" t="s">
        <v>357</v>
      </c>
      <c r="D38" s="1168" t="s">
        <v>721</v>
      </c>
      <c r="E38" s="1168" t="s">
        <v>636</v>
      </c>
      <c r="F38" s="1168" t="s">
        <v>636</v>
      </c>
      <c r="G38" s="1168">
        <v>1</v>
      </c>
      <c r="H38" s="1170">
        <v>65000</v>
      </c>
      <c r="I38" s="1170">
        <v>70000</v>
      </c>
      <c r="J38" s="1171">
        <f t="shared" si="1"/>
        <v>65000</v>
      </c>
      <c r="K38" s="1172">
        <v>0.3</v>
      </c>
      <c r="L38" s="1173">
        <f t="shared" si="3"/>
        <v>91000</v>
      </c>
      <c r="M38" s="1174" t="s">
        <v>361</v>
      </c>
      <c r="N38" s="1199" t="s">
        <v>733</v>
      </c>
    </row>
    <row r="39" spans="1:19" s="413" customFormat="1" x14ac:dyDescent="0.3">
      <c r="A39" s="857">
        <v>34</v>
      </c>
      <c r="B39" s="1176" t="s">
        <v>764</v>
      </c>
      <c r="C39" s="1177" t="s">
        <v>587</v>
      </c>
      <c r="D39" s="1168" t="s">
        <v>728</v>
      </c>
      <c r="E39" s="1168" t="s">
        <v>636</v>
      </c>
      <c r="F39" s="1168" t="s">
        <v>636</v>
      </c>
      <c r="G39" s="1168">
        <v>1</v>
      </c>
      <c r="H39" s="1170">
        <v>10000</v>
      </c>
      <c r="I39" s="1170">
        <v>20000</v>
      </c>
      <c r="J39" s="1171">
        <f t="shared" si="1"/>
        <v>10000</v>
      </c>
      <c r="K39" s="1172">
        <v>0.3</v>
      </c>
      <c r="L39" s="1173">
        <f t="shared" si="3"/>
        <v>26000</v>
      </c>
      <c r="M39" s="1180" t="s">
        <v>589</v>
      </c>
      <c r="N39" s="1199" t="s">
        <v>733</v>
      </c>
    </row>
    <row r="40" spans="1:19" s="369" customFormat="1" x14ac:dyDescent="0.3">
      <c r="A40" s="857">
        <v>35</v>
      </c>
      <c r="B40" s="852" t="s">
        <v>528</v>
      </c>
      <c r="C40" s="939" t="s">
        <v>307</v>
      </c>
      <c r="D40" s="184" t="s">
        <v>433</v>
      </c>
      <c r="E40" s="185" t="s">
        <v>131</v>
      </c>
      <c r="F40" s="185" t="s">
        <v>131</v>
      </c>
      <c r="G40" s="184">
        <v>1</v>
      </c>
      <c r="H40" s="169">
        <f>(8210+3030+1140+2160+440)*0.6*1.071*1400</f>
        <v>13476607.199999999</v>
      </c>
      <c r="I40" s="55">
        <v>24756000</v>
      </c>
      <c r="J40" s="867">
        <f t="shared" si="1"/>
        <v>13476607.199999999</v>
      </c>
      <c r="K40" s="877">
        <v>0</v>
      </c>
      <c r="L40" s="900">
        <f t="shared" ref="L40:L48" si="4">G40*I40/(1-K40)</f>
        <v>24756000</v>
      </c>
      <c r="M40" s="901" t="s">
        <v>590</v>
      </c>
      <c r="N40" s="266"/>
      <c r="O40" t="s">
        <v>1074</v>
      </c>
      <c r="P40">
        <v>1.2</v>
      </c>
    </row>
    <row r="41" spans="1:19" s="369" customFormat="1" x14ac:dyDescent="0.3">
      <c r="A41" s="857">
        <v>36</v>
      </c>
      <c r="B41" s="174" t="s">
        <v>528</v>
      </c>
      <c r="C41" s="931" t="s">
        <v>372</v>
      </c>
      <c r="D41" s="184">
        <v>720268</v>
      </c>
      <c r="E41" s="482" t="s">
        <v>131</v>
      </c>
      <c r="F41" s="482" t="s">
        <v>131</v>
      </c>
      <c r="G41" s="56">
        <v>2</v>
      </c>
      <c r="H41" s="911">
        <f>(1190)*0.606*1.071*1400</f>
        <v>1081277.3159999999</v>
      </c>
      <c r="I41" s="912">
        <v>1806000</v>
      </c>
      <c r="J41" s="868">
        <f t="shared" ref="J41:J67" si="5">G41*H41</f>
        <v>2162554.6319999998</v>
      </c>
      <c r="K41" s="879">
        <v>0</v>
      </c>
      <c r="L41" s="891">
        <f t="shared" si="4"/>
        <v>3612000</v>
      </c>
      <c r="M41" s="892" t="s">
        <v>595</v>
      </c>
      <c r="N41" s="905"/>
    </row>
    <row r="42" spans="1:19" ht="16.149999999999999" customHeight="1" x14ac:dyDescent="0.3">
      <c r="A42" s="857">
        <v>37</v>
      </c>
      <c r="B42" s="174" t="s">
        <v>528</v>
      </c>
      <c r="C42" s="931" t="s">
        <v>281</v>
      </c>
      <c r="D42" s="184">
        <v>758933</v>
      </c>
      <c r="E42" s="482" t="s">
        <v>131</v>
      </c>
      <c r="F42" s="482" t="s">
        <v>131</v>
      </c>
      <c r="G42" s="56">
        <v>4</v>
      </c>
      <c r="H42" s="169">
        <f>(35)*0.643*1.071*1400</f>
        <v>33743.996999999996</v>
      </c>
      <c r="I42" s="392">
        <v>62000</v>
      </c>
      <c r="J42" s="868">
        <f t="shared" si="5"/>
        <v>134975.98799999998</v>
      </c>
      <c r="K42" s="879">
        <v>0</v>
      </c>
      <c r="L42" s="891">
        <f t="shared" si="4"/>
        <v>248000</v>
      </c>
      <c r="M42" s="892" t="s">
        <v>596</v>
      </c>
      <c r="N42" s="905"/>
    </row>
    <row r="43" spans="1:19" ht="16.149999999999999" customHeight="1" x14ac:dyDescent="0.3">
      <c r="A43" s="857">
        <v>38</v>
      </c>
      <c r="B43" s="174" t="s">
        <v>528</v>
      </c>
      <c r="C43" s="931" t="s">
        <v>283</v>
      </c>
      <c r="D43" s="184">
        <v>758921</v>
      </c>
      <c r="E43" s="482" t="s">
        <v>131</v>
      </c>
      <c r="F43" s="482" t="s">
        <v>131</v>
      </c>
      <c r="G43" s="56">
        <v>4</v>
      </c>
      <c r="H43" s="169">
        <f>(30)*0.643*1.071*1400</f>
        <v>28923.425999999996</v>
      </c>
      <c r="I43" s="392">
        <v>54000</v>
      </c>
      <c r="J43" s="868">
        <f t="shared" si="5"/>
        <v>115693.70399999998</v>
      </c>
      <c r="K43" s="879">
        <v>0</v>
      </c>
      <c r="L43" s="891">
        <f t="shared" si="4"/>
        <v>216000</v>
      </c>
      <c r="M43" s="892" t="s">
        <v>597</v>
      </c>
      <c r="N43" s="905"/>
    </row>
    <row r="44" spans="1:19" s="369" customFormat="1" x14ac:dyDescent="0.3">
      <c r="A44" s="857">
        <v>39</v>
      </c>
      <c r="B44" s="174" t="s">
        <v>528</v>
      </c>
      <c r="C44" s="931" t="s">
        <v>310</v>
      </c>
      <c r="D44" s="184">
        <v>701251</v>
      </c>
      <c r="E44" s="482" t="s">
        <v>131</v>
      </c>
      <c r="F44" s="482" t="s">
        <v>131</v>
      </c>
      <c r="G44" s="56">
        <v>1</v>
      </c>
      <c r="H44" s="169">
        <f>(1190)*0.606*1.071*1400</f>
        <v>1081277.3159999999</v>
      </c>
      <c r="I44" s="169">
        <v>1806000</v>
      </c>
      <c r="J44" s="868">
        <f t="shared" si="5"/>
        <v>1081277.3159999999</v>
      </c>
      <c r="K44" s="879">
        <v>0</v>
      </c>
      <c r="L44" s="891">
        <f t="shared" si="4"/>
        <v>1806000</v>
      </c>
      <c r="M44" s="892" t="s">
        <v>599</v>
      </c>
      <c r="N44" s="905"/>
    </row>
    <row r="45" spans="1:19" ht="16.149999999999999" customHeight="1" x14ac:dyDescent="0.3">
      <c r="A45" s="857">
        <v>40</v>
      </c>
      <c r="B45" s="852" t="s">
        <v>528</v>
      </c>
      <c r="C45" s="939" t="s">
        <v>489</v>
      </c>
      <c r="D45" s="56">
        <v>702916</v>
      </c>
      <c r="E45" s="482" t="s">
        <v>131</v>
      </c>
      <c r="F45" s="482" t="s">
        <v>131</v>
      </c>
      <c r="G45" s="56">
        <v>1</v>
      </c>
      <c r="H45" s="169">
        <f>(6450)*0.6*1.071*1400</f>
        <v>5802677.9999999991</v>
      </c>
      <c r="I45" s="392">
        <v>8712000</v>
      </c>
      <c r="J45" s="868">
        <f t="shared" si="5"/>
        <v>5802677.9999999991</v>
      </c>
      <c r="K45" s="879">
        <v>0</v>
      </c>
      <c r="L45" s="891">
        <f t="shared" si="4"/>
        <v>8712000</v>
      </c>
      <c r="M45" s="892" t="s">
        <v>444</v>
      </c>
      <c r="N45" s="905"/>
    </row>
    <row r="46" spans="1:19" s="369" customFormat="1" x14ac:dyDescent="0.3">
      <c r="A46" s="857">
        <v>42</v>
      </c>
      <c r="B46" s="174" t="s">
        <v>528</v>
      </c>
      <c r="C46" s="931" t="s">
        <v>368</v>
      </c>
      <c r="D46" s="56">
        <v>701265</v>
      </c>
      <c r="E46" s="482" t="s">
        <v>131</v>
      </c>
      <c r="F46" s="482" t="s">
        <v>131</v>
      </c>
      <c r="G46" s="56">
        <v>2</v>
      </c>
      <c r="H46" s="169">
        <f>(1140)*0.606*1.071*1400</f>
        <v>1035845.4959999999</v>
      </c>
      <c r="I46" s="55">
        <v>1723000</v>
      </c>
      <c r="J46" s="868">
        <f t="shared" si="5"/>
        <v>2071690.9919999999</v>
      </c>
      <c r="K46" s="879">
        <v>0</v>
      </c>
      <c r="L46" s="891">
        <f t="shared" si="4"/>
        <v>3446000</v>
      </c>
      <c r="M46" s="892" t="s">
        <v>292</v>
      </c>
      <c r="N46" s="905"/>
    </row>
    <row r="47" spans="1:19" s="369" customFormat="1" x14ac:dyDescent="0.3">
      <c r="A47" s="857">
        <v>43</v>
      </c>
      <c r="B47" s="852" t="s">
        <v>528</v>
      </c>
      <c r="C47" s="939" t="s">
        <v>399</v>
      </c>
      <c r="D47" s="56" t="s">
        <v>336</v>
      </c>
      <c r="E47" s="185" t="s">
        <v>337</v>
      </c>
      <c r="F47" s="185" t="s">
        <v>337</v>
      </c>
      <c r="G47" s="184">
        <v>1</v>
      </c>
      <c r="H47" s="55">
        <f>690000*8.7116</f>
        <v>6011004.0000000009</v>
      </c>
      <c r="I47" s="55">
        <v>11825000</v>
      </c>
      <c r="J47" s="867">
        <f t="shared" si="5"/>
        <v>6011004.0000000009</v>
      </c>
      <c r="K47" s="877">
        <v>0</v>
      </c>
      <c r="L47" s="900">
        <f t="shared" si="4"/>
        <v>11825000</v>
      </c>
      <c r="M47" s="901" t="s">
        <v>586</v>
      </c>
      <c r="N47" s="895"/>
      <c r="O47" t="s">
        <v>1091</v>
      </c>
      <c r="P47">
        <v>5.5</v>
      </c>
      <c r="Q47" s="370"/>
      <c r="R47" s="370"/>
      <c r="S47" s="370"/>
    </row>
    <row r="48" spans="1:19" s="84" customFormat="1" x14ac:dyDescent="0.3">
      <c r="A48" s="857">
        <v>44</v>
      </c>
      <c r="B48" s="156" t="s">
        <v>528</v>
      </c>
      <c r="C48" s="932" t="s">
        <v>759</v>
      </c>
      <c r="D48" s="56" t="s">
        <v>425</v>
      </c>
      <c r="E48" s="155" t="s">
        <v>142</v>
      </c>
      <c r="F48" s="56" t="s">
        <v>64</v>
      </c>
      <c r="G48" s="155">
        <v>1</v>
      </c>
      <c r="H48" s="55">
        <f>I48*0.75</f>
        <v>1731750</v>
      </c>
      <c r="I48" s="55">
        <v>2309000</v>
      </c>
      <c r="J48" s="867">
        <f t="shared" si="5"/>
        <v>1731750</v>
      </c>
      <c r="K48" s="877">
        <v>0</v>
      </c>
      <c r="L48" s="900">
        <f t="shared" si="4"/>
        <v>2309000</v>
      </c>
      <c r="M48" s="901" t="s">
        <v>403</v>
      </c>
      <c r="N48" s="899" t="s">
        <v>653</v>
      </c>
      <c r="O48" t="s">
        <v>1074</v>
      </c>
      <c r="P48">
        <v>4.0999999999999996</v>
      </c>
    </row>
    <row r="49" spans="1:16" s="528" customFormat="1" x14ac:dyDescent="0.3">
      <c r="A49" s="857">
        <v>45</v>
      </c>
      <c r="B49" s="174" t="s">
        <v>528</v>
      </c>
      <c r="C49" s="931" t="s">
        <v>459</v>
      </c>
      <c r="D49" s="56" t="s">
        <v>195</v>
      </c>
      <c r="E49" s="56" t="s">
        <v>142</v>
      </c>
      <c r="F49" s="56" t="s">
        <v>64</v>
      </c>
      <c r="G49" s="56">
        <v>1</v>
      </c>
      <c r="H49" s="55">
        <f>I49*0.75</f>
        <v>14394750</v>
      </c>
      <c r="I49" s="55">
        <f>19193000</f>
        <v>19193000</v>
      </c>
      <c r="J49" s="868">
        <f t="shared" si="5"/>
        <v>14394750</v>
      </c>
      <c r="K49" s="879">
        <v>0</v>
      </c>
      <c r="L49" s="891">
        <f>I49*G49</f>
        <v>19193000</v>
      </c>
      <c r="M49" s="902" t="s">
        <v>401</v>
      </c>
      <c r="N49" s="917" t="s">
        <v>653</v>
      </c>
      <c r="O49" s="70" t="s">
        <v>1080</v>
      </c>
      <c r="P49">
        <f>15000/0.95/0.86/1.73/220</f>
        <v>48.239235736140387</v>
      </c>
    </row>
    <row r="50" spans="1:16" s="528" customFormat="1" ht="17.25" thickBot="1" x14ac:dyDescent="0.35">
      <c r="A50" s="857">
        <v>46</v>
      </c>
      <c r="B50" s="191" t="s">
        <v>528</v>
      </c>
      <c r="C50" s="940" t="s">
        <v>460</v>
      </c>
      <c r="D50" s="192" t="s">
        <v>461</v>
      </c>
      <c r="E50" s="192" t="s">
        <v>142</v>
      </c>
      <c r="F50" s="192" t="s">
        <v>64</v>
      </c>
      <c r="G50" s="192">
        <v>1</v>
      </c>
      <c r="H50" s="170">
        <f>I50*0.75</f>
        <v>14008500</v>
      </c>
      <c r="I50" s="170">
        <v>18678000</v>
      </c>
      <c r="J50" s="870">
        <f t="shared" si="5"/>
        <v>14008500</v>
      </c>
      <c r="K50" s="881">
        <v>0</v>
      </c>
      <c r="L50" s="904">
        <f>I50*G50</f>
        <v>18678000</v>
      </c>
      <c r="M50" s="903"/>
      <c r="N50" s="885" t="s">
        <v>653</v>
      </c>
      <c r="O50" s="70" t="s">
        <v>1080</v>
      </c>
      <c r="P50">
        <f>15000/0.95/0.86/1.73/220</f>
        <v>48.239235736140387</v>
      </c>
    </row>
    <row r="51" spans="1:16" s="84" customFormat="1" x14ac:dyDescent="0.3">
      <c r="A51" s="857">
        <v>47</v>
      </c>
      <c r="B51" s="146" t="s">
        <v>762</v>
      </c>
      <c r="C51" s="941" t="s">
        <v>540</v>
      </c>
      <c r="D51" s="80" t="s">
        <v>278</v>
      </c>
      <c r="E51" s="144" t="s">
        <v>80</v>
      </c>
      <c r="F51" s="144" t="s">
        <v>240</v>
      </c>
      <c r="G51" s="144">
        <v>1</v>
      </c>
      <c r="H51" s="147">
        <f>I51*0.95</f>
        <v>2422500</v>
      </c>
      <c r="I51" s="147">
        <v>2550000</v>
      </c>
      <c r="J51" s="866">
        <f t="shared" si="5"/>
        <v>2422500</v>
      </c>
      <c r="K51" s="876">
        <v>0</v>
      </c>
      <c r="L51" s="908">
        <f>G51*I51/(1-K51)</f>
        <v>2550000</v>
      </c>
      <c r="M51" s="909"/>
      <c r="N51" s="268" t="s">
        <v>645</v>
      </c>
      <c r="O51" t="s">
        <v>1081</v>
      </c>
      <c r="P51">
        <v>1</v>
      </c>
    </row>
    <row r="52" spans="1:16" s="84" customFormat="1" x14ac:dyDescent="0.3">
      <c r="A52" s="857">
        <v>48</v>
      </c>
      <c r="B52" s="156" t="s">
        <v>762</v>
      </c>
      <c r="C52" s="937" t="s">
        <v>539</v>
      </c>
      <c r="D52" s="155" t="s">
        <v>422</v>
      </c>
      <c r="E52" s="155" t="s">
        <v>80</v>
      </c>
      <c r="F52" s="155" t="s">
        <v>430</v>
      </c>
      <c r="G52" s="155">
        <v>1</v>
      </c>
      <c r="H52" s="157">
        <f>I52*0.95</f>
        <v>2242000</v>
      </c>
      <c r="I52" s="157">
        <v>2360000</v>
      </c>
      <c r="J52" s="867">
        <f t="shared" si="5"/>
        <v>2242000</v>
      </c>
      <c r="K52" s="877">
        <v>0</v>
      </c>
      <c r="L52" s="900">
        <f>G52*I52/(1-K52)</f>
        <v>2360000</v>
      </c>
      <c r="M52" s="901" t="s">
        <v>559</v>
      </c>
      <c r="N52" s="266" t="s">
        <v>646</v>
      </c>
    </row>
    <row r="53" spans="1:16" s="84" customFormat="1" x14ac:dyDescent="0.3">
      <c r="A53" s="857">
        <v>49</v>
      </c>
      <c r="B53" s="156" t="s">
        <v>762</v>
      </c>
      <c r="C53" s="932" t="s">
        <v>536</v>
      </c>
      <c r="D53" s="56" t="s">
        <v>316</v>
      </c>
      <c r="E53" s="155" t="s">
        <v>80</v>
      </c>
      <c r="F53" s="155" t="s">
        <v>430</v>
      </c>
      <c r="G53" s="155">
        <v>1</v>
      </c>
      <c r="H53" s="913">
        <f>I53*0.95</f>
        <v>836000</v>
      </c>
      <c r="I53" s="913">
        <v>880000</v>
      </c>
      <c r="J53" s="867">
        <f t="shared" si="5"/>
        <v>836000</v>
      </c>
      <c r="K53" s="877">
        <v>0</v>
      </c>
      <c r="L53" s="900">
        <f>G53*I53/(1-K53)</f>
        <v>880000</v>
      </c>
      <c r="M53" s="901" t="s">
        <v>580</v>
      </c>
      <c r="N53" s="895" t="s">
        <v>646</v>
      </c>
    </row>
    <row r="54" spans="1:16" s="82" customFormat="1" ht="17.25" thickBot="1" x14ac:dyDescent="0.35">
      <c r="A54" s="857">
        <v>50</v>
      </c>
      <c r="B54" s="860" t="s">
        <v>762</v>
      </c>
      <c r="C54" s="933" t="s">
        <v>534</v>
      </c>
      <c r="D54" s="59" t="s">
        <v>554</v>
      </c>
      <c r="E54" s="845" t="s">
        <v>80</v>
      </c>
      <c r="F54" s="845" t="s">
        <v>430</v>
      </c>
      <c r="G54" s="861">
        <v>1</v>
      </c>
      <c r="H54" s="914">
        <f>I54*0.95</f>
        <v>1396500</v>
      </c>
      <c r="I54" s="914">
        <v>1470000</v>
      </c>
      <c r="J54" s="869">
        <f t="shared" si="5"/>
        <v>1396500</v>
      </c>
      <c r="K54" s="880">
        <v>0</v>
      </c>
      <c r="L54" s="906">
        <f>G54*I54/(1-K54)</f>
        <v>1470000</v>
      </c>
      <c r="M54" s="907" t="s">
        <v>525</v>
      </c>
      <c r="N54" s="896" t="s">
        <v>646</v>
      </c>
    </row>
    <row r="55" spans="1:16" x14ac:dyDescent="0.3">
      <c r="A55" s="857">
        <v>51</v>
      </c>
      <c r="B55" s="417" t="s">
        <v>528</v>
      </c>
      <c r="C55" s="934" t="s">
        <v>859</v>
      </c>
      <c r="D55" s="929" t="s">
        <v>418</v>
      </c>
      <c r="E55" s="416" t="s">
        <v>60</v>
      </c>
      <c r="F55" s="416" t="s">
        <v>116</v>
      </c>
      <c r="G55" s="416">
        <v>1</v>
      </c>
      <c r="H55" s="911">
        <v>4000000</v>
      </c>
      <c r="I55" s="911">
        <v>4000000</v>
      </c>
      <c r="J55" s="871">
        <f t="shared" si="5"/>
        <v>4000000</v>
      </c>
      <c r="K55" s="878">
        <v>0.3</v>
      </c>
      <c r="L55" s="893">
        <f t="shared" ref="L55:L69" si="6">G55*I55*(1+K55)</f>
        <v>5200000</v>
      </c>
      <c r="M55" s="894"/>
      <c r="N55" s="298"/>
    </row>
    <row r="56" spans="1:16" s="82" customFormat="1" x14ac:dyDescent="0.3">
      <c r="A56" s="857">
        <v>52</v>
      </c>
      <c r="B56" s="174" t="s">
        <v>528</v>
      </c>
      <c r="C56" s="931" t="s">
        <v>245</v>
      </c>
      <c r="D56" s="56" t="s">
        <v>246</v>
      </c>
      <c r="E56" s="56" t="s">
        <v>183</v>
      </c>
      <c r="F56" s="56" t="s">
        <v>725</v>
      </c>
      <c r="G56" s="56">
        <v>1</v>
      </c>
      <c r="H56" s="912">
        <v>200000</v>
      </c>
      <c r="I56" s="912">
        <v>200000</v>
      </c>
      <c r="J56" s="868">
        <f t="shared" si="5"/>
        <v>200000</v>
      </c>
      <c r="K56" s="879">
        <v>0.3</v>
      </c>
      <c r="L56" s="891">
        <f t="shared" si="6"/>
        <v>260000</v>
      </c>
      <c r="M56" s="892"/>
      <c r="N56" s="266"/>
    </row>
    <row r="57" spans="1:16" s="82" customFormat="1" x14ac:dyDescent="0.3">
      <c r="A57" s="857">
        <v>53</v>
      </c>
      <c r="B57" s="174" t="s">
        <v>528</v>
      </c>
      <c r="C57" s="931" t="s">
        <v>343</v>
      </c>
      <c r="D57" s="56" t="s">
        <v>334</v>
      </c>
      <c r="E57" s="56" t="s">
        <v>328</v>
      </c>
      <c r="F57" s="56" t="s">
        <v>725</v>
      </c>
      <c r="G57" s="56">
        <v>1</v>
      </c>
      <c r="H57" s="911">
        <v>450000</v>
      </c>
      <c r="I57" s="911">
        <v>500000</v>
      </c>
      <c r="J57" s="868">
        <f t="shared" si="5"/>
        <v>450000</v>
      </c>
      <c r="K57" s="879">
        <v>0</v>
      </c>
      <c r="L57" s="891">
        <f t="shared" si="6"/>
        <v>500000</v>
      </c>
      <c r="M57" s="892" t="s">
        <v>522</v>
      </c>
      <c r="N57" s="895"/>
    </row>
    <row r="58" spans="1:16" s="84" customFormat="1" x14ac:dyDescent="0.3">
      <c r="A58" s="857">
        <v>54</v>
      </c>
      <c r="B58" s="417" t="s">
        <v>528</v>
      </c>
      <c r="C58" s="934" t="s">
        <v>861</v>
      </c>
      <c r="D58" s="929" t="s">
        <v>268</v>
      </c>
      <c r="E58" s="416" t="s">
        <v>60</v>
      </c>
      <c r="F58" s="56" t="s">
        <v>725</v>
      </c>
      <c r="G58" s="56">
        <v>1</v>
      </c>
      <c r="H58" s="55">
        <v>1000000</v>
      </c>
      <c r="I58" s="55">
        <v>1000000</v>
      </c>
      <c r="J58" s="868">
        <f t="shared" si="5"/>
        <v>1000000</v>
      </c>
      <c r="K58" s="879">
        <v>0.3</v>
      </c>
      <c r="L58" s="891">
        <f t="shared" si="6"/>
        <v>1300000</v>
      </c>
      <c r="M58" s="892"/>
      <c r="N58" s="915"/>
    </row>
    <row r="59" spans="1:16" s="413" customFormat="1" x14ac:dyDescent="0.3">
      <c r="A59" s="857">
        <v>55</v>
      </c>
      <c r="B59" s="417" t="s">
        <v>528</v>
      </c>
      <c r="C59" s="934" t="s">
        <v>519</v>
      </c>
      <c r="D59" s="56" t="s">
        <v>520</v>
      </c>
      <c r="E59" s="416" t="s">
        <v>521</v>
      </c>
      <c r="F59" s="56" t="s">
        <v>725</v>
      </c>
      <c r="G59" s="56">
        <v>3</v>
      </c>
      <c r="H59" s="55">
        <v>20000</v>
      </c>
      <c r="I59" s="55">
        <v>20000</v>
      </c>
      <c r="J59" s="868">
        <f t="shared" si="5"/>
        <v>60000</v>
      </c>
      <c r="K59" s="879">
        <v>0.3</v>
      </c>
      <c r="L59" s="891">
        <f t="shared" si="6"/>
        <v>78000</v>
      </c>
      <c r="M59" s="892"/>
      <c r="N59" s="915"/>
    </row>
    <row r="60" spans="1:16" s="413" customFormat="1" x14ac:dyDescent="0.3">
      <c r="A60" s="857">
        <v>56</v>
      </c>
      <c r="B60" s="417" t="s">
        <v>528</v>
      </c>
      <c r="C60" s="820" t="s">
        <v>909</v>
      </c>
      <c r="D60" s="988" t="s">
        <v>907</v>
      </c>
      <c r="E60" s="416" t="s">
        <v>518</v>
      </c>
      <c r="F60" s="56" t="s">
        <v>725</v>
      </c>
      <c r="G60" s="56">
        <v>4</v>
      </c>
      <c r="H60" s="55">
        <v>50000</v>
      </c>
      <c r="I60" s="55">
        <v>50000</v>
      </c>
      <c r="J60" s="868">
        <f t="shared" si="5"/>
        <v>200000</v>
      </c>
      <c r="K60" s="879">
        <v>0.3</v>
      </c>
      <c r="L60" s="891">
        <f t="shared" si="6"/>
        <v>260000</v>
      </c>
      <c r="M60" s="892"/>
      <c r="N60" s="915"/>
      <c r="O60">
        <v>100</v>
      </c>
      <c r="P60">
        <f>O60/24</f>
        <v>4.166666666666667</v>
      </c>
    </row>
    <row r="61" spans="1:16" s="84" customFormat="1" x14ac:dyDescent="0.3">
      <c r="A61" s="857">
        <v>57</v>
      </c>
      <c r="B61" s="417" t="s">
        <v>528</v>
      </c>
      <c r="C61" s="934" t="s">
        <v>272</v>
      </c>
      <c r="D61" s="56" t="s">
        <v>757</v>
      </c>
      <c r="E61" s="56" t="s">
        <v>626</v>
      </c>
      <c r="F61" s="56" t="s">
        <v>725</v>
      </c>
      <c r="G61" s="56">
        <v>1</v>
      </c>
      <c r="H61" s="55">
        <v>250000</v>
      </c>
      <c r="I61" s="55">
        <v>250000</v>
      </c>
      <c r="J61" s="868">
        <f t="shared" si="5"/>
        <v>250000</v>
      </c>
      <c r="K61" s="879">
        <v>0.3</v>
      </c>
      <c r="L61" s="891">
        <f t="shared" si="6"/>
        <v>325000</v>
      </c>
      <c r="M61" s="892" t="s">
        <v>572</v>
      </c>
      <c r="N61" s="266"/>
    </row>
    <row r="62" spans="1:16" s="82" customFormat="1" x14ac:dyDescent="0.3">
      <c r="A62" s="857">
        <v>58</v>
      </c>
      <c r="B62" s="417" t="s">
        <v>528</v>
      </c>
      <c r="C62" s="934" t="s">
        <v>863</v>
      </c>
      <c r="D62" s="929" t="s">
        <v>419</v>
      </c>
      <c r="E62" s="416" t="s">
        <v>60</v>
      </c>
      <c r="F62" s="56" t="s">
        <v>725</v>
      </c>
      <c r="G62" s="56">
        <v>1</v>
      </c>
      <c r="H62" s="55">
        <v>3500000</v>
      </c>
      <c r="I62" s="55">
        <v>3500000</v>
      </c>
      <c r="J62" s="868">
        <f t="shared" si="5"/>
        <v>3500000</v>
      </c>
      <c r="K62" s="879">
        <v>0.3</v>
      </c>
      <c r="L62" s="891">
        <f t="shared" si="6"/>
        <v>4550000</v>
      </c>
      <c r="M62" s="892"/>
      <c r="N62" s="915"/>
    </row>
    <row r="63" spans="1:16" s="84" customFormat="1" x14ac:dyDescent="0.3">
      <c r="A63" s="857">
        <v>59</v>
      </c>
      <c r="B63" s="174" t="s">
        <v>528</v>
      </c>
      <c r="C63" s="931" t="s">
        <v>247</v>
      </c>
      <c r="D63" s="56" t="s">
        <v>732</v>
      </c>
      <c r="E63" s="56" t="s">
        <v>756</v>
      </c>
      <c r="F63" s="56" t="s">
        <v>249</v>
      </c>
      <c r="G63" s="56">
        <v>1</v>
      </c>
      <c r="H63" s="55">
        <v>530000</v>
      </c>
      <c r="I63" s="55">
        <v>530000</v>
      </c>
      <c r="J63" s="868">
        <f t="shared" si="5"/>
        <v>530000</v>
      </c>
      <c r="K63" s="879">
        <v>0.3</v>
      </c>
      <c r="L63" s="891">
        <f t="shared" si="6"/>
        <v>689000</v>
      </c>
      <c r="M63" s="892"/>
      <c r="N63" s="915" t="s">
        <v>734</v>
      </c>
    </row>
    <row r="64" spans="1:16" s="84" customFormat="1" x14ac:dyDescent="0.3">
      <c r="A64" s="857">
        <v>60</v>
      </c>
      <c r="B64" s="174" t="s">
        <v>528</v>
      </c>
      <c r="C64" s="931" t="s">
        <v>727</v>
      </c>
      <c r="D64" s="56" t="s">
        <v>758</v>
      </c>
      <c r="E64" s="56" t="s">
        <v>726</v>
      </c>
      <c r="F64" s="56" t="s">
        <v>251</v>
      </c>
      <c r="G64" s="56">
        <v>1</v>
      </c>
      <c r="H64" s="55">
        <v>140000</v>
      </c>
      <c r="I64" s="55">
        <v>200000</v>
      </c>
      <c r="J64" s="868">
        <f t="shared" si="5"/>
        <v>140000</v>
      </c>
      <c r="K64" s="879">
        <v>0.3</v>
      </c>
      <c r="L64" s="891">
        <f t="shared" si="6"/>
        <v>260000</v>
      </c>
      <c r="M64" s="892"/>
      <c r="N64" s="266" t="s">
        <v>735</v>
      </c>
      <c r="O64" t="s">
        <v>1074</v>
      </c>
      <c r="P64" s="82">
        <v>0.1</v>
      </c>
    </row>
    <row r="65" spans="1:19" s="82" customFormat="1" x14ac:dyDescent="0.3">
      <c r="A65" s="857">
        <v>61</v>
      </c>
      <c r="B65" s="174" t="s">
        <v>528</v>
      </c>
      <c r="C65" s="931" t="s">
        <v>252</v>
      </c>
      <c r="D65" s="56" t="s">
        <v>729</v>
      </c>
      <c r="E65" s="56" t="s">
        <v>254</v>
      </c>
      <c r="F65" s="56" t="s">
        <v>254</v>
      </c>
      <c r="G65" s="56">
        <v>1</v>
      </c>
      <c r="H65" s="55">
        <v>2630000</v>
      </c>
      <c r="I65" s="55">
        <v>3000000</v>
      </c>
      <c r="J65" s="868">
        <f t="shared" si="5"/>
        <v>2630000</v>
      </c>
      <c r="K65" s="879">
        <v>0.3</v>
      </c>
      <c r="L65" s="891">
        <f t="shared" si="6"/>
        <v>3900000</v>
      </c>
      <c r="M65" s="892"/>
      <c r="N65" s="919" t="s">
        <v>760</v>
      </c>
      <c r="O65" t="s">
        <v>1091</v>
      </c>
      <c r="P65">
        <v>3</v>
      </c>
    </row>
    <row r="66" spans="1:19" s="82" customFormat="1" x14ac:dyDescent="0.3">
      <c r="A66" s="857">
        <v>62</v>
      </c>
      <c r="B66" s="174" t="s">
        <v>528</v>
      </c>
      <c r="C66" s="931" t="s">
        <v>355</v>
      </c>
      <c r="D66" s="56" t="s">
        <v>721</v>
      </c>
      <c r="E66" s="56" t="s">
        <v>636</v>
      </c>
      <c r="F66" s="56" t="s">
        <v>636</v>
      </c>
      <c r="G66" s="56">
        <v>1</v>
      </c>
      <c r="H66" s="55">
        <v>65000</v>
      </c>
      <c r="I66" s="55">
        <v>70000</v>
      </c>
      <c r="J66" s="868">
        <f t="shared" si="5"/>
        <v>65000</v>
      </c>
      <c r="K66" s="879">
        <v>0.3</v>
      </c>
      <c r="L66" s="891">
        <f t="shared" si="6"/>
        <v>91000</v>
      </c>
      <c r="M66" s="892" t="s">
        <v>571</v>
      </c>
      <c r="N66" s="266" t="s">
        <v>733</v>
      </c>
    </row>
    <row r="67" spans="1:19" s="82" customFormat="1" x14ac:dyDescent="0.3">
      <c r="A67" s="857">
        <v>63</v>
      </c>
      <c r="B67" s="417" t="s">
        <v>528</v>
      </c>
      <c r="C67" s="934" t="s">
        <v>354</v>
      </c>
      <c r="D67" s="56" t="s">
        <v>724</v>
      </c>
      <c r="E67" s="56" t="s">
        <v>636</v>
      </c>
      <c r="F67" s="56" t="s">
        <v>636</v>
      </c>
      <c r="G67" s="56">
        <v>1</v>
      </c>
      <c r="H67" s="55">
        <v>65000</v>
      </c>
      <c r="I67" s="55">
        <v>70000</v>
      </c>
      <c r="J67" s="868">
        <f t="shared" si="5"/>
        <v>65000</v>
      </c>
      <c r="K67" s="910">
        <v>0.3</v>
      </c>
      <c r="L67" s="891">
        <f t="shared" si="6"/>
        <v>91000</v>
      </c>
      <c r="M67" s="892" t="s">
        <v>561</v>
      </c>
      <c r="N67" s="266" t="s">
        <v>733</v>
      </c>
    </row>
    <row r="68" spans="1:19" s="82" customFormat="1" x14ac:dyDescent="0.3">
      <c r="A68" s="857">
        <v>64</v>
      </c>
      <c r="B68" s="417" t="s">
        <v>528</v>
      </c>
      <c r="C68" s="934" t="s">
        <v>357</v>
      </c>
      <c r="D68" s="56" t="s">
        <v>721</v>
      </c>
      <c r="E68" s="56" t="s">
        <v>636</v>
      </c>
      <c r="F68" s="56" t="s">
        <v>636</v>
      </c>
      <c r="G68" s="56">
        <v>1</v>
      </c>
      <c r="H68" s="55">
        <v>65000</v>
      </c>
      <c r="I68" s="55">
        <v>70000</v>
      </c>
      <c r="J68" s="868">
        <v>70000</v>
      </c>
      <c r="K68" s="910">
        <v>0.3</v>
      </c>
      <c r="L68" s="891">
        <f t="shared" si="6"/>
        <v>91000</v>
      </c>
      <c r="M68" s="892" t="s">
        <v>361</v>
      </c>
      <c r="N68" s="266" t="s">
        <v>733</v>
      </c>
    </row>
    <row r="69" spans="1:19" s="413" customFormat="1" x14ac:dyDescent="0.3">
      <c r="A69" s="857">
        <v>65</v>
      </c>
      <c r="B69" s="417" t="s">
        <v>528</v>
      </c>
      <c r="C69" s="934" t="s">
        <v>587</v>
      </c>
      <c r="D69" s="56" t="s">
        <v>728</v>
      </c>
      <c r="E69" s="56" t="s">
        <v>636</v>
      </c>
      <c r="F69" s="56" t="s">
        <v>636</v>
      </c>
      <c r="G69" s="56">
        <v>1</v>
      </c>
      <c r="H69" s="55">
        <v>10000</v>
      </c>
      <c r="I69" s="55">
        <v>20000</v>
      </c>
      <c r="J69" s="868">
        <f t="shared" ref="J69:J97" si="7">G69*H69</f>
        <v>10000</v>
      </c>
      <c r="K69" s="910">
        <v>0.3</v>
      </c>
      <c r="L69" s="891">
        <f t="shared" si="6"/>
        <v>26000</v>
      </c>
      <c r="M69" s="892" t="s">
        <v>589</v>
      </c>
      <c r="N69" s="266" t="s">
        <v>733</v>
      </c>
    </row>
    <row r="70" spans="1:19" s="369" customFormat="1" x14ac:dyDescent="0.3">
      <c r="A70" s="857">
        <v>66</v>
      </c>
      <c r="B70" s="358" t="s">
        <v>527</v>
      </c>
      <c r="C70" s="1167" t="s">
        <v>307</v>
      </c>
      <c r="D70" s="1168" t="s">
        <v>433</v>
      </c>
      <c r="E70" s="1169" t="s">
        <v>131</v>
      </c>
      <c r="F70" s="1169" t="s">
        <v>131</v>
      </c>
      <c r="G70" s="1168">
        <v>1</v>
      </c>
      <c r="H70" s="354">
        <f>(8210+3030+1140+2160+440)*0.6*1.071*1400</f>
        <v>13476607.199999999</v>
      </c>
      <c r="I70" s="1170">
        <v>24756000</v>
      </c>
      <c r="J70" s="1171">
        <f t="shared" si="7"/>
        <v>13476607.199999999</v>
      </c>
      <c r="K70" s="1205">
        <v>0</v>
      </c>
      <c r="L70" s="1173">
        <f t="shared" ref="L70:L78" si="8">G70*I70/(1-K70)</f>
        <v>24756000</v>
      </c>
      <c r="M70" s="1174" t="s">
        <v>590</v>
      </c>
      <c r="N70" s="1179"/>
      <c r="O70" t="s">
        <v>1074</v>
      </c>
      <c r="P70">
        <v>1.2</v>
      </c>
    </row>
    <row r="71" spans="1:19" s="369" customFormat="1" x14ac:dyDescent="0.3">
      <c r="A71" s="857">
        <v>67</v>
      </c>
      <c r="B71" s="1181" t="s">
        <v>527</v>
      </c>
      <c r="C71" s="1182" t="s">
        <v>372</v>
      </c>
      <c r="D71" s="1168">
        <v>720268</v>
      </c>
      <c r="E71" s="1169" t="s">
        <v>131</v>
      </c>
      <c r="F71" s="1169" t="s">
        <v>131</v>
      </c>
      <c r="G71" s="1168">
        <v>2</v>
      </c>
      <c r="H71" s="354">
        <f>(1190)*0.606*1.071*1400</f>
        <v>1081277.3159999999</v>
      </c>
      <c r="I71" s="1170">
        <v>1806000</v>
      </c>
      <c r="J71" s="1171">
        <f t="shared" si="7"/>
        <v>2162554.6319999998</v>
      </c>
      <c r="K71" s="1172">
        <v>0</v>
      </c>
      <c r="L71" s="1173">
        <f t="shared" si="8"/>
        <v>3612000</v>
      </c>
      <c r="M71" s="1174" t="s">
        <v>595</v>
      </c>
      <c r="N71" s="1179"/>
    </row>
    <row r="72" spans="1:19" ht="16.149999999999999" customHeight="1" x14ac:dyDescent="0.3">
      <c r="A72" s="857">
        <v>68</v>
      </c>
      <c r="B72" s="1181" t="s">
        <v>527</v>
      </c>
      <c r="C72" s="1182" t="s">
        <v>281</v>
      </c>
      <c r="D72" s="1168">
        <v>758933</v>
      </c>
      <c r="E72" s="1169" t="s">
        <v>131</v>
      </c>
      <c r="F72" s="1169" t="s">
        <v>131</v>
      </c>
      <c r="G72" s="1168">
        <v>4</v>
      </c>
      <c r="H72" s="354">
        <f>(35)*0.643*1.071*1400</f>
        <v>33743.996999999996</v>
      </c>
      <c r="I72" s="1206">
        <v>62000</v>
      </c>
      <c r="J72" s="1171">
        <f t="shared" si="7"/>
        <v>134975.98799999998</v>
      </c>
      <c r="K72" s="1172">
        <v>0</v>
      </c>
      <c r="L72" s="1173">
        <f t="shared" si="8"/>
        <v>248000</v>
      </c>
      <c r="M72" s="1174" t="s">
        <v>596</v>
      </c>
      <c r="N72" s="1179"/>
    </row>
    <row r="73" spans="1:19" ht="16.149999999999999" customHeight="1" x14ac:dyDescent="0.3">
      <c r="A73" s="857">
        <v>69</v>
      </c>
      <c r="B73" s="1181" t="s">
        <v>527</v>
      </c>
      <c r="C73" s="1182" t="s">
        <v>283</v>
      </c>
      <c r="D73" s="1168">
        <v>758921</v>
      </c>
      <c r="E73" s="1169" t="s">
        <v>131</v>
      </c>
      <c r="F73" s="1169" t="s">
        <v>131</v>
      </c>
      <c r="G73" s="1168">
        <v>4</v>
      </c>
      <c r="H73" s="354">
        <f>(30)*0.643*1.071*1400</f>
        <v>28923.425999999996</v>
      </c>
      <c r="I73" s="1206">
        <v>54000</v>
      </c>
      <c r="J73" s="1171">
        <f t="shared" si="7"/>
        <v>115693.70399999998</v>
      </c>
      <c r="K73" s="1172">
        <v>0</v>
      </c>
      <c r="L73" s="1173">
        <f t="shared" si="8"/>
        <v>216000</v>
      </c>
      <c r="M73" s="1174" t="s">
        <v>597</v>
      </c>
      <c r="N73" s="1179"/>
    </row>
    <row r="74" spans="1:19" s="369" customFormat="1" x14ac:dyDescent="0.3">
      <c r="A74" s="857">
        <v>70</v>
      </c>
      <c r="B74" s="1181" t="s">
        <v>527</v>
      </c>
      <c r="C74" s="1182" t="s">
        <v>310</v>
      </c>
      <c r="D74" s="1168">
        <v>701251</v>
      </c>
      <c r="E74" s="1169" t="s">
        <v>131</v>
      </c>
      <c r="F74" s="1169" t="s">
        <v>131</v>
      </c>
      <c r="G74" s="1168">
        <v>1</v>
      </c>
      <c r="H74" s="354">
        <f>(1190)*0.606*1.071*1400</f>
        <v>1081277.3159999999</v>
      </c>
      <c r="I74" s="354">
        <v>1806000</v>
      </c>
      <c r="J74" s="1171">
        <f t="shared" si="7"/>
        <v>1081277.3159999999</v>
      </c>
      <c r="K74" s="1172">
        <v>0</v>
      </c>
      <c r="L74" s="1173">
        <f t="shared" si="8"/>
        <v>1806000</v>
      </c>
      <c r="M74" s="1174" t="s">
        <v>599</v>
      </c>
      <c r="N74" s="1179"/>
    </row>
    <row r="75" spans="1:19" ht="16.149999999999999" customHeight="1" x14ac:dyDescent="0.3">
      <c r="A75" s="857">
        <v>71</v>
      </c>
      <c r="B75" s="358" t="s">
        <v>527</v>
      </c>
      <c r="C75" s="1167" t="s">
        <v>489</v>
      </c>
      <c r="D75" s="1168">
        <v>702916</v>
      </c>
      <c r="E75" s="1169" t="s">
        <v>131</v>
      </c>
      <c r="F75" s="1169" t="s">
        <v>131</v>
      </c>
      <c r="G75" s="1168">
        <v>1</v>
      </c>
      <c r="H75" s="354">
        <f>(6450)*0.6*1.071*1400</f>
        <v>5802677.9999999991</v>
      </c>
      <c r="I75" s="1206">
        <v>8712000</v>
      </c>
      <c r="J75" s="1171">
        <f t="shared" si="7"/>
        <v>5802677.9999999991</v>
      </c>
      <c r="K75" s="1172">
        <v>0</v>
      </c>
      <c r="L75" s="1173">
        <f t="shared" si="8"/>
        <v>8712000</v>
      </c>
      <c r="M75" s="1174" t="s">
        <v>444</v>
      </c>
      <c r="N75" s="1179"/>
    </row>
    <row r="76" spans="1:19" s="369" customFormat="1" x14ac:dyDescent="0.3">
      <c r="A76" s="857">
        <v>72</v>
      </c>
      <c r="B76" s="1181" t="s">
        <v>527</v>
      </c>
      <c r="C76" s="1182" t="s">
        <v>368</v>
      </c>
      <c r="D76" s="1168">
        <v>701265</v>
      </c>
      <c r="E76" s="1169" t="s">
        <v>131</v>
      </c>
      <c r="F76" s="1169" t="s">
        <v>131</v>
      </c>
      <c r="G76" s="1168">
        <v>2</v>
      </c>
      <c r="H76" s="354">
        <f>(1140)*0.606*1.071*1400</f>
        <v>1035845.4959999999</v>
      </c>
      <c r="I76" s="1170">
        <v>1723000</v>
      </c>
      <c r="J76" s="1171">
        <f t="shared" si="7"/>
        <v>2071690.9919999999</v>
      </c>
      <c r="K76" s="1172">
        <v>0</v>
      </c>
      <c r="L76" s="1173">
        <f t="shared" si="8"/>
        <v>3446000</v>
      </c>
      <c r="M76" s="1174" t="s">
        <v>292</v>
      </c>
      <c r="N76" s="1179"/>
    </row>
    <row r="77" spans="1:19" s="369" customFormat="1" x14ac:dyDescent="0.3">
      <c r="A77" s="857">
        <v>73</v>
      </c>
      <c r="B77" s="358" t="s">
        <v>527</v>
      </c>
      <c r="C77" s="1167" t="s">
        <v>399</v>
      </c>
      <c r="D77" s="1168" t="s">
        <v>336</v>
      </c>
      <c r="E77" s="1169" t="s">
        <v>337</v>
      </c>
      <c r="F77" s="1169" t="s">
        <v>337</v>
      </c>
      <c r="G77" s="1168">
        <v>1</v>
      </c>
      <c r="H77" s="1170">
        <f>690000*8.7116</f>
        <v>6011004.0000000009</v>
      </c>
      <c r="I77" s="1170">
        <v>11825000</v>
      </c>
      <c r="J77" s="1171">
        <f t="shared" si="7"/>
        <v>6011004.0000000009</v>
      </c>
      <c r="K77" s="1172">
        <v>0</v>
      </c>
      <c r="L77" s="1173">
        <f t="shared" si="8"/>
        <v>11825000</v>
      </c>
      <c r="M77" s="1174" t="s">
        <v>586</v>
      </c>
      <c r="N77" s="1175"/>
      <c r="O77" t="s">
        <v>1091</v>
      </c>
      <c r="P77">
        <v>5.5</v>
      </c>
      <c r="Q77" s="370"/>
      <c r="R77" s="370"/>
      <c r="S77" s="370"/>
    </row>
    <row r="78" spans="1:19" s="84" customFormat="1" x14ac:dyDescent="0.3">
      <c r="A78" s="857">
        <v>74</v>
      </c>
      <c r="B78" s="1181" t="s">
        <v>527</v>
      </c>
      <c r="C78" s="1182" t="s">
        <v>759</v>
      </c>
      <c r="D78" s="1183" t="s">
        <v>425</v>
      </c>
      <c r="E78" s="1168" t="s">
        <v>142</v>
      </c>
      <c r="F78" s="1168" t="s">
        <v>64</v>
      </c>
      <c r="G78" s="1168">
        <v>1</v>
      </c>
      <c r="H78" s="1170">
        <f>I78*0.75</f>
        <v>1731750</v>
      </c>
      <c r="I78" s="1170">
        <v>2309000</v>
      </c>
      <c r="J78" s="1171">
        <f t="shared" si="7"/>
        <v>1731750</v>
      </c>
      <c r="K78" s="1172">
        <v>0</v>
      </c>
      <c r="L78" s="1173">
        <f t="shared" si="8"/>
        <v>2309000</v>
      </c>
      <c r="M78" s="1174" t="s">
        <v>403</v>
      </c>
      <c r="N78" s="1179"/>
      <c r="O78" t="s">
        <v>1074</v>
      </c>
      <c r="P78">
        <v>4.0999999999999996</v>
      </c>
    </row>
    <row r="79" spans="1:19" s="528" customFormat="1" x14ac:dyDescent="0.3">
      <c r="A79" s="857">
        <v>75</v>
      </c>
      <c r="B79" s="1181" t="s">
        <v>527</v>
      </c>
      <c r="C79" s="1182" t="s">
        <v>459</v>
      </c>
      <c r="D79" s="1183" t="s">
        <v>195</v>
      </c>
      <c r="E79" s="1168" t="s">
        <v>142</v>
      </c>
      <c r="F79" s="1168" t="s">
        <v>64</v>
      </c>
      <c r="G79" s="1168">
        <v>1</v>
      </c>
      <c r="H79" s="1170">
        <f>I79*0.75</f>
        <v>14394750</v>
      </c>
      <c r="I79" s="1170">
        <f>19193000</f>
        <v>19193000</v>
      </c>
      <c r="J79" s="1171">
        <f t="shared" si="7"/>
        <v>14394750</v>
      </c>
      <c r="K79" s="1172">
        <v>0</v>
      </c>
      <c r="L79" s="1173">
        <f>I79*G79</f>
        <v>19193000</v>
      </c>
      <c r="M79" s="1185" t="s">
        <v>401</v>
      </c>
      <c r="N79" s="1184"/>
      <c r="O79" s="70" t="s">
        <v>1080</v>
      </c>
      <c r="P79">
        <f>15000/0.95/0.86/1.73/220</f>
        <v>48.239235736140387</v>
      </c>
    </row>
    <row r="80" spans="1:19" s="528" customFormat="1" ht="17.25" thickBot="1" x14ac:dyDescent="0.35">
      <c r="A80" s="857">
        <v>76</v>
      </c>
      <c r="B80" s="1207" t="s">
        <v>527</v>
      </c>
      <c r="C80" s="1208" t="s">
        <v>460</v>
      </c>
      <c r="D80" s="1209" t="s">
        <v>461</v>
      </c>
      <c r="E80" s="1210" t="s">
        <v>142</v>
      </c>
      <c r="F80" s="1210" t="s">
        <v>64</v>
      </c>
      <c r="G80" s="1210">
        <v>1</v>
      </c>
      <c r="H80" s="1211">
        <f>I80*0.75</f>
        <v>14008500</v>
      </c>
      <c r="I80" s="1211">
        <v>18678000</v>
      </c>
      <c r="J80" s="1212">
        <f t="shared" si="7"/>
        <v>14008500</v>
      </c>
      <c r="K80" s="1213">
        <v>0</v>
      </c>
      <c r="L80" s="1214">
        <f>I80*G80</f>
        <v>18678000</v>
      </c>
      <c r="M80" s="1215"/>
      <c r="N80" s="1200"/>
      <c r="O80" s="70" t="s">
        <v>1080</v>
      </c>
      <c r="P80">
        <f>15000/0.95/0.86/1.73/220</f>
        <v>48.239235736140387</v>
      </c>
    </row>
    <row r="81" spans="1:16" s="84" customFormat="1" x14ac:dyDescent="0.3">
      <c r="A81" s="857">
        <v>77</v>
      </c>
      <c r="B81" s="1216" t="s">
        <v>527</v>
      </c>
      <c r="C81" s="1217" t="s">
        <v>540</v>
      </c>
      <c r="D81" s="1159" t="s">
        <v>278</v>
      </c>
      <c r="E81" s="1159" t="s">
        <v>80</v>
      </c>
      <c r="F81" s="1159" t="s">
        <v>240</v>
      </c>
      <c r="G81" s="1159">
        <v>1</v>
      </c>
      <c r="H81" s="1161">
        <f>I81*0.95</f>
        <v>2422500</v>
      </c>
      <c r="I81" s="1161">
        <v>2550000</v>
      </c>
      <c r="J81" s="1162">
        <f t="shared" si="7"/>
        <v>2422500</v>
      </c>
      <c r="K81" s="1163">
        <v>0</v>
      </c>
      <c r="L81" s="1164">
        <f>G81*I81/(1-K81)</f>
        <v>2550000</v>
      </c>
      <c r="M81" s="1165"/>
      <c r="N81" s="1166" t="s">
        <v>645</v>
      </c>
      <c r="O81" t="s">
        <v>1081</v>
      </c>
      <c r="P81" t="s">
        <v>1082</v>
      </c>
    </row>
    <row r="82" spans="1:16" s="84" customFormat="1" x14ac:dyDescent="0.3">
      <c r="A82" s="857">
        <v>78</v>
      </c>
      <c r="B82" s="1181" t="s">
        <v>527</v>
      </c>
      <c r="C82" s="1182" t="s">
        <v>539</v>
      </c>
      <c r="D82" s="1168" t="s">
        <v>422</v>
      </c>
      <c r="E82" s="1168" t="s">
        <v>80</v>
      </c>
      <c r="F82" s="1168" t="s">
        <v>430</v>
      </c>
      <c r="G82" s="1168">
        <v>1</v>
      </c>
      <c r="H82" s="1170">
        <f>I82*0.95</f>
        <v>2242000</v>
      </c>
      <c r="I82" s="1170">
        <v>2360000</v>
      </c>
      <c r="J82" s="1171">
        <f t="shared" si="7"/>
        <v>2242000</v>
      </c>
      <c r="K82" s="1172">
        <v>0</v>
      </c>
      <c r="L82" s="1173">
        <f>G82*I82/(1-K82)</f>
        <v>2360000</v>
      </c>
      <c r="M82" s="1174" t="s">
        <v>559</v>
      </c>
      <c r="N82" s="1199" t="s">
        <v>646</v>
      </c>
    </row>
    <row r="83" spans="1:16" s="84" customFormat="1" x14ac:dyDescent="0.3">
      <c r="A83" s="857">
        <v>79</v>
      </c>
      <c r="B83" s="1181" t="s">
        <v>527</v>
      </c>
      <c r="C83" s="1182" t="s">
        <v>536</v>
      </c>
      <c r="D83" s="1168" t="s">
        <v>316</v>
      </c>
      <c r="E83" s="1168" t="s">
        <v>80</v>
      </c>
      <c r="F83" s="1168" t="s">
        <v>430</v>
      </c>
      <c r="G83" s="1168">
        <v>1</v>
      </c>
      <c r="H83" s="1170">
        <f>I83*0.95</f>
        <v>836000</v>
      </c>
      <c r="I83" s="1170">
        <v>880000</v>
      </c>
      <c r="J83" s="1171">
        <f t="shared" si="7"/>
        <v>836000</v>
      </c>
      <c r="K83" s="1172">
        <v>0</v>
      </c>
      <c r="L83" s="1173">
        <f>G83*I83/(1-K83)</f>
        <v>880000</v>
      </c>
      <c r="M83" s="1174" t="s">
        <v>580</v>
      </c>
      <c r="N83" s="1175" t="s">
        <v>646</v>
      </c>
    </row>
    <row r="84" spans="1:16" s="82" customFormat="1" ht="17.25" thickBot="1" x14ac:dyDescent="0.35">
      <c r="A84" s="857">
        <v>80</v>
      </c>
      <c r="B84" s="1187" t="s">
        <v>527</v>
      </c>
      <c r="C84" s="1188" t="s">
        <v>534</v>
      </c>
      <c r="D84" s="1189" t="s">
        <v>554</v>
      </c>
      <c r="E84" s="1189" t="s">
        <v>80</v>
      </c>
      <c r="F84" s="1189" t="s">
        <v>430</v>
      </c>
      <c r="G84" s="1189">
        <v>1</v>
      </c>
      <c r="H84" s="1191">
        <f>I84*0.95</f>
        <v>1396500</v>
      </c>
      <c r="I84" s="1191">
        <v>1470000</v>
      </c>
      <c r="J84" s="1192">
        <f t="shared" si="7"/>
        <v>1396500</v>
      </c>
      <c r="K84" s="1193">
        <v>0</v>
      </c>
      <c r="L84" s="1194">
        <f>G84*I84/(1-K84)</f>
        <v>1470000</v>
      </c>
      <c r="M84" s="1195" t="s">
        <v>525</v>
      </c>
      <c r="N84" s="1196" t="s">
        <v>646</v>
      </c>
    </row>
    <row r="85" spans="1:16" x14ac:dyDescent="0.3">
      <c r="A85" s="857">
        <v>81</v>
      </c>
      <c r="B85" s="1176" t="s">
        <v>527</v>
      </c>
      <c r="C85" s="1177" t="s">
        <v>865</v>
      </c>
      <c r="D85" s="352" t="s">
        <v>418</v>
      </c>
      <c r="E85" s="351" t="s">
        <v>60</v>
      </c>
      <c r="F85" s="351" t="s">
        <v>116</v>
      </c>
      <c r="G85" s="351">
        <v>1</v>
      </c>
      <c r="H85" s="354">
        <v>4000000</v>
      </c>
      <c r="I85" s="354">
        <v>4000000</v>
      </c>
      <c r="J85" s="1197">
        <f t="shared" si="7"/>
        <v>4000000</v>
      </c>
      <c r="K85" s="1178">
        <v>0.3</v>
      </c>
      <c r="L85" s="1198">
        <f t="shared" ref="L85:L99" si="9">G85*I85*(1+K85)</f>
        <v>5200000</v>
      </c>
      <c r="M85" s="1186"/>
      <c r="N85" s="1179"/>
    </row>
    <row r="86" spans="1:16" s="84" customFormat="1" x14ac:dyDescent="0.3">
      <c r="A86" s="857">
        <v>82</v>
      </c>
      <c r="B86" s="1181" t="s">
        <v>527</v>
      </c>
      <c r="C86" s="1182" t="s">
        <v>245</v>
      </c>
      <c r="D86" s="1168" t="s">
        <v>246</v>
      </c>
      <c r="E86" s="1168" t="s">
        <v>183</v>
      </c>
      <c r="F86" s="1168" t="s">
        <v>725</v>
      </c>
      <c r="G86" s="1168">
        <v>1</v>
      </c>
      <c r="H86" s="1170">
        <v>200000</v>
      </c>
      <c r="I86" s="1170">
        <v>200000</v>
      </c>
      <c r="J86" s="1171">
        <f t="shared" si="7"/>
        <v>200000</v>
      </c>
      <c r="K86" s="1172">
        <v>0.3</v>
      </c>
      <c r="L86" s="1173">
        <f t="shared" si="9"/>
        <v>260000</v>
      </c>
      <c r="M86" s="1174"/>
      <c r="N86" s="1199"/>
    </row>
    <row r="87" spans="1:16" s="84" customFormat="1" x14ac:dyDescent="0.3">
      <c r="A87" s="857">
        <v>83</v>
      </c>
      <c r="B87" s="1181" t="s">
        <v>527</v>
      </c>
      <c r="C87" s="1182" t="s">
        <v>343</v>
      </c>
      <c r="D87" s="1168" t="s">
        <v>334</v>
      </c>
      <c r="E87" s="1168" t="s">
        <v>328</v>
      </c>
      <c r="F87" s="1168" t="s">
        <v>725</v>
      </c>
      <c r="G87" s="1168">
        <v>1</v>
      </c>
      <c r="H87" s="354">
        <v>450000</v>
      </c>
      <c r="I87" s="354">
        <v>500000</v>
      </c>
      <c r="J87" s="1171">
        <f t="shared" si="7"/>
        <v>450000</v>
      </c>
      <c r="K87" s="1172">
        <v>0</v>
      </c>
      <c r="L87" s="1173">
        <f t="shared" si="9"/>
        <v>500000</v>
      </c>
      <c r="M87" s="1174" t="s">
        <v>522</v>
      </c>
      <c r="N87" s="1199"/>
    </row>
    <row r="88" spans="1:16" s="82" customFormat="1" x14ac:dyDescent="0.3">
      <c r="A88" s="857">
        <v>84</v>
      </c>
      <c r="B88" s="1176" t="s">
        <v>527</v>
      </c>
      <c r="C88" s="1201" t="s">
        <v>869</v>
      </c>
      <c r="D88" s="1202" t="s">
        <v>268</v>
      </c>
      <c r="E88" s="351" t="s">
        <v>60</v>
      </c>
      <c r="F88" s="1168" t="s">
        <v>725</v>
      </c>
      <c r="G88" s="1168">
        <v>1</v>
      </c>
      <c r="H88" s="1170">
        <v>1000000</v>
      </c>
      <c r="I88" s="1170">
        <v>1000000</v>
      </c>
      <c r="J88" s="1171">
        <f t="shared" si="7"/>
        <v>1000000</v>
      </c>
      <c r="K88" s="1172">
        <v>0.3</v>
      </c>
      <c r="L88" s="1173">
        <f t="shared" si="9"/>
        <v>1300000</v>
      </c>
      <c r="M88" s="1174"/>
      <c r="N88" s="1184"/>
    </row>
    <row r="89" spans="1:16" s="82" customFormat="1" x14ac:dyDescent="0.3">
      <c r="A89" s="857">
        <v>85</v>
      </c>
      <c r="B89" s="1176" t="s">
        <v>527</v>
      </c>
      <c r="C89" s="1177" t="s">
        <v>519</v>
      </c>
      <c r="D89" s="351" t="s">
        <v>520</v>
      </c>
      <c r="E89" s="351" t="s">
        <v>521</v>
      </c>
      <c r="F89" s="1168" t="s">
        <v>725</v>
      </c>
      <c r="G89" s="1168">
        <v>3</v>
      </c>
      <c r="H89" s="1170">
        <v>20000</v>
      </c>
      <c r="I89" s="1170">
        <v>20000</v>
      </c>
      <c r="J89" s="1171">
        <f t="shared" si="7"/>
        <v>60000</v>
      </c>
      <c r="K89" s="1172">
        <v>0.3</v>
      </c>
      <c r="L89" s="1173">
        <f t="shared" si="9"/>
        <v>78000</v>
      </c>
      <c r="M89" s="1174"/>
      <c r="N89" s="1218"/>
    </row>
    <row r="90" spans="1:16" s="82" customFormat="1" x14ac:dyDescent="0.3">
      <c r="A90" s="857">
        <v>86</v>
      </c>
      <c r="B90" s="1176" t="s">
        <v>527</v>
      </c>
      <c r="C90" s="1204" t="s">
        <v>909</v>
      </c>
      <c r="D90" s="1219" t="s">
        <v>907</v>
      </c>
      <c r="E90" s="351" t="s">
        <v>518</v>
      </c>
      <c r="F90" s="1168" t="s">
        <v>725</v>
      </c>
      <c r="G90" s="1168">
        <v>4</v>
      </c>
      <c r="H90" s="1170">
        <v>50000</v>
      </c>
      <c r="I90" s="1170">
        <v>50000</v>
      </c>
      <c r="J90" s="1171">
        <f t="shared" si="7"/>
        <v>200000</v>
      </c>
      <c r="K90" s="1172">
        <v>0.3</v>
      </c>
      <c r="L90" s="1173">
        <f t="shared" si="9"/>
        <v>260000</v>
      </c>
      <c r="M90" s="1174"/>
      <c r="N90" s="1184"/>
    </row>
    <row r="91" spans="1:16" s="84" customFormat="1" x14ac:dyDescent="0.3">
      <c r="A91" s="857">
        <v>87</v>
      </c>
      <c r="B91" s="1176" t="s">
        <v>527</v>
      </c>
      <c r="C91" s="1177" t="s">
        <v>272</v>
      </c>
      <c r="D91" s="1168" t="s">
        <v>625</v>
      </c>
      <c r="E91" s="1168" t="s">
        <v>626</v>
      </c>
      <c r="F91" s="1168" t="s">
        <v>725</v>
      </c>
      <c r="G91" s="1168">
        <v>1</v>
      </c>
      <c r="H91" s="1170">
        <v>250000</v>
      </c>
      <c r="I91" s="1170">
        <v>250000</v>
      </c>
      <c r="J91" s="1171">
        <f t="shared" si="7"/>
        <v>250000</v>
      </c>
      <c r="K91" s="1172">
        <v>0.3</v>
      </c>
      <c r="L91" s="1173">
        <f t="shared" si="9"/>
        <v>325000</v>
      </c>
      <c r="M91" s="1174" t="s">
        <v>572</v>
      </c>
      <c r="N91" s="1199"/>
    </row>
    <row r="92" spans="1:16" s="413" customFormat="1" x14ac:dyDescent="0.3">
      <c r="A92" s="857">
        <v>88</v>
      </c>
      <c r="B92" s="1176" t="s">
        <v>527</v>
      </c>
      <c r="C92" s="1177" t="s">
        <v>867</v>
      </c>
      <c r="D92" s="352" t="s">
        <v>419</v>
      </c>
      <c r="E92" s="351" t="s">
        <v>60</v>
      </c>
      <c r="F92" s="1168" t="s">
        <v>725</v>
      </c>
      <c r="G92" s="1168">
        <v>1</v>
      </c>
      <c r="H92" s="1170">
        <v>3500000</v>
      </c>
      <c r="I92" s="1170">
        <v>3500000</v>
      </c>
      <c r="J92" s="1171">
        <f t="shared" si="7"/>
        <v>3500000</v>
      </c>
      <c r="K92" s="1172">
        <v>0.3</v>
      </c>
      <c r="L92" s="1173">
        <f t="shared" si="9"/>
        <v>4550000</v>
      </c>
      <c r="M92" s="1174"/>
      <c r="N92" s="1184"/>
    </row>
    <row r="93" spans="1:16" s="413" customFormat="1" x14ac:dyDescent="0.3">
      <c r="A93" s="857">
        <v>89</v>
      </c>
      <c r="B93" s="1181" t="s">
        <v>527</v>
      </c>
      <c r="C93" s="1182" t="s">
        <v>247</v>
      </c>
      <c r="D93" s="1168" t="s">
        <v>732</v>
      </c>
      <c r="E93" s="1168" t="s">
        <v>756</v>
      </c>
      <c r="F93" s="1168" t="s">
        <v>249</v>
      </c>
      <c r="G93" s="1168">
        <v>1</v>
      </c>
      <c r="H93" s="1170">
        <v>530000</v>
      </c>
      <c r="I93" s="1170">
        <v>530000</v>
      </c>
      <c r="J93" s="1171">
        <f t="shared" si="7"/>
        <v>530000</v>
      </c>
      <c r="K93" s="1172">
        <v>0.3</v>
      </c>
      <c r="L93" s="1173">
        <f t="shared" si="9"/>
        <v>689000</v>
      </c>
      <c r="M93" s="1174"/>
      <c r="N93" s="1184" t="s">
        <v>734</v>
      </c>
    </row>
    <row r="94" spans="1:16" s="84" customFormat="1" x14ac:dyDescent="0.3">
      <c r="A94" s="857">
        <v>90</v>
      </c>
      <c r="B94" s="1181" t="s">
        <v>527</v>
      </c>
      <c r="C94" s="1182" t="s">
        <v>727</v>
      </c>
      <c r="D94" s="1168" t="s">
        <v>754</v>
      </c>
      <c r="E94" s="1168" t="s">
        <v>726</v>
      </c>
      <c r="F94" s="1168" t="s">
        <v>251</v>
      </c>
      <c r="G94" s="1168">
        <v>1</v>
      </c>
      <c r="H94" s="1170">
        <v>140000</v>
      </c>
      <c r="I94" s="1170">
        <v>200000</v>
      </c>
      <c r="J94" s="1171">
        <f t="shared" si="7"/>
        <v>140000</v>
      </c>
      <c r="K94" s="1172">
        <v>0.3</v>
      </c>
      <c r="L94" s="1173">
        <f t="shared" si="9"/>
        <v>260000</v>
      </c>
      <c r="M94" s="1174"/>
      <c r="N94" s="1199" t="s">
        <v>735</v>
      </c>
      <c r="O94" t="s">
        <v>1074</v>
      </c>
      <c r="P94" s="82">
        <v>0.1</v>
      </c>
    </row>
    <row r="95" spans="1:16" s="82" customFormat="1" x14ac:dyDescent="0.3">
      <c r="A95" s="857">
        <v>91</v>
      </c>
      <c r="B95" s="1181" t="s">
        <v>527</v>
      </c>
      <c r="C95" s="1182" t="s">
        <v>252</v>
      </c>
      <c r="D95" s="1168" t="s">
        <v>729</v>
      </c>
      <c r="E95" s="1168" t="s">
        <v>254</v>
      </c>
      <c r="F95" s="1168" t="s">
        <v>254</v>
      </c>
      <c r="G95" s="1168">
        <v>1</v>
      </c>
      <c r="H95" s="1170">
        <v>2630000</v>
      </c>
      <c r="I95" s="1170">
        <v>3000000</v>
      </c>
      <c r="J95" s="1171">
        <f t="shared" si="7"/>
        <v>2630000</v>
      </c>
      <c r="K95" s="1172">
        <v>0.3</v>
      </c>
      <c r="L95" s="1173">
        <f t="shared" si="9"/>
        <v>3900000</v>
      </c>
      <c r="M95" s="1174"/>
      <c r="N95" s="1200" t="s">
        <v>760</v>
      </c>
      <c r="O95" t="s">
        <v>1091</v>
      </c>
      <c r="P95">
        <v>3</v>
      </c>
    </row>
    <row r="96" spans="1:16" s="82" customFormat="1" x14ac:dyDescent="0.3">
      <c r="A96" s="857">
        <v>92</v>
      </c>
      <c r="B96" s="1181" t="s">
        <v>527</v>
      </c>
      <c r="C96" s="1182" t="s">
        <v>355</v>
      </c>
      <c r="D96" s="1168" t="s">
        <v>721</v>
      </c>
      <c r="E96" s="1168" t="s">
        <v>636</v>
      </c>
      <c r="F96" s="1168" t="s">
        <v>636</v>
      </c>
      <c r="G96" s="1168">
        <v>1</v>
      </c>
      <c r="H96" s="1170">
        <v>65000</v>
      </c>
      <c r="I96" s="1170">
        <v>70000</v>
      </c>
      <c r="J96" s="1171">
        <f t="shared" si="7"/>
        <v>65000</v>
      </c>
      <c r="K96" s="1172">
        <v>0.3</v>
      </c>
      <c r="L96" s="1173">
        <f t="shared" si="9"/>
        <v>91000</v>
      </c>
      <c r="M96" s="1174" t="s">
        <v>571</v>
      </c>
      <c r="N96" s="1199" t="s">
        <v>733</v>
      </c>
    </row>
    <row r="97" spans="1:19" s="82" customFormat="1" x14ac:dyDescent="0.3">
      <c r="A97" s="857">
        <v>93</v>
      </c>
      <c r="B97" s="1176" t="s">
        <v>527</v>
      </c>
      <c r="C97" s="1177" t="s">
        <v>354</v>
      </c>
      <c r="D97" s="1168" t="s">
        <v>724</v>
      </c>
      <c r="E97" s="1168" t="s">
        <v>636</v>
      </c>
      <c r="F97" s="1168" t="s">
        <v>636</v>
      </c>
      <c r="G97" s="1168">
        <v>1</v>
      </c>
      <c r="H97" s="1170">
        <v>65000</v>
      </c>
      <c r="I97" s="1170">
        <v>70000</v>
      </c>
      <c r="J97" s="1171">
        <f t="shared" si="7"/>
        <v>65000</v>
      </c>
      <c r="K97" s="1172">
        <v>0.3</v>
      </c>
      <c r="L97" s="1173">
        <f t="shared" si="9"/>
        <v>91000</v>
      </c>
      <c r="M97" s="1174" t="s">
        <v>561</v>
      </c>
      <c r="N97" s="1199" t="s">
        <v>733</v>
      </c>
    </row>
    <row r="98" spans="1:19" s="413" customFormat="1" x14ac:dyDescent="0.3">
      <c r="A98" s="857">
        <v>94</v>
      </c>
      <c r="B98" s="1176" t="s">
        <v>527</v>
      </c>
      <c r="C98" s="1177" t="s">
        <v>357</v>
      </c>
      <c r="D98" s="1168" t="s">
        <v>721</v>
      </c>
      <c r="E98" s="1168" t="s">
        <v>636</v>
      </c>
      <c r="F98" s="1168" t="s">
        <v>636</v>
      </c>
      <c r="G98" s="1168">
        <v>1</v>
      </c>
      <c r="H98" s="1170">
        <v>65000</v>
      </c>
      <c r="I98" s="1170">
        <v>70000</v>
      </c>
      <c r="J98" s="1171">
        <v>70000</v>
      </c>
      <c r="K98" s="1172">
        <v>0.3</v>
      </c>
      <c r="L98" s="1173">
        <f t="shared" si="9"/>
        <v>91000</v>
      </c>
      <c r="M98" s="1174" t="s">
        <v>361</v>
      </c>
      <c r="N98" s="1199" t="s">
        <v>733</v>
      </c>
    </row>
    <row r="99" spans="1:19" s="82" customFormat="1" x14ac:dyDescent="0.3">
      <c r="A99" s="857">
        <v>95</v>
      </c>
      <c r="B99" s="1176" t="s">
        <v>527</v>
      </c>
      <c r="C99" s="1177" t="s">
        <v>587</v>
      </c>
      <c r="D99" s="1168" t="s">
        <v>728</v>
      </c>
      <c r="E99" s="1168" t="s">
        <v>636</v>
      </c>
      <c r="F99" s="1168" t="s">
        <v>636</v>
      </c>
      <c r="G99" s="1168">
        <v>1</v>
      </c>
      <c r="H99" s="1170">
        <v>10000</v>
      </c>
      <c r="I99" s="1170">
        <v>20000</v>
      </c>
      <c r="J99" s="1171">
        <f t="shared" ref="J99:J129" si="10">G99*H99</f>
        <v>10000</v>
      </c>
      <c r="K99" s="1172">
        <v>0.3</v>
      </c>
      <c r="L99" s="1173">
        <f t="shared" si="9"/>
        <v>26000</v>
      </c>
      <c r="M99" s="1174" t="s">
        <v>589</v>
      </c>
      <c r="N99" s="1199" t="s">
        <v>733</v>
      </c>
    </row>
    <row r="100" spans="1:19" s="394" customFormat="1" x14ac:dyDescent="0.3">
      <c r="A100" s="857">
        <v>96</v>
      </c>
      <c r="B100" s="852" t="s">
        <v>529</v>
      </c>
      <c r="C100" s="935" t="s">
        <v>307</v>
      </c>
      <c r="D100" s="184" t="s">
        <v>433</v>
      </c>
      <c r="E100" s="185" t="s">
        <v>131</v>
      </c>
      <c r="F100" s="185" t="s">
        <v>131</v>
      </c>
      <c r="G100" s="184">
        <v>1</v>
      </c>
      <c r="H100" s="169">
        <f>(8210+3030+1140+2160+440)*0.6*1.071*1400</f>
        <v>13476607.199999999</v>
      </c>
      <c r="I100" s="55">
        <v>24756000</v>
      </c>
      <c r="J100" s="867">
        <f t="shared" si="10"/>
        <v>13476607.199999999</v>
      </c>
      <c r="K100" s="879">
        <v>0</v>
      </c>
      <c r="L100" s="891">
        <f t="shared" ref="L100:L108" si="11">G100*I100/(1-K100)</f>
        <v>24756000</v>
      </c>
      <c r="M100" s="901" t="s">
        <v>437</v>
      </c>
      <c r="N100" s="899"/>
      <c r="O100" t="s">
        <v>1074</v>
      </c>
      <c r="P100">
        <v>1.2</v>
      </c>
    </row>
    <row r="101" spans="1:19" s="369" customFormat="1" x14ac:dyDescent="0.3">
      <c r="A101" s="857">
        <v>97</v>
      </c>
      <c r="B101" s="174" t="s">
        <v>529</v>
      </c>
      <c r="C101" s="938" t="s">
        <v>372</v>
      </c>
      <c r="D101" s="56">
        <v>720268</v>
      </c>
      <c r="E101" s="482" t="s">
        <v>131</v>
      </c>
      <c r="F101" s="482" t="s">
        <v>131</v>
      </c>
      <c r="G101" s="56">
        <v>2</v>
      </c>
      <c r="H101" s="169">
        <f>(1190)*0.606*1.071*1400</f>
        <v>1081277.3159999999</v>
      </c>
      <c r="I101" s="55">
        <v>1806000</v>
      </c>
      <c r="J101" s="868">
        <f t="shared" si="10"/>
        <v>2162554.6319999998</v>
      </c>
      <c r="K101" s="879">
        <v>0</v>
      </c>
      <c r="L101" s="891">
        <f t="shared" si="11"/>
        <v>3612000</v>
      </c>
      <c r="M101" s="892" t="s">
        <v>595</v>
      </c>
      <c r="N101" s="905"/>
    </row>
    <row r="102" spans="1:19" s="70" customFormat="1" ht="16.149999999999999" customHeight="1" x14ac:dyDescent="0.3">
      <c r="A102" s="857">
        <v>98</v>
      </c>
      <c r="B102" s="174" t="s">
        <v>529</v>
      </c>
      <c r="C102" s="938" t="s">
        <v>281</v>
      </c>
      <c r="D102" s="56">
        <v>758933</v>
      </c>
      <c r="E102" s="482" t="s">
        <v>131</v>
      </c>
      <c r="F102" s="482" t="s">
        <v>131</v>
      </c>
      <c r="G102" s="56">
        <v>4</v>
      </c>
      <c r="H102" s="169">
        <f>(35)*0.643*1.071*1400</f>
        <v>33743.996999999996</v>
      </c>
      <c r="I102" s="392">
        <v>62000</v>
      </c>
      <c r="J102" s="868">
        <f t="shared" si="10"/>
        <v>134975.98799999998</v>
      </c>
      <c r="K102" s="879">
        <v>0</v>
      </c>
      <c r="L102" s="891">
        <f t="shared" si="11"/>
        <v>248000</v>
      </c>
      <c r="M102" s="892" t="s">
        <v>596</v>
      </c>
      <c r="N102" s="899"/>
    </row>
    <row r="103" spans="1:19" s="70" customFormat="1" ht="16.149999999999999" customHeight="1" x14ac:dyDescent="0.3">
      <c r="A103" s="857">
        <v>99</v>
      </c>
      <c r="B103" s="174" t="s">
        <v>529</v>
      </c>
      <c r="C103" s="938" t="s">
        <v>283</v>
      </c>
      <c r="D103" s="56">
        <v>758921</v>
      </c>
      <c r="E103" s="482" t="s">
        <v>131</v>
      </c>
      <c r="F103" s="482" t="s">
        <v>131</v>
      </c>
      <c r="G103" s="56">
        <v>4</v>
      </c>
      <c r="H103" s="169">
        <f>(30)*0.643*1.071*1400</f>
        <v>28923.425999999996</v>
      </c>
      <c r="I103" s="392">
        <v>54000</v>
      </c>
      <c r="J103" s="868">
        <f t="shared" si="10"/>
        <v>115693.70399999998</v>
      </c>
      <c r="K103" s="879">
        <v>0</v>
      </c>
      <c r="L103" s="891">
        <f t="shared" si="11"/>
        <v>216000</v>
      </c>
      <c r="M103" s="892" t="s">
        <v>597</v>
      </c>
      <c r="N103" s="899"/>
    </row>
    <row r="104" spans="1:19" s="369" customFormat="1" x14ac:dyDescent="0.3">
      <c r="A104" s="857">
        <v>100</v>
      </c>
      <c r="B104" s="174" t="s">
        <v>529</v>
      </c>
      <c r="C104" s="938" t="s">
        <v>310</v>
      </c>
      <c r="D104" s="56">
        <v>701251</v>
      </c>
      <c r="E104" s="482" t="s">
        <v>131</v>
      </c>
      <c r="F104" s="482" t="s">
        <v>131</v>
      </c>
      <c r="G104" s="56">
        <v>2</v>
      </c>
      <c r="H104" s="169">
        <f>(1190)*0.606*1.071*1400</f>
        <v>1081277.3159999999</v>
      </c>
      <c r="I104" s="169">
        <v>1806000</v>
      </c>
      <c r="J104" s="868">
        <f t="shared" si="10"/>
        <v>2162554.6319999998</v>
      </c>
      <c r="K104" s="879">
        <v>0</v>
      </c>
      <c r="L104" s="891">
        <f t="shared" si="11"/>
        <v>3612000</v>
      </c>
      <c r="M104" s="892" t="s">
        <v>598</v>
      </c>
      <c r="N104" s="905"/>
    </row>
    <row r="105" spans="1:19" s="394" customFormat="1" x14ac:dyDescent="0.3">
      <c r="A105" s="857">
        <v>101</v>
      </c>
      <c r="B105" s="853" t="s">
        <v>529</v>
      </c>
      <c r="C105" s="943" t="s">
        <v>489</v>
      </c>
      <c r="D105" s="56">
        <v>702916</v>
      </c>
      <c r="E105" s="482" t="s">
        <v>131</v>
      </c>
      <c r="F105" s="482" t="s">
        <v>131</v>
      </c>
      <c r="G105" s="56">
        <v>1</v>
      </c>
      <c r="H105" s="169">
        <f>(6450)*0.6*1.071*1400</f>
        <v>5802677.9999999991</v>
      </c>
      <c r="I105" s="55">
        <v>8712000</v>
      </c>
      <c r="J105" s="868">
        <f t="shared" si="10"/>
        <v>5802677.9999999991</v>
      </c>
      <c r="K105" s="879">
        <v>0</v>
      </c>
      <c r="L105" s="891">
        <f t="shared" si="11"/>
        <v>8712000</v>
      </c>
      <c r="M105" s="892" t="s">
        <v>490</v>
      </c>
      <c r="N105" s="899"/>
      <c r="O105" s="400"/>
    </row>
    <row r="106" spans="1:19" s="394" customFormat="1" x14ac:dyDescent="0.3">
      <c r="A106" s="857">
        <v>102</v>
      </c>
      <c r="B106" s="853" t="s">
        <v>529</v>
      </c>
      <c r="C106" s="943" t="s">
        <v>487</v>
      </c>
      <c r="D106" s="56">
        <v>701930</v>
      </c>
      <c r="E106" s="482" t="s">
        <v>40</v>
      </c>
      <c r="F106" s="482" t="s">
        <v>40</v>
      </c>
      <c r="G106" s="56">
        <v>1</v>
      </c>
      <c r="H106" s="169">
        <f>(3630)*0.704*1.071*1400</f>
        <v>3831746.6879999996</v>
      </c>
      <c r="I106" s="55">
        <v>5748000</v>
      </c>
      <c r="J106" s="868">
        <f t="shared" si="10"/>
        <v>3831746.6879999996</v>
      </c>
      <c r="K106" s="879">
        <v>0</v>
      </c>
      <c r="L106" s="891">
        <f t="shared" si="11"/>
        <v>5748000</v>
      </c>
      <c r="M106" s="892" t="s">
        <v>486</v>
      </c>
      <c r="N106" s="899"/>
      <c r="O106" s="400"/>
    </row>
    <row r="107" spans="1:19" s="70" customFormat="1" ht="16.149999999999999" customHeight="1" x14ac:dyDescent="0.3">
      <c r="A107" s="857">
        <v>103</v>
      </c>
      <c r="B107" s="174" t="s">
        <v>529</v>
      </c>
      <c r="C107" s="938" t="s">
        <v>368</v>
      </c>
      <c r="D107" s="56">
        <v>701265</v>
      </c>
      <c r="E107" s="482" t="s">
        <v>131</v>
      </c>
      <c r="F107" s="482" t="s">
        <v>131</v>
      </c>
      <c r="G107" s="56">
        <v>3</v>
      </c>
      <c r="H107" s="169">
        <f>(1140)*0.606*1.071*1400</f>
        <v>1035845.4959999999</v>
      </c>
      <c r="I107" s="392">
        <v>1723000</v>
      </c>
      <c r="J107" s="868">
        <f t="shared" si="10"/>
        <v>3107536.4879999999</v>
      </c>
      <c r="K107" s="879">
        <v>0</v>
      </c>
      <c r="L107" s="891">
        <f t="shared" si="11"/>
        <v>5169000</v>
      </c>
      <c r="M107" s="892" t="s">
        <v>375</v>
      </c>
      <c r="N107" s="899"/>
    </row>
    <row r="108" spans="1:19" s="369" customFormat="1" x14ac:dyDescent="0.3">
      <c r="A108" s="857">
        <v>104</v>
      </c>
      <c r="B108" s="852" t="s">
        <v>529</v>
      </c>
      <c r="C108" s="935" t="s">
        <v>399</v>
      </c>
      <c r="D108" s="184" t="s">
        <v>336</v>
      </c>
      <c r="E108" s="185" t="s">
        <v>337</v>
      </c>
      <c r="F108" s="185" t="s">
        <v>337</v>
      </c>
      <c r="G108" s="184">
        <v>1</v>
      </c>
      <c r="H108" s="55">
        <f>690000*8.7116</f>
        <v>6011004.0000000009</v>
      </c>
      <c r="I108" s="392">
        <v>11825000</v>
      </c>
      <c r="J108" s="867">
        <f t="shared" si="10"/>
        <v>6011004.0000000009</v>
      </c>
      <c r="K108" s="877">
        <v>0</v>
      </c>
      <c r="L108" s="900">
        <f t="shared" si="11"/>
        <v>11825000</v>
      </c>
      <c r="M108" s="901" t="s">
        <v>586</v>
      </c>
      <c r="N108" s="895"/>
      <c r="O108" t="s">
        <v>1091</v>
      </c>
      <c r="P108">
        <v>5.5</v>
      </c>
      <c r="Q108" s="370"/>
      <c r="R108" s="370"/>
      <c r="S108" s="370"/>
    </row>
    <row r="109" spans="1:19" s="528" customFormat="1" x14ac:dyDescent="0.3">
      <c r="A109" s="857">
        <v>105</v>
      </c>
      <c r="B109" s="174" t="s">
        <v>529</v>
      </c>
      <c r="C109" s="938" t="s">
        <v>459</v>
      </c>
      <c r="D109" s="507" t="s">
        <v>195</v>
      </c>
      <c r="E109" s="56" t="s">
        <v>142</v>
      </c>
      <c r="F109" s="56" t="s">
        <v>64</v>
      </c>
      <c r="G109" s="56">
        <v>1</v>
      </c>
      <c r="H109" s="55">
        <f>I109*0.75</f>
        <v>14394750</v>
      </c>
      <c r="I109" s="55">
        <f>19193000</f>
        <v>19193000</v>
      </c>
      <c r="J109" s="868">
        <f t="shared" si="10"/>
        <v>14394750</v>
      </c>
      <c r="K109" s="879">
        <v>0</v>
      </c>
      <c r="L109" s="891">
        <f>I109*G109</f>
        <v>19193000</v>
      </c>
      <c r="M109" s="902" t="s">
        <v>410</v>
      </c>
      <c r="N109" s="917"/>
      <c r="O109" s="70" t="s">
        <v>1080</v>
      </c>
      <c r="P109">
        <f>15000/0.95/0.86/1.73/220</f>
        <v>48.239235736140387</v>
      </c>
    </row>
    <row r="110" spans="1:19" s="528" customFormat="1" ht="17.25" thickBot="1" x14ac:dyDescent="0.35">
      <c r="A110" s="857">
        <v>106</v>
      </c>
      <c r="B110" s="191" t="s">
        <v>529</v>
      </c>
      <c r="C110" s="942" t="s">
        <v>460</v>
      </c>
      <c r="D110" s="858" t="s">
        <v>461</v>
      </c>
      <c r="E110" s="192" t="s">
        <v>142</v>
      </c>
      <c r="F110" s="192" t="s">
        <v>64</v>
      </c>
      <c r="G110" s="192">
        <f>1*2</f>
        <v>2</v>
      </c>
      <c r="H110" s="170">
        <f>I110*0.75</f>
        <v>14008500</v>
      </c>
      <c r="I110" s="170">
        <v>18678000</v>
      </c>
      <c r="J110" s="870">
        <f t="shared" si="10"/>
        <v>28017000</v>
      </c>
      <c r="K110" s="881">
        <v>0</v>
      </c>
      <c r="L110" s="904">
        <f>I110*G110</f>
        <v>37356000</v>
      </c>
      <c r="M110" s="903"/>
      <c r="N110" s="885"/>
      <c r="O110" s="70" t="s">
        <v>1080</v>
      </c>
      <c r="P110">
        <f>15000/0.95/0.86/1.73/220*2</f>
        <v>96.478471472280773</v>
      </c>
    </row>
    <row r="111" spans="1:19" s="413" customFormat="1" x14ac:dyDescent="0.3">
      <c r="A111" s="857">
        <v>107</v>
      </c>
      <c r="B111" s="816" t="s">
        <v>529</v>
      </c>
      <c r="C111" s="944" t="s">
        <v>541</v>
      </c>
      <c r="D111" s="80" t="s">
        <v>278</v>
      </c>
      <c r="E111" s="80" t="s">
        <v>80</v>
      </c>
      <c r="F111" s="80" t="s">
        <v>240</v>
      </c>
      <c r="G111" s="80">
        <v>1</v>
      </c>
      <c r="H111" s="81">
        <f>I111*0.95</f>
        <v>2422500</v>
      </c>
      <c r="I111" s="81">
        <v>2550000</v>
      </c>
      <c r="J111" s="872">
        <f t="shared" si="10"/>
        <v>2422500</v>
      </c>
      <c r="K111" s="882">
        <v>0</v>
      </c>
      <c r="L111" s="897">
        <f>G111*I111/(1-K111)</f>
        <v>2550000</v>
      </c>
      <c r="M111" s="898"/>
      <c r="N111" s="268" t="s">
        <v>645</v>
      </c>
      <c r="O111" t="s">
        <v>1081</v>
      </c>
      <c r="P111">
        <v>1</v>
      </c>
    </row>
    <row r="112" spans="1:19" s="82" customFormat="1" x14ac:dyDescent="0.3">
      <c r="A112" s="857">
        <v>108</v>
      </c>
      <c r="B112" s="174" t="s">
        <v>763</v>
      </c>
      <c r="C112" s="937" t="s">
        <v>539</v>
      </c>
      <c r="D112" s="155" t="s">
        <v>422</v>
      </c>
      <c r="E112" s="56" t="s">
        <v>80</v>
      </c>
      <c r="F112" s="56" t="s">
        <v>430</v>
      </c>
      <c r="G112" s="56">
        <v>2</v>
      </c>
      <c r="H112" s="55">
        <f>I112*0.95</f>
        <v>2242000</v>
      </c>
      <c r="I112" s="55">
        <v>2360000</v>
      </c>
      <c r="J112" s="868">
        <f t="shared" si="10"/>
        <v>4484000</v>
      </c>
      <c r="K112" s="879">
        <v>0</v>
      </c>
      <c r="L112" s="891">
        <f>G112*I112/(1-K112)</f>
        <v>4720000</v>
      </c>
      <c r="M112" s="892" t="s">
        <v>560</v>
      </c>
      <c r="N112" s="266" t="s">
        <v>646</v>
      </c>
      <c r="O112"/>
      <c r="P112"/>
      <c r="Q112"/>
      <c r="R112"/>
    </row>
    <row r="113" spans="1:16" s="70" customFormat="1" x14ac:dyDescent="0.3">
      <c r="A113" s="857">
        <v>109</v>
      </c>
      <c r="B113" s="174" t="s">
        <v>763</v>
      </c>
      <c r="C113" s="938" t="s">
        <v>536</v>
      </c>
      <c r="D113" s="56" t="s">
        <v>316</v>
      </c>
      <c r="E113" s="56" t="s">
        <v>80</v>
      </c>
      <c r="F113" s="56" t="s">
        <v>430</v>
      </c>
      <c r="G113" s="56">
        <v>1</v>
      </c>
      <c r="H113" s="55">
        <f>I113*0.95</f>
        <v>836000</v>
      </c>
      <c r="I113" s="55">
        <v>880000</v>
      </c>
      <c r="J113" s="868">
        <f t="shared" si="10"/>
        <v>836000</v>
      </c>
      <c r="K113" s="879">
        <v>0</v>
      </c>
      <c r="L113" s="891">
        <f>G113*I113/(1-K113)</f>
        <v>880000</v>
      </c>
      <c r="M113" s="892" t="s">
        <v>579</v>
      </c>
      <c r="N113" s="895" t="s">
        <v>646</v>
      </c>
    </row>
    <row r="114" spans="1:16" s="528" customFormat="1" ht="17.25" thickBot="1" x14ac:dyDescent="0.35">
      <c r="A114" s="857">
        <v>110</v>
      </c>
      <c r="B114" s="859" t="s">
        <v>763</v>
      </c>
      <c r="C114" s="945" t="s">
        <v>534</v>
      </c>
      <c r="D114" s="59" t="s">
        <v>720</v>
      </c>
      <c r="E114" s="59" t="s">
        <v>80</v>
      </c>
      <c r="F114" s="59" t="s">
        <v>430</v>
      </c>
      <c r="G114" s="59">
        <v>1</v>
      </c>
      <c r="H114" s="855">
        <f>I114*0.95</f>
        <v>1396500</v>
      </c>
      <c r="I114" s="855">
        <v>1470000</v>
      </c>
      <c r="J114" s="873">
        <f t="shared" si="10"/>
        <v>1396500</v>
      </c>
      <c r="K114" s="883">
        <v>0</v>
      </c>
      <c r="L114" s="888">
        <f>G114*I114/(1-K114)</f>
        <v>1470000</v>
      </c>
      <c r="M114" s="889" t="s">
        <v>593</v>
      </c>
      <c r="N114" s="896" t="s">
        <v>646</v>
      </c>
    </row>
    <row r="115" spans="1:16" s="413" customFormat="1" x14ac:dyDescent="0.3">
      <c r="A115" s="857">
        <v>111</v>
      </c>
      <c r="B115" s="417" t="s">
        <v>529</v>
      </c>
      <c r="C115" s="936" t="s">
        <v>871</v>
      </c>
      <c r="D115" s="930" t="s">
        <v>418</v>
      </c>
      <c r="E115" s="416" t="s">
        <v>60</v>
      </c>
      <c r="F115" s="416" t="s">
        <v>725</v>
      </c>
      <c r="G115" s="416">
        <v>1</v>
      </c>
      <c r="H115" s="169">
        <v>4000000</v>
      </c>
      <c r="I115" s="169">
        <v>4000000</v>
      </c>
      <c r="J115" s="871">
        <f t="shared" si="10"/>
        <v>4000000</v>
      </c>
      <c r="K115" s="878">
        <v>0.3</v>
      </c>
      <c r="L115" s="893">
        <f t="shared" ref="L115:L131" si="12">G115*I115*(1+K115)</f>
        <v>5200000</v>
      </c>
      <c r="M115" s="894"/>
      <c r="N115" s="298"/>
    </row>
    <row r="116" spans="1:16" s="413" customFormat="1" x14ac:dyDescent="0.3">
      <c r="A116" s="857">
        <v>112</v>
      </c>
      <c r="B116" s="174" t="s">
        <v>529</v>
      </c>
      <c r="C116" s="938" t="s">
        <v>245</v>
      </c>
      <c r="D116" s="56" t="s">
        <v>246</v>
      </c>
      <c r="E116" s="56" t="s">
        <v>183</v>
      </c>
      <c r="F116" s="56" t="s">
        <v>725</v>
      </c>
      <c r="G116" s="56">
        <v>1</v>
      </c>
      <c r="H116" s="55">
        <v>200000</v>
      </c>
      <c r="I116" s="55">
        <v>200000</v>
      </c>
      <c r="J116" s="868">
        <f t="shared" si="10"/>
        <v>200000</v>
      </c>
      <c r="K116" s="879">
        <v>0.3</v>
      </c>
      <c r="L116" s="891">
        <f t="shared" si="12"/>
        <v>260000</v>
      </c>
      <c r="M116" s="892"/>
      <c r="N116" s="266"/>
    </row>
    <row r="117" spans="1:16" s="528" customFormat="1" x14ac:dyDescent="0.3">
      <c r="A117" s="857">
        <v>113</v>
      </c>
      <c r="B117" s="174" t="s">
        <v>529</v>
      </c>
      <c r="C117" s="938" t="s">
        <v>343</v>
      </c>
      <c r="D117" s="56" t="s">
        <v>334</v>
      </c>
      <c r="E117" s="56" t="s">
        <v>328</v>
      </c>
      <c r="F117" s="56" t="s">
        <v>725</v>
      </c>
      <c r="G117" s="56">
        <v>1</v>
      </c>
      <c r="H117" s="169">
        <v>450000</v>
      </c>
      <c r="I117" s="169">
        <v>500000</v>
      </c>
      <c r="J117" s="868">
        <f t="shared" si="10"/>
        <v>450000</v>
      </c>
      <c r="K117" s="879">
        <v>0</v>
      </c>
      <c r="L117" s="891">
        <f t="shared" si="12"/>
        <v>500000</v>
      </c>
      <c r="M117" s="892" t="s">
        <v>522</v>
      </c>
      <c r="N117" s="895"/>
    </row>
    <row r="118" spans="1:16" s="413" customFormat="1" x14ac:dyDescent="0.3">
      <c r="A118" s="857">
        <v>114</v>
      </c>
      <c r="B118" s="417" t="s">
        <v>529</v>
      </c>
      <c r="C118" s="934" t="s">
        <v>873</v>
      </c>
      <c r="D118" s="929" t="s">
        <v>268</v>
      </c>
      <c r="E118" s="416" t="s">
        <v>60</v>
      </c>
      <c r="F118" s="56" t="s">
        <v>725</v>
      </c>
      <c r="G118" s="56">
        <v>1</v>
      </c>
      <c r="H118" s="55">
        <v>1000000</v>
      </c>
      <c r="I118" s="55">
        <v>1000000</v>
      </c>
      <c r="J118" s="868">
        <f t="shared" si="10"/>
        <v>1000000</v>
      </c>
      <c r="K118" s="879">
        <v>0.3</v>
      </c>
      <c r="L118" s="891">
        <f t="shared" si="12"/>
        <v>1300000</v>
      </c>
      <c r="M118" s="887"/>
      <c r="N118" s="915"/>
    </row>
    <row r="119" spans="1:16" s="413" customFormat="1" x14ac:dyDescent="0.3">
      <c r="A119" s="857">
        <v>115</v>
      </c>
      <c r="B119" s="417" t="s">
        <v>529</v>
      </c>
      <c r="C119" s="936" t="s">
        <v>519</v>
      </c>
      <c r="D119" s="416" t="s">
        <v>520</v>
      </c>
      <c r="E119" s="416" t="s">
        <v>521</v>
      </c>
      <c r="F119" s="56" t="s">
        <v>725</v>
      </c>
      <c r="G119" s="56">
        <v>6</v>
      </c>
      <c r="H119" s="55">
        <v>20000</v>
      </c>
      <c r="I119" s="55">
        <v>20000</v>
      </c>
      <c r="J119" s="868">
        <f t="shared" si="10"/>
        <v>120000</v>
      </c>
      <c r="K119" s="879">
        <v>0.3</v>
      </c>
      <c r="L119" s="891">
        <f t="shared" si="12"/>
        <v>156000</v>
      </c>
      <c r="M119" s="892"/>
      <c r="N119" s="915"/>
    </row>
    <row r="120" spans="1:16" s="413" customFormat="1" x14ac:dyDescent="0.3">
      <c r="A120" s="857">
        <v>116</v>
      </c>
      <c r="B120" s="417" t="s">
        <v>529</v>
      </c>
      <c r="C120" s="820" t="s">
        <v>909</v>
      </c>
      <c r="D120" s="844" t="s">
        <v>907</v>
      </c>
      <c r="E120" s="416" t="s">
        <v>518</v>
      </c>
      <c r="F120" s="56" t="s">
        <v>725</v>
      </c>
      <c r="G120" s="56">
        <v>1</v>
      </c>
      <c r="H120" s="55">
        <v>50000</v>
      </c>
      <c r="I120" s="55">
        <v>50000</v>
      </c>
      <c r="J120" s="868">
        <f t="shared" si="10"/>
        <v>50000</v>
      </c>
      <c r="K120" s="879">
        <v>0.3</v>
      </c>
      <c r="L120" s="891">
        <f t="shared" si="12"/>
        <v>65000</v>
      </c>
      <c r="M120" s="892"/>
      <c r="N120" s="266"/>
    </row>
    <row r="121" spans="1:16" s="413" customFormat="1" x14ac:dyDescent="0.3">
      <c r="A121" s="857">
        <v>117</v>
      </c>
      <c r="B121" s="417" t="s">
        <v>529</v>
      </c>
      <c r="C121" s="936" t="s">
        <v>516</v>
      </c>
      <c r="D121" s="416" t="s">
        <v>517</v>
      </c>
      <c r="E121" s="416" t="s">
        <v>518</v>
      </c>
      <c r="F121" s="56" t="s">
        <v>725</v>
      </c>
      <c r="G121" s="56">
        <v>6</v>
      </c>
      <c r="H121" s="55">
        <v>100000</v>
      </c>
      <c r="I121" s="55">
        <v>100000</v>
      </c>
      <c r="J121" s="868">
        <f t="shared" si="10"/>
        <v>600000</v>
      </c>
      <c r="K121" s="879">
        <v>0.3</v>
      </c>
      <c r="L121" s="891">
        <f t="shared" si="12"/>
        <v>780000</v>
      </c>
      <c r="M121" s="892"/>
      <c r="N121" s="266"/>
      <c r="O121">
        <v>100</v>
      </c>
      <c r="P121">
        <f>O121/24</f>
        <v>4.166666666666667</v>
      </c>
    </row>
    <row r="122" spans="1:16" s="413" customFormat="1" x14ac:dyDescent="0.3">
      <c r="A122" s="857">
        <v>118</v>
      </c>
      <c r="B122" s="417" t="s">
        <v>529</v>
      </c>
      <c r="C122" s="936" t="s">
        <v>272</v>
      </c>
      <c r="D122" s="56" t="s">
        <v>625</v>
      </c>
      <c r="E122" s="56" t="s">
        <v>626</v>
      </c>
      <c r="F122" s="56" t="s">
        <v>725</v>
      </c>
      <c r="G122" s="56">
        <v>1</v>
      </c>
      <c r="H122" s="55">
        <v>250000</v>
      </c>
      <c r="I122" s="55">
        <v>250000</v>
      </c>
      <c r="J122" s="868">
        <f t="shared" si="10"/>
        <v>250000</v>
      </c>
      <c r="K122" s="879">
        <v>0.3</v>
      </c>
      <c r="L122" s="891">
        <f t="shared" si="12"/>
        <v>325000</v>
      </c>
      <c r="M122" s="892" t="s">
        <v>572</v>
      </c>
      <c r="N122" s="266"/>
    </row>
    <row r="123" spans="1:16" s="413" customFormat="1" x14ac:dyDescent="0.3">
      <c r="A123" s="857">
        <v>119</v>
      </c>
      <c r="B123" s="417" t="s">
        <v>529</v>
      </c>
      <c r="C123" s="936" t="s">
        <v>875</v>
      </c>
      <c r="D123" s="930" t="s">
        <v>419</v>
      </c>
      <c r="E123" s="416" t="s">
        <v>60</v>
      </c>
      <c r="F123" s="56" t="s">
        <v>725</v>
      </c>
      <c r="G123" s="56">
        <v>1</v>
      </c>
      <c r="H123" s="55">
        <v>3500000</v>
      </c>
      <c r="I123" s="55">
        <v>3500000</v>
      </c>
      <c r="J123" s="868">
        <f t="shared" si="10"/>
        <v>3500000</v>
      </c>
      <c r="K123" s="879">
        <v>0.3</v>
      </c>
      <c r="L123" s="891">
        <f t="shared" si="12"/>
        <v>4550000</v>
      </c>
      <c r="M123" s="892"/>
      <c r="N123" s="915"/>
    </row>
    <row r="124" spans="1:16" s="413" customFormat="1" x14ac:dyDescent="0.3">
      <c r="A124" s="857">
        <v>120</v>
      </c>
      <c r="B124" s="174" t="s">
        <v>529</v>
      </c>
      <c r="C124" s="938" t="s">
        <v>247</v>
      </c>
      <c r="D124" s="56" t="s">
        <v>732</v>
      </c>
      <c r="E124" s="56" t="s">
        <v>756</v>
      </c>
      <c r="F124" s="56" t="s">
        <v>249</v>
      </c>
      <c r="G124" s="56">
        <v>1</v>
      </c>
      <c r="H124" s="55">
        <v>530000</v>
      </c>
      <c r="I124" s="55">
        <v>530000</v>
      </c>
      <c r="J124" s="868">
        <f t="shared" si="10"/>
        <v>530000</v>
      </c>
      <c r="K124" s="879">
        <v>0.3</v>
      </c>
      <c r="L124" s="891">
        <f t="shared" si="12"/>
        <v>689000</v>
      </c>
      <c r="M124" s="892"/>
      <c r="N124" s="915" t="s">
        <v>734</v>
      </c>
    </row>
    <row r="125" spans="1:16" s="413" customFormat="1" x14ac:dyDescent="0.3">
      <c r="A125" s="857">
        <v>121</v>
      </c>
      <c r="B125" s="174" t="s">
        <v>529</v>
      </c>
      <c r="C125" s="938" t="s">
        <v>727</v>
      </c>
      <c r="D125" s="56" t="s">
        <v>754</v>
      </c>
      <c r="E125" s="56" t="s">
        <v>726</v>
      </c>
      <c r="F125" s="56" t="s">
        <v>251</v>
      </c>
      <c r="G125" s="56">
        <v>1</v>
      </c>
      <c r="H125" s="55">
        <v>140000</v>
      </c>
      <c r="I125" s="55">
        <v>200000</v>
      </c>
      <c r="J125" s="868">
        <f t="shared" si="10"/>
        <v>140000</v>
      </c>
      <c r="K125" s="879">
        <v>0.3</v>
      </c>
      <c r="L125" s="891">
        <f t="shared" si="12"/>
        <v>260000</v>
      </c>
      <c r="M125" s="892"/>
      <c r="N125" s="266" t="s">
        <v>735</v>
      </c>
      <c r="O125" t="s">
        <v>1074</v>
      </c>
      <c r="P125" s="82">
        <v>0.1</v>
      </c>
    </row>
    <row r="126" spans="1:16" s="413" customFormat="1" x14ac:dyDescent="0.3">
      <c r="A126" s="857">
        <v>122</v>
      </c>
      <c r="B126" s="174" t="s">
        <v>529</v>
      </c>
      <c r="C126" s="938" t="s">
        <v>252</v>
      </c>
      <c r="D126" s="56" t="s">
        <v>729</v>
      </c>
      <c r="E126" s="56" t="s">
        <v>254</v>
      </c>
      <c r="F126" s="56" t="s">
        <v>254</v>
      </c>
      <c r="G126" s="56">
        <v>1</v>
      </c>
      <c r="H126" s="55">
        <v>2630000</v>
      </c>
      <c r="I126" s="55">
        <v>3000000</v>
      </c>
      <c r="J126" s="868">
        <f t="shared" si="10"/>
        <v>2630000</v>
      </c>
      <c r="K126" s="879">
        <v>0.3</v>
      </c>
      <c r="L126" s="891">
        <f t="shared" si="12"/>
        <v>3900000</v>
      </c>
      <c r="M126" s="892"/>
      <c r="N126" s="915" t="s">
        <v>733</v>
      </c>
      <c r="O126" t="s">
        <v>1091</v>
      </c>
      <c r="P126">
        <v>3</v>
      </c>
    </row>
    <row r="127" spans="1:16" s="413" customFormat="1" x14ac:dyDescent="0.3">
      <c r="A127" s="857">
        <v>123</v>
      </c>
      <c r="B127" s="174" t="s">
        <v>529</v>
      </c>
      <c r="C127" s="938" t="s">
        <v>355</v>
      </c>
      <c r="D127" s="56" t="s">
        <v>721</v>
      </c>
      <c r="E127" s="56" t="s">
        <v>636</v>
      </c>
      <c r="F127" s="56" t="s">
        <v>636</v>
      </c>
      <c r="G127" s="56">
        <v>1</v>
      </c>
      <c r="H127" s="55">
        <v>65000</v>
      </c>
      <c r="I127" s="55">
        <v>70000</v>
      </c>
      <c r="J127" s="868">
        <f t="shared" si="10"/>
        <v>65000</v>
      </c>
      <c r="K127" s="879">
        <v>0.3</v>
      </c>
      <c r="L127" s="891">
        <f t="shared" si="12"/>
        <v>91000</v>
      </c>
      <c r="M127" s="892" t="s">
        <v>571</v>
      </c>
      <c r="N127" s="266" t="s">
        <v>733</v>
      </c>
    </row>
    <row r="128" spans="1:16" s="413" customFormat="1" x14ac:dyDescent="0.3">
      <c r="A128" s="857">
        <v>124</v>
      </c>
      <c r="B128" s="417" t="s">
        <v>529</v>
      </c>
      <c r="C128" s="936" t="s">
        <v>730</v>
      </c>
      <c r="D128" s="56" t="s">
        <v>515</v>
      </c>
      <c r="E128" s="56" t="s">
        <v>636</v>
      </c>
      <c r="F128" s="56" t="s">
        <v>636</v>
      </c>
      <c r="G128" s="56">
        <v>1</v>
      </c>
      <c r="H128" s="55">
        <v>750000</v>
      </c>
      <c r="I128" s="55">
        <v>450000</v>
      </c>
      <c r="J128" s="868">
        <f t="shared" si="10"/>
        <v>750000</v>
      </c>
      <c r="K128" s="879">
        <v>0.3</v>
      </c>
      <c r="L128" s="891">
        <f t="shared" si="12"/>
        <v>585000</v>
      </c>
      <c r="M128" s="892" t="s">
        <v>573</v>
      </c>
      <c r="N128" s="266" t="s">
        <v>766</v>
      </c>
    </row>
    <row r="129" spans="1:14" s="413" customFormat="1" x14ac:dyDescent="0.3">
      <c r="A129" s="857">
        <v>125</v>
      </c>
      <c r="B129" s="417" t="s">
        <v>529</v>
      </c>
      <c r="C129" s="936" t="s">
        <v>731</v>
      </c>
      <c r="D129" s="56" t="s">
        <v>514</v>
      </c>
      <c r="E129" s="56" t="s">
        <v>636</v>
      </c>
      <c r="F129" s="56" t="s">
        <v>636</v>
      </c>
      <c r="G129" s="56">
        <v>1</v>
      </c>
      <c r="H129" s="55">
        <v>0</v>
      </c>
      <c r="I129" s="55">
        <v>1000000</v>
      </c>
      <c r="J129" s="868">
        <f t="shared" si="10"/>
        <v>0</v>
      </c>
      <c r="K129" s="879">
        <v>0.3</v>
      </c>
      <c r="L129" s="891">
        <f t="shared" si="12"/>
        <v>1300000</v>
      </c>
      <c r="M129" s="892" t="s">
        <v>574</v>
      </c>
      <c r="N129" s="266" t="s">
        <v>766</v>
      </c>
    </row>
    <row r="130" spans="1:14" s="413" customFormat="1" x14ac:dyDescent="0.3">
      <c r="A130" s="857">
        <v>126</v>
      </c>
      <c r="B130" s="417" t="s">
        <v>529</v>
      </c>
      <c r="C130" s="936" t="s">
        <v>357</v>
      </c>
      <c r="D130" s="56" t="s">
        <v>721</v>
      </c>
      <c r="E130" s="56" t="s">
        <v>636</v>
      </c>
      <c r="F130" s="56" t="s">
        <v>636</v>
      </c>
      <c r="G130" s="56">
        <v>1</v>
      </c>
      <c r="H130" s="55">
        <v>65000</v>
      </c>
      <c r="I130" s="55">
        <v>70000</v>
      </c>
      <c r="J130" s="868">
        <v>70000</v>
      </c>
      <c r="K130" s="879">
        <v>0.3</v>
      </c>
      <c r="L130" s="891">
        <f t="shared" si="12"/>
        <v>91000</v>
      </c>
      <c r="M130" s="892" t="s">
        <v>361</v>
      </c>
      <c r="N130" s="266" t="s">
        <v>766</v>
      </c>
    </row>
    <row r="131" spans="1:14" s="413" customFormat="1" ht="17.25" thickBot="1" x14ac:dyDescent="0.35">
      <c r="A131" s="857">
        <v>127</v>
      </c>
      <c r="B131" s="854" t="s">
        <v>529</v>
      </c>
      <c r="C131" s="946" t="s">
        <v>587</v>
      </c>
      <c r="D131" s="59" t="s">
        <v>728</v>
      </c>
      <c r="E131" s="59" t="s">
        <v>636</v>
      </c>
      <c r="F131" s="59" t="s">
        <v>636</v>
      </c>
      <c r="G131" s="59">
        <v>1</v>
      </c>
      <c r="H131" s="855">
        <v>10000</v>
      </c>
      <c r="I131" s="855">
        <v>20000</v>
      </c>
      <c r="J131" s="873">
        <f>G131*H131</f>
        <v>10000</v>
      </c>
      <c r="K131" s="883">
        <v>0.3</v>
      </c>
      <c r="L131" s="888">
        <f t="shared" si="12"/>
        <v>26000</v>
      </c>
      <c r="M131" s="889" t="s">
        <v>589</v>
      </c>
      <c r="N131" s="890" t="s">
        <v>766</v>
      </c>
    </row>
    <row r="132" spans="1:14" s="413" customFormat="1" ht="17.25" thickBot="1" x14ac:dyDescent="0.35">
      <c r="A132" s="857">
        <v>128</v>
      </c>
      <c r="B132" s="854" t="s">
        <v>528</v>
      </c>
      <c r="C132" s="946" t="s">
        <v>902</v>
      </c>
      <c r="D132" s="59" t="s">
        <v>902</v>
      </c>
      <c r="E132" s="59" t="s">
        <v>60</v>
      </c>
      <c r="F132" s="59" t="s">
        <v>900</v>
      </c>
      <c r="G132" s="59">
        <v>1</v>
      </c>
      <c r="H132" s="855">
        <v>19000000</v>
      </c>
      <c r="I132" s="855">
        <v>19000000</v>
      </c>
      <c r="J132" s="873">
        <f t="shared" ref="J132" si="13">G132*H132</f>
        <v>19000000</v>
      </c>
      <c r="K132" s="950">
        <v>0</v>
      </c>
      <c r="L132" s="888">
        <f t="shared" ref="L132" si="14">I132*G132</f>
        <v>19000000</v>
      </c>
      <c r="M132" s="889"/>
      <c r="N132" s="890"/>
    </row>
  </sheetData>
  <autoFilter ref="A4:T132" xr:uid="{86A24A3B-EB94-4881-BA04-B5B5EB4D6FCA}"/>
  <phoneticPr fontId="2" type="noConversion"/>
  <pageMargins left="0.25" right="0.25" top="0.75" bottom="0.75" header="0.3" footer="0.3"/>
  <pageSetup paperSize="9" scale="10" fitToWidth="0" orientation="landscape" horizontalDpi="300" r:id="rId1"/>
  <headerFooter>
    <oddFooter>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0511-DF41-4ADC-8ED5-727673EFF603}">
  <dimension ref="B2:O43"/>
  <sheetViews>
    <sheetView topLeftCell="A22" workbookViewId="0">
      <selection activeCell="O29" sqref="O29"/>
    </sheetView>
  </sheetViews>
  <sheetFormatPr defaultRowHeight="16.5" x14ac:dyDescent="0.3"/>
  <cols>
    <col min="1" max="1" width="4.625" customWidth="1"/>
    <col min="2" max="2" width="20.625" style="600" customWidth="1"/>
    <col min="3" max="4" width="14.625" bestFit="1" customWidth="1"/>
    <col min="9" max="9" width="16.375" bestFit="1" customWidth="1"/>
    <col min="14" max="14" width="10.875" bestFit="1" customWidth="1"/>
    <col min="15" max="15" width="35.75" bestFit="1" customWidth="1"/>
  </cols>
  <sheetData>
    <row r="2" spans="2:14" x14ac:dyDescent="0.3">
      <c r="B2" s="2">
        <v>240523</v>
      </c>
      <c r="I2" s="2">
        <v>240520</v>
      </c>
    </row>
    <row r="3" spans="2:14" x14ac:dyDescent="0.3">
      <c r="B3" s="603" t="s">
        <v>532</v>
      </c>
      <c r="C3" s="603" t="s">
        <v>6</v>
      </c>
      <c r="D3" s="603" t="s">
        <v>5</v>
      </c>
      <c r="E3" s="709" t="s">
        <v>16</v>
      </c>
      <c r="F3" s="713" t="s">
        <v>624</v>
      </c>
    </row>
    <row r="4" spans="2:14" x14ac:dyDescent="0.3">
      <c r="B4" s="601" t="s">
        <v>531</v>
      </c>
      <c r="C4" s="602">
        <f>'기본 특성 시험_4안r1'!O71</f>
        <v>206000000</v>
      </c>
      <c r="D4" s="602">
        <f>'기본 특성 시험_4안r1'!M54</f>
        <v>109462177</v>
      </c>
      <c r="E4" s="710">
        <f>(C4-D4)/C4</f>
        <v>0.4686302087378641</v>
      </c>
      <c r="F4" s="712">
        <v>70</v>
      </c>
    </row>
    <row r="5" spans="2:14" x14ac:dyDescent="0.3">
      <c r="B5" s="601" t="s">
        <v>528</v>
      </c>
      <c r="C5" s="602">
        <f>'메카니컬 신뢰성 시험_4안r1'!O61</f>
        <v>180000000</v>
      </c>
      <c r="D5" s="602">
        <f>'메카니컬 신뢰성 시험_4안r1'!M44</f>
        <v>99891981.832000002</v>
      </c>
      <c r="E5" s="710">
        <f t="shared" ref="E5:E8" si="0">(C5-D5)/C5</f>
        <v>0.44504454537777777</v>
      </c>
      <c r="F5" s="712">
        <v>45</v>
      </c>
    </row>
    <row r="6" spans="2:14" x14ac:dyDescent="0.3">
      <c r="B6" s="601" t="s">
        <v>527</v>
      </c>
      <c r="C6" s="602">
        <f>'환경 신뢰성 시험_4안r1'!O59</f>
        <v>159000000</v>
      </c>
      <c r="D6" s="602">
        <f>'환경 신뢰성 시험_4안r1'!M42</f>
        <v>80954481.832000002</v>
      </c>
      <c r="E6" s="710">
        <f t="shared" si="0"/>
        <v>0.49085231552201258</v>
      </c>
      <c r="F6" s="712">
        <v>45</v>
      </c>
    </row>
    <row r="7" spans="2:14" x14ac:dyDescent="0.3">
      <c r="B7" s="601" t="s">
        <v>529</v>
      </c>
      <c r="C7" s="602">
        <f>'내구 ES 수명 시험_4안r1'!O61</f>
        <v>204000000</v>
      </c>
      <c r="D7" s="602">
        <f>'내구 ES 수명 시험_4안r1'!M44</f>
        <v>102712101.332</v>
      </c>
      <c r="E7" s="710">
        <f t="shared" si="0"/>
        <v>0.49650930719607844</v>
      </c>
      <c r="F7" s="712">
        <v>75</v>
      </c>
    </row>
    <row r="8" spans="2:14" x14ac:dyDescent="0.3">
      <c r="B8" s="604" t="s">
        <v>530</v>
      </c>
      <c r="C8" s="605">
        <f>SUM(C4:C7)</f>
        <v>749000000</v>
      </c>
      <c r="D8" s="605">
        <f>SUM(D4:D7)</f>
        <v>393020741.99600005</v>
      </c>
      <c r="E8" s="711">
        <f t="shared" si="0"/>
        <v>0.47527270761548723</v>
      </c>
      <c r="F8" s="714">
        <f>SUM(F4:F7)</f>
        <v>235</v>
      </c>
    </row>
    <row r="10" spans="2:14" x14ac:dyDescent="0.3">
      <c r="C10" s="605">
        <v>617000000</v>
      </c>
      <c r="N10" s="732"/>
    </row>
    <row r="20" spans="2:7" ht="17.25" thickBot="1" x14ac:dyDescent="0.35">
      <c r="B20"/>
      <c r="C20">
        <v>1</v>
      </c>
      <c r="D20">
        <v>2</v>
      </c>
      <c r="E20">
        <v>3</v>
      </c>
      <c r="F20">
        <v>4</v>
      </c>
    </row>
    <row r="21" spans="2:7" x14ac:dyDescent="0.3">
      <c r="B21" s="144" t="s">
        <v>278</v>
      </c>
      <c r="C21" s="144">
        <v>1</v>
      </c>
      <c r="D21" s="144">
        <v>1</v>
      </c>
      <c r="E21" s="144">
        <v>1</v>
      </c>
      <c r="F21" s="144">
        <v>1</v>
      </c>
      <c r="G21">
        <f>SUM(C21:F21)</f>
        <v>4</v>
      </c>
    </row>
    <row r="22" spans="2:7" x14ac:dyDescent="0.3">
      <c r="B22" s="155" t="s">
        <v>422</v>
      </c>
      <c r="C22" s="155">
        <v>1</v>
      </c>
      <c r="D22" s="155">
        <v>1</v>
      </c>
      <c r="E22" s="155">
        <v>1</v>
      </c>
      <c r="F22" s="155">
        <v>2</v>
      </c>
      <c r="G22">
        <f t="shared" ref="G22:G24" si="1">SUM(C22:F22)</f>
        <v>5</v>
      </c>
    </row>
    <row r="23" spans="2:7" x14ac:dyDescent="0.3">
      <c r="B23" s="155" t="s">
        <v>316</v>
      </c>
      <c r="C23" s="155">
        <v>1</v>
      </c>
      <c r="D23" s="155">
        <v>1</v>
      </c>
      <c r="E23" s="155">
        <v>1</v>
      </c>
      <c r="F23" s="155">
        <v>1</v>
      </c>
      <c r="G23">
        <f t="shared" si="1"/>
        <v>4</v>
      </c>
    </row>
    <row r="24" spans="2:7" x14ac:dyDescent="0.3">
      <c r="B24" s="155" t="s">
        <v>554</v>
      </c>
      <c r="C24" s="184">
        <v>1</v>
      </c>
      <c r="D24" s="184">
        <v>1</v>
      </c>
      <c r="E24" s="184">
        <v>1</v>
      </c>
      <c r="F24" s="184">
        <v>1</v>
      </c>
      <c r="G24">
        <f t="shared" si="1"/>
        <v>4</v>
      </c>
    </row>
    <row r="25" spans="2:7" x14ac:dyDescent="0.3">
      <c r="B25"/>
    </row>
    <row r="26" spans="2:7" x14ac:dyDescent="0.3">
      <c r="B26"/>
    </row>
    <row r="27" spans="2:7" x14ac:dyDescent="0.3">
      <c r="B27"/>
    </row>
    <row r="28" spans="2:7" x14ac:dyDescent="0.3">
      <c r="B28" s="155" t="s">
        <v>278</v>
      </c>
      <c r="C28" s="783">
        <v>4</v>
      </c>
    </row>
    <row r="29" spans="2:7" x14ac:dyDescent="0.3">
      <c r="B29" s="155" t="s">
        <v>422</v>
      </c>
      <c r="C29" s="783">
        <v>5</v>
      </c>
    </row>
    <row r="30" spans="2:7" x14ac:dyDescent="0.3">
      <c r="B30" s="155" t="s">
        <v>316</v>
      </c>
      <c r="C30" s="783">
        <v>4</v>
      </c>
    </row>
    <row r="31" spans="2:7" x14ac:dyDescent="0.3">
      <c r="B31" s="155" t="s">
        <v>554</v>
      </c>
      <c r="C31" s="783">
        <v>4</v>
      </c>
    </row>
    <row r="32" spans="2:7" x14ac:dyDescent="0.3">
      <c r="B32"/>
    </row>
    <row r="33" spans="2:15" x14ac:dyDescent="0.3">
      <c r="B33"/>
      <c r="O33" s="600" t="s">
        <v>1208</v>
      </c>
    </row>
    <row r="34" spans="2:15" x14ac:dyDescent="0.3">
      <c r="B34" s="788"/>
      <c r="C34" s="788" t="s">
        <v>675</v>
      </c>
      <c r="D34" s="788" t="s">
        <v>676</v>
      </c>
      <c r="E34" s="788" t="s">
        <v>677</v>
      </c>
      <c r="F34" s="788" t="s">
        <v>678</v>
      </c>
      <c r="G34" s="788" t="s">
        <v>679</v>
      </c>
      <c r="I34" s="788" t="s">
        <v>532</v>
      </c>
      <c r="J34" s="788" t="s">
        <v>675</v>
      </c>
      <c r="K34" s="788" t="s">
        <v>676</v>
      </c>
      <c r="L34" s="788" t="s">
        <v>677</v>
      </c>
      <c r="M34" s="788" t="s">
        <v>678</v>
      </c>
      <c r="N34" s="788" t="s">
        <v>679</v>
      </c>
      <c r="O34" s="1315" t="s">
        <v>1212</v>
      </c>
    </row>
    <row r="35" spans="2:15" x14ac:dyDescent="0.3">
      <c r="B35" s="393" t="s">
        <v>425</v>
      </c>
      <c r="C35" s="155">
        <v>1</v>
      </c>
      <c r="D35" s="155">
        <v>1</v>
      </c>
      <c r="E35" s="155">
        <v>1</v>
      </c>
      <c r="F35" s="155"/>
      <c r="G35" s="704">
        <f>SUM(C35:F35)</f>
        <v>3</v>
      </c>
      <c r="I35" s="393" t="s">
        <v>425</v>
      </c>
      <c r="J35" s="155">
        <v>1</v>
      </c>
      <c r="K35" s="155">
        <v>1</v>
      </c>
      <c r="L35" s="155">
        <v>1</v>
      </c>
      <c r="M35" s="155"/>
      <c r="N35" s="704">
        <f>SUM(J35:M35)</f>
        <v>3</v>
      </c>
      <c r="O35" s="704" t="s">
        <v>1175</v>
      </c>
    </row>
    <row r="36" spans="2:15" x14ac:dyDescent="0.3">
      <c r="B36" s="789" t="s">
        <v>195</v>
      </c>
      <c r="C36" s="184">
        <v>1</v>
      </c>
      <c r="D36" s="184">
        <v>1</v>
      </c>
      <c r="E36" s="184">
        <v>1</v>
      </c>
      <c r="F36" s="184">
        <v>1</v>
      </c>
      <c r="G36" s="704">
        <f>SUM(C36:F36)</f>
        <v>4</v>
      </c>
      <c r="I36" s="789" t="s">
        <v>195</v>
      </c>
      <c r="J36" s="184">
        <v>1</v>
      </c>
      <c r="K36" s="184">
        <v>1</v>
      </c>
      <c r="L36" s="184">
        <v>1</v>
      </c>
      <c r="M36" s="184">
        <v>1</v>
      </c>
      <c r="N36" s="704">
        <f>SUM(J36:M36)</f>
        <v>4</v>
      </c>
      <c r="O36" s="704" t="s">
        <v>1210</v>
      </c>
    </row>
    <row r="37" spans="2:15" x14ac:dyDescent="0.3">
      <c r="B37" s="789" t="s">
        <v>461</v>
      </c>
      <c r="C37" s="184">
        <v>1</v>
      </c>
      <c r="D37" s="184">
        <v>1</v>
      </c>
      <c r="E37" s="184">
        <v>1</v>
      </c>
      <c r="F37" s="184">
        <v>2</v>
      </c>
      <c r="G37" s="704">
        <f>SUM(C37:F37)</f>
        <v>5</v>
      </c>
      <c r="I37" s="789" t="s">
        <v>461</v>
      </c>
      <c r="J37" s="184">
        <v>1</v>
      </c>
      <c r="K37" s="184">
        <v>1</v>
      </c>
      <c r="L37" s="184">
        <v>1</v>
      </c>
      <c r="M37" s="184">
        <v>2</v>
      </c>
      <c r="N37" s="704">
        <f>SUM(J37:M37)</f>
        <v>5</v>
      </c>
      <c r="O37" s="704" t="s">
        <v>1211</v>
      </c>
    </row>
    <row r="38" spans="2:15" x14ac:dyDescent="0.3">
      <c r="B38"/>
    </row>
    <row r="39" spans="2:15" x14ac:dyDescent="0.3">
      <c r="B39"/>
    </row>
    <row r="40" spans="2:15" ht="17.25" thickBot="1" x14ac:dyDescent="0.35">
      <c r="B40" s="393" t="s">
        <v>425</v>
      </c>
      <c r="C40" s="704">
        <v>3</v>
      </c>
    </row>
    <row r="41" spans="2:15" x14ac:dyDescent="0.3">
      <c r="B41" s="789" t="s">
        <v>195</v>
      </c>
      <c r="C41" s="704">
        <v>4</v>
      </c>
      <c r="I41" s="997" t="s">
        <v>836</v>
      </c>
      <c r="J41" s="998" t="s">
        <v>783</v>
      </c>
      <c r="K41" s="999">
        <v>3</v>
      </c>
      <c r="L41" s="999"/>
      <c r="M41" s="999" t="s">
        <v>1175</v>
      </c>
    </row>
    <row r="42" spans="2:15" x14ac:dyDescent="0.3">
      <c r="B42" s="789" t="s">
        <v>461</v>
      </c>
      <c r="C42" s="704">
        <v>5</v>
      </c>
      <c r="I42" s="704" t="s">
        <v>837</v>
      </c>
      <c r="J42" s="296" t="s">
        <v>785</v>
      </c>
      <c r="K42" s="1001">
        <v>4</v>
      </c>
      <c r="L42" s="1001"/>
      <c r="M42" s="1001" t="s">
        <v>1210</v>
      </c>
    </row>
    <row r="43" spans="2:15" ht="17.25" thickBot="1" x14ac:dyDescent="0.35">
      <c r="I43" s="793" t="s">
        <v>838</v>
      </c>
      <c r="J43" s="1003" t="s">
        <v>784</v>
      </c>
      <c r="K43" s="1004">
        <v>5</v>
      </c>
      <c r="L43" s="1004"/>
      <c r="M43" s="1004" t="s">
        <v>1211</v>
      </c>
    </row>
  </sheetData>
  <phoneticPr fontId="2" type="noConversion"/>
  <pageMargins left="0.7" right="0.7" top="0.75" bottom="0.75" header="0.3" footer="0.3"/>
  <pageSetup paperSize="9" orientation="portrait" verticalDpi="1200" r:id="rId1"/>
  <ignoredErrors>
    <ignoredError sqref="E8" formula="1"/>
  </ignoredError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DF031-486E-43F6-A0FC-B5C3B6CFC6CB}">
  <dimension ref="C4:Q29"/>
  <sheetViews>
    <sheetView workbookViewId="0">
      <selection activeCell="F21" sqref="F21"/>
    </sheetView>
  </sheetViews>
  <sheetFormatPr defaultRowHeight="16.5" x14ac:dyDescent="0.3"/>
  <cols>
    <col min="3" max="3" width="21" customWidth="1"/>
    <col min="4" max="4" width="17.25" bestFit="1" customWidth="1"/>
    <col min="5" max="5" width="14.125" bestFit="1" customWidth="1"/>
    <col min="6" max="6" width="13" bestFit="1" customWidth="1"/>
    <col min="8" max="8" width="19.125" bestFit="1" customWidth="1"/>
    <col min="9" max="9" width="48.375" bestFit="1" customWidth="1"/>
    <col min="12" max="12" width="19.75" bestFit="1" customWidth="1"/>
    <col min="13" max="13" width="13.375" bestFit="1" customWidth="1"/>
  </cols>
  <sheetData>
    <row r="4" spans="3:17" x14ac:dyDescent="0.3">
      <c r="M4">
        <f>800*10</f>
        <v>8000</v>
      </c>
    </row>
    <row r="7" spans="3:17" x14ac:dyDescent="0.3">
      <c r="D7" s="1506" t="s">
        <v>748</v>
      </c>
      <c r="E7" s="1506"/>
      <c r="F7" s="1506"/>
      <c r="G7" s="1506"/>
      <c r="H7" s="1506"/>
      <c r="L7" t="s">
        <v>747</v>
      </c>
    </row>
    <row r="8" spans="3:17" x14ac:dyDescent="0.3">
      <c r="D8" t="s">
        <v>344</v>
      </c>
      <c r="E8" t="s">
        <v>346</v>
      </c>
      <c r="F8" t="s">
        <v>470</v>
      </c>
      <c r="G8" s="715" t="s">
        <v>738</v>
      </c>
      <c r="H8" t="s">
        <v>741</v>
      </c>
      <c r="I8" t="s">
        <v>743</v>
      </c>
      <c r="J8" t="s">
        <v>745</v>
      </c>
      <c r="K8" t="s">
        <v>344</v>
      </c>
      <c r="L8" t="s">
        <v>346</v>
      </c>
      <c r="M8" t="s">
        <v>749</v>
      </c>
      <c r="N8" t="s">
        <v>751</v>
      </c>
      <c r="O8" t="s">
        <v>752</v>
      </c>
    </row>
    <row r="9" spans="3:17" x14ac:dyDescent="0.3">
      <c r="C9" t="s">
        <v>195</v>
      </c>
      <c r="D9" t="s">
        <v>740</v>
      </c>
      <c r="E9" t="s">
        <v>736</v>
      </c>
      <c r="F9" t="s">
        <v>737</v>
      </c>
      <c r="G9" t="s">
        <v>739</v>
      </c>
      <c r="H9" t="s">
        <v>742</v>
      </c>
      <c r="I9" t="s">
        <v>744</v>
      </c>
      <c r="J9" t="s">
        <v>746</v>
      </c>
      <c r="L9" t="s">
        <v>1075</v>
      </c>
      <c r="M9" t="s">
        <v>750</v>
      </c>
      <c r="N9">
        <f>10000/0.95/0.86/1.73/220</f>
        <v>32.159490490760255</v>
      </c>
      <c r="O9">
        <f>15000/0.95/0.86/1.73/380</f>
        <v>27.927978584081277</v>
      </c>
      <c r="Q9" t="s">
        <v>1073</v>
      </c>
    </row>
    <row r="10" spans="3:17" x14ac:dyDescent="0.3">
      <c r="C10" t="s">
        <v>461</v>
      </c>
      <c r="D10" t="s">
        <v>740</v>
      </c>
      <c r="E10" t="s">
        <v>736</v>
      </c>
      <c r="F10" t="s">
        <v>737</v>
      </c>
      <c r="G10" t="s">
        <v>739</v>
      </c>
      <c r="H10" t="s">
        <v>742</v>
      </c>
      <c r="I10" t="s">
        <v>744</v>
      </c>
      <c r="J10" t="s">
        <v>746</v>
      </c>
      <c r="L10" t="s">
        <v>1075</v>
      </c>
      <c r="M10" t="s">
        <v>750</v>
      </c>
      <c r="N10">
        <f>10000/0.95/0.86/1.73/220</f>
        <v>32.159490490760255</v>
      </c>
      <c r="O10">
        <f>15000/0.95/0.86/1.73/380</f>
        <v>27.927978584081277</v>
      </c>
    </row>
    <row r="11" spans="3:17" x14ac:dyDescent="0.3">
      <c r="C11" t="s">
        <v>753</v>
      </c>
      <c r="D11" t="s">
        <v>1083</v>
      </c>
      <c r="E11" t="s">
        <v>1084</v>
      </c>
      <c r="F11" t="s">
        <v>1085</v>
      </c>
      <c r="I11" t="s">
        <v>1077</v>
      </c>
      <c r="J11" t="s">
        <v>1078</v>
      </c>
      <c r="K11">
        <f>230*4.1</f>
        <v>942.99999999999989</v>
      </c>
      <c r="L11" t="s">
        <v>1074</v>
      </c>
      <c r="M11" t="s">
        <v>1076</v>
      </c>
    </row>
    <row r="12" spans="3:17" x14ac:dyDescent="0.3">
      <c r="C12" t="s">
        <v>651</v>
      </c>
      <c r="I12" t="s">
        <v>1100</v>
      </c>
      <c r="J12" t="s">
        <v>1099</v>
      </c>
      <c r="K12" t="s">
        <v>1101</v>
      </c>
      <c r="L12" t="s">
        <v>1091</v>
      </c>
      <c r="M12" t="s">
        <v>1096</v>
      </c>
    </row>
    <row r="13" spans="3:17" x14ac:dyDescent="0.3">
      <c r="C13" t="s">
        <v>650</v>
      </c>
      <c r="I13" t="s">
        <v>1094</v>
      </c>
      <c r="J13" t="s">
        <v>1093</v>
      </c>
      <c r="K13" t="s">
        <v>1095</v>
      </c>
      <c r="L13" t="s">
        <v>1091</v>
      </c>
      <c r="M13" t="s">
        <v>1096</v>
      </c>
    </row>
    <row r="14" spans="3:17" x14ac:dyDescent="0.3">
      <c r="C14" t="s">
        <v>1090</v>
      </c>
      <c r="K14">
        <v>600</v>
      </c>
      <c r="L14" t="s">
        <v>1091</v>
      </c>
      <c r="M14" t="s">
        <v>1092</v>
      </c>
    </row>
    <row r="15" spans="3:17" x14ac:dyDescent="0.3">
      <c r="C15" t="s">
        <v>786</v>
      </c>
      <c r="K15">
        <v>16</v>
      </c>
      <c r="L15" t="s">
        <v>1081</v>
      </c>
      <c r="M15" t="s">
        <v>1082</v>
      </c>
    </row>
    <row r="16" spans="3:17" x14ac:dyDescent="0.3">
      <c r="C16" t="s">
        <v>754</v>
      </c>
      <c r="J16" t="s">
        <v>1097</v>
      </c>
      <c r="K16">
        <v>25</v>
      </c>
      <c r="L16" t="s">
        <v>1091</v>
      </c>
      <c r="M16" t="s">
        <v>1098</v>
      </c>
    </row>
    <row r="17" spans="3:13" x14ac:dyDescent="0.3">
      <c r="C17" t="s">
        <v>336</v>
      </c>
      <c r="J17" t="s">
        <v>1102</v>
      </c>
      <c r="K17">
        <v>1200</v>
      </c>
      <c r="L17" t="s">
        <v>1091</v>
      </c>
      <c r="M17" t="s">
        <v>1103</v>
      </c>
    </row>
    <row r="18" spans="3:13" x14ac:dyDescent="0.3">
      <c r="C18">
        <v>7510</v>
      </c>
      <c r="I18" t="s">
        <v>1106</v>
      </c>
      <c r="J18" t="s">
        <v>1105</v>
      </c>
      <c r="K18" t="s">
        <v>1107</v>
      </c>
      <c r="L18" t="s">
        <v>1091</v>
      </c>
      <c r="M18">
        <f>60/220/0.9</f>
        <v>0.30303030303030298</v>
      </c>
    </row>
    <row r="22" spans="3:13" x14ac:dyDescent="0.3">
      <c r="F22">
        <v>32</v>
      </c>
      <c r="K22">
        <f>230*4.1</f>
        <v>942.99999999999989</v>
      </c>
    </row>
    <row r="23" spans="3:13" x14ac:dyDescent="0.3">
      <c r="C23" s="1156" t="s">
        <v>532</v>
      </c>
      <c r="D23" s="1156" t="s">
        <v>1110</v>
      </c>
      <c r="E23" s="1222" t="s">
        <v>1112</v>
      </c>
      <c r="F23" s="1221" t="s">
        <v>1120</v>
      </c>
    </row>
    <row r="24" spans="3:13" x14ac:dyDescent="0.3">
      <c r="C24" s="1156" t="s">
        <v>1086</v>
      </c>
      <c r="D24" s="1220" t="s">
        <v>1115</v>
      </c>
      <c r="E24" s="1220" t="s">
        <v>1111</v>
      </c>
      <c r="F24" s="1223">
        <f>$F$22*2</f>
        <v>64</v>
      </c>
      <c r="H24" t="s">
        <v>1119</v>
      </c>
    </row>
    <row r="25" spans="3:13" x14ac:dyDescent="0.3">
      <c r="C25" s="1156" t="s">
        <v>1087</v>
      </c>
      <c r="D25" s="1220" t="s">
        <v>1114</v>
      </c>
      <c r="E25" s="1220" t="s">
        <v>1111</v>
      </c>
      <c r="F25" s="1223">
        <f t="shared" ref="F25:F26" si="0">$F$22*2</f>
        <v>64</v>
      </c>
    </row>
    <row r="26" spans="3:13" x14ac:dyDescent="0.3">
      <c r="C26" s="1156" t="s">
        <v>1088</v>
      </c>
      <c r="D26" s="1220" t="s">
        <v>1114</v>
      </c>
      <c r="E26" s="1220" t="s">
        <v>1111</v>
      </c>
      <c r="F26" s="1223">
        <f t="shared" si="0"/>
        <v>64</v>
      </c>
    </row>
    <row r="27" spans="3:13" x14ac:dyDescent="0.3">
      <c r="C27" s="1156" t="s">
        <v>1089</v>
      </c>
      <c r="D27" s="1220" t="s">
        <v>1113</v>
      </c>
      <c r="E27" s="1220" t="s">
        <v>1116</v>
      </c>
      <c r="F27" s="1223">
        <f>$F$22*3</f>
        <v>96</v>
      </c>
      <c r="I27" t="s">
        <v>1117</v>
      </c>
    </row>
    <row r="28" spans="3:13" x14ac:dyDescent="0.3">
      <c r="D28" s="370"/>
      <c r="I28" t="s">
        <v>1118</v>
      </c>
    </row>
    <row r="29" spans="3:13" x14ac:dyDescent="0.3">
      <c r="I29">
        <f>18*8/15</f>
        <v>9.6</v>
      </c>
    </row>
  </sheetData>
  <mergeCells count="1">
    <mergeCell ref="D7:H7"/>
  </mergeCells>
  <phoneticPr fontId="2" type="noConversion"/>
  <hyperlinks>
    <hyperlink ref="G8" r:id="rId1" xr:uid="{4C41D69C-DAB8-48DD-BAA7-EFC5D070BFF0}"/>
  </hyperlinks>
  <pageMargins left="0.7" right="0.7" top="0.75" bottom="0.75" header="0.3" footer="0.3"/>
  <pageSetup paperSize="9" orientation="portrait" verticalDpi="1200" r:id="rId2"/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51BE-75C0-4EE4-88E6-E151844532D0}">
  <dimension ref="B1:P38"/>
  <sheetViews>
    <sheetView topLeftCell="A16" workbookViewId="0">
      <selection activeCell="G32" sqref="G32"/>
    </sheetView>
  </sheetViews>
  <sheetFormatPr defaultRowHeight="16.5" x14ac:dyDescent="0.3"/>
  <cols>
    <col min="2" max="2" width="34.375" customWidth="1"/>
    <col min="3" max="3" width="21.875" bestFit="1" customWidth="1"/>
    <col min="4" max="4" width="34.375" customWidth="1"/>
    <col min="5" max="5" width="21.875" style="1026" customWidth="1"/>
    <col min="6" max="6" width="12.5" bestFit="1" customWidth="1"/>
    <col min="7" max="7" width="19.25" bestFit="1" customWidth="1"/>
    <col min="8" max="8" width="5" customWidth="1"/>
    <col min="9" max="9" width="47" bestFit="1" customWidth="1"/>
    <col min="10" max="10" width="13" bestFit="1" customWidth="1"/>
    <col min="11" max="11" width="20" bestFit="1" customWidth="1"/>
    <col min="12" max="12" width="15.875" bestFit="1" customWidth="1"/>
    <col min="13" max="13" width="15.25" bestFit="1" customWidth="1"/>
    <col min="14" max="14" width="9.625" bestFit="1" customWidth="1"/>
    <col min="15" max="15" width="9.375" bestFit="1" customWidth="1"/>
    <col min="16" max="16" width="10.875" bestFit="1" customWidth="1"/>
  </cols>
  <sheetData>
    <row r="1" spans="2:16" x14ac:dyDescent="0.3">
      <c r="O1" s="732"/>
      <c r="P1" s="732"/>
    </row>
    <row r="2" spans="2:16" x14ac:dyDescent="0.3">
      <c r="B2" s="704"/>
      <c r="C2" s="704"/>
      <c r="D2" s="704"/>
      <c r="E2" s="783"/>
      <c r="F2" s="704"/>
      <c r="G2" s="704"/>
      <c r="H2" s="704" t="s">
        <v>1038</v>
      </c>
      <c r="I2" s="704" t="s">
        <v>1036</v>
      </c>
      <c r="J2" s="704" t="s">
        <v>934</v>
      </c>
      <c r="K2" s="704" t="s">
        <v>935</v>
      </c>
      <c r="L2" s="704" t="s">
        <v>936</v>
      </c>
      <c r="M2" s="704" t="s">
        <v>937</v>
      </c>
      <c r="N2" s="783" t="s">
        <v>1039</v>
      </c>
      <c r="O2" s="732"/>
      <c r="P2" s="732"/>
    </row>
    <row r="3" spans="2:16" x14ac:dyDescent="0.3">
      <c r="B3" s="705" t="s">
        <v>616</v>
      </c>
      <c r="C3" s="184" t="s">
        <v>515</v>
      </c>
      <c r="D3" s="705" t="s">
        <v>616</v>
      </c>
      <c r="E3" s="1507" t="s">
        <v>1012</v>
      </c>
      <c r="F3" s="184" t="s">
        <v>636</v>
      </c>
      <c r="G3" s="184" t="s">
        <v>636</v>
      </c>
      <c r="H3" s="155">
        <v>2</v>
      </c>
      <c r="I3" s="705" t="s">
        <v>573</v>
      </c>
      <c r="J3" s="1511" t="s">
        <v>938</v>
      </c>
      <c r="K3" s="1509"/>
      <c r="L3" s="1509"/>
      <c r="M3" s="1509" t="s">
        <v>938</v>
      </c>
      <c r="N3" s="1509">
        <v>2</v>
      </c>
      <c r="O3" s="732">
        <v>750000</v>
      </c>
      <c r="P3" s="732">
        <f>N3*O3</f>
        <v>1500000</v>
      </c>
    </row>
    <row r="4" spans="2:16" x14ac:dyDescent="0.3">
      <c r="B4" s="705" t="s">
        <v>634</v>
      </c>
      <c r="C4" s="184" t="s">
        <v>514</v>
      </c>
      <c r="D4" s="705" t="s">
        <v>634</v>
      </c>
      <c r="E4" s="1508"/>
      <c r="F4" s="184" t="s">
        <v>636</v>
      </c>
      <c r="G4" s="184" t="s">
        <v>636</v>
      </c>
      <c r="H4" s="155"/>
      <c r="I4" s="705" t="s">
        <v>574</v>
      </c>
      <c r="J4" s="1512"/>
      <c r="K4" s="1510"/>
      <c r="L4" s="1510"/>
      <c r="M4" s="1510"/>
      <c r="N4" s="1510"/>
      <c r="O4" s="732"/>
      <c r="P4" s="732"/>
    </row>
    <row r="5" spans="2:16" x14ac:dyDescent="0.3">
      <c r="B5" s="705" t="s">
        <v>587</v>
      </c>
      <c r="C5" s="184" t="s">
        <v>728</v>
      </c>
      <c r="D5" s="705" t="s">
        <v>587</v>
      </c>
      <c r="E5" s="443" t="s">
        <v>728</v>
      </c>
      <c r="F5" s="184" t="s">
        <v>636</v>
      </c>
      <c r="G5" s="184" t="s">
        <v>636</v>
      </c>
      <c r="H5" s="155">
        <v>4</v>
      </c>
      <c r="I5" s="987" t="s">
        <v>589</v>
      </c>
      <c r="J5" s="184" t="s">
        <v>938</v>
      </c>
      <c r="K5" s="184" t="s">
        <v>938</v>
      </c>
      <c r="L5" s="184" t="s">
        <v>938</v>
      </c>
      <c r="M5" s="184" t="s">
        <v>938</v>
      </c>
      <c r="N5" s="184">
        <v>8</v>
      </c>
      <c r="O5" s="732">
        <v>21000</v>
      </c>
      <c r="P5" s="732">
        <f t="shared" ref="P5:P12" si="0">N5*O5</f>
        <v>168000</v>
      </c>
    </row>
    <row r="6" spans="2:16" x14ac:dyDescent="0.3">
      <c r="B6" s="705" t="s">
        <v>355</v>
      </c>
      <c r="C6" s="184" t="s">
        <v>721</v>
      </c>
      <c r="D6" s="705" t="s">
        <v>1026</v>
      </c>
      <c r="E6" s="443" t="s">
        <v>1028</v>
      </c>
      <c r="F6" s="184" t="s">
        <v>636</v>
      </c>
      <c r="G6" s="184" t="s">
        <v>636</v>
      </c>
      <c r="H6" s="155">
        <v>4</v>
      </c>
      <c r="I6" s="987" t="s">
        <v>571</v>
      </c>
      <c r="J6" s="184" t="s">
        <v>938</v>
      </c>
      <c r="K6" s="184" t="s">
        <v>938</v>
      </c>
      <c r="L6" s="184" t="s">
        <v>938</v>
      </c>
      <c r="M6" s="184" t="s">
        <v>938</v>
      </c>
      <c r="N6" s="184">
        <v>7</v>
      </c>
      <c r="O6" s="732">
        <v>7500</v>
      </c>
      <c r="P6" s="732">
        <f t="shared" si="0"/>
        <v>52500</v>
      </c>
    </row>
    <row r="7" spans="2:16" x14ac:dyDescent="0.3">
      <c r="B7" s="705" t="s">
        <v>357</v>
      </c>
      <c r="C7" s="184" t="s">
        <v>721</v>
      </c>
      <c r="D7" s="705" t="s">
        <v>357</v>
      </c>
      <c r="E7" s="443" t="s">
        <v>1028</v>
      </c>
      <c r="F7" s="184" t="s">
        <v>636</v>
      </c>
      <c r="G7" s="184" t="s">
        <v>636</v>
      </c>
      <c r="H7" s="155">
        <v>4</v>
      </c>
      <c r="I7" s="987" t="s">
        <v>939</v>
      </c>
      <c r="J7" s="184" t="s">
        <v>938</v>
      </c>
      <c r="K7" s="184" t="s">
        <v>938</v>
      </c>
      <c r="L7" s="184" t="s">
        <v>938</v>
      </c>
      <c r="M7" s="184" t="s">
        <v>938</v>
      </c>
      <c r="N7" s="184">
        <v>7</v>
      </c>
      <c r="O7" s="732">
        <v>7500</v>
      </c>
      <c r="P7" s="732">
        <f t="shared" si="0"/>
        <v>52500</v>
      </c>
    </row>
    <row r="8" spans="2:16" x14ac:dyDescent="0.3">
      <c r="B8" s="705"/>
      <c r="C8" s="184"/>
      <c r="D8" s="707" t="s">
        <v>995</v>
      </c>
      <c r="E8" s="654" t="s">
        <v>1035</v>
      </c>
      <c r="F8" s="654" t="s">
        <v>636</v>
      </c>
      <c r="G8" s="654" t="s">
        <v>636</v>
      </c>
      <c r="H8" s="651">
        <v>1</v>
      </c>
      <c r="I8" s="1023" t="s">
        <v>986</v>
      </c>
      <c r="J8" s="184" t="s">
        <v>938</v>
      </c>
      <c r="K8" s="184"/>
      <c r="L8" s="184"/>
      <c r="M8" s="184"/>
      <c r="N8" s="184">
        <v>3</v>
      </c>
      <c r="O8" s="732">
        <v>7500</v>
      </c>
      <c r="P8" s="732">
        <f t="shared" si="0"/>
        <v>22500</v>
      </c>
    </row>
    <row r="9" spans="2:16" x14ac:dyDescent="0.3">
      <c r="B9" s="705"/>
      <c r="C9" s="184"/>
      <c r="D9" s="707" t="s">
        <v>994</v>
      </c>
      <c r="E9" s="654" t="s">
        <v>1034</v>
      </c>
      <c r="F9" s="654" t="s">
        <v>636</v>
      </c>
      <c r="G9" s="654" t="s">
        <v>636</v>
      </c>
      <c r="H9" s="651">
        <v>1</v>
      </c>
      <c r="I9" s="1023" t="s">
        <v>986</v>
      </c>
      <c r="J9" s="184" t="s">
        <v>938</v>
      </c>
      <c r="K9" s="184"/>
      <c r="L9" s="184"/>
      <c r="M9" s="184"/>
      <c r="N9" s="184">
        <v>3</v>
      </c>
      <c r="O9" s="732">
        <v>7500</v>
      </c>
      <c r="P9" s="732">
        <f t="shared" si="0"/>
        <v>22500</v>
      </c>
    </row>
    <row r="10" spans="2:16" x14ac:dyDescent="0.3">
      <c r="B10" s="705" t="s">
        <v>354</v>
      </c>
      <c r="C10" s="184" t="s">
        <v>724</v>
      </c>
      <c r="D10" s="705" t="s">
        <v>1027</v>
      </c>
      <c r="E10" s="443" t="s">
        <v>1029</v>
      </c>
      <c r="F10" s="184" t="s">
        <v>636</v>
      </c>
      <c r="G10" s="184" t="s">
        <v>636</v>
      </c>
      <c r="H10" s="155">
        <v>3</v>
      </c>
      <c r="I10" s="987" t="s">
        <v>564</v>
      </c>
      <c r="J10" s="184" t="s">
        <v>938</v>
      </c>
      <c r="K10" s="783" t="s">
        <v>938</v>
      </c>
      <c r="L10" s="783" t="s">
        <v>938</v>
      </c>
      <c r="M10" s="783"/>
      <c r="N10" s="783">
        <v>6</v>
      </c>
      <c r="O10" s="732">
        <v>7500</v>
      </c>
      <c r="P10" s="732">
        <f t="shared" si="0"/>
        <v>45000</v>
      </c>
    </row>
    <row r="11" spans="2:16" x14ac:dyDescent="0.3">
      <c r="B11" s="705" t="s">
        <v>611</v>
      </c>
      <c r="C11" s="184" t="s">
        <v>722</v>
      </c>
      <c r="D11" s="705" t="s">
        <v>638</v>
      </c>
      <c r="E11" s="783" t="s">
        <v>1032</v>
      </c>
      <c r="F11" s="185" t="s">
        <v>636</v>
      </c>
      <c r="G11" s="184" t="s">
        <v>636</v>
      </c>
      <c r="H11" s="155">
        <v>1</v>
      </c>
      <c r="I11" s="987" t="s">
        <v>565</v>
      </c>
      <c r="J11" s="184" t="s">
        <v>938</v>
      </c>
      <c r="K11" s="783"/>
      <c r="L11" s="783"/>
      <c r="M11" s="783"/>
      <c r="N11" s="783">
        <v>100</v>
      </c>
      <c r="O11" s="732">
        <v>300</v>
      </c>
      <c r="P11" s="732">
        <f t="shared" si="0"/>
        <v>30000</v>
      </c>
    </row>
    <row r="12" spans="2:16" x14ac:dyDescent="0.3">
      <c r="B12" s="705" t="s">
        <v>612</v>
      </c>
      <c r="C12" s="184" t="s">
        <v>723</v>
      </c>
      <c r="D12" s="705" t="s">
        <v>637</v>
      </c>
      <c r="E12" s="783" t="s">
        <v>1033</v>
      </c>
      <c r="F12" s="185" t="s">
        <v>636</v>
      </c>
      <c r="G12" s="184" t="s">
        <v>636</v>
      </c>
      <c r="H12" s="155">
        <v>1</v>
      </c>
      <c r="I12" s="987" t="s">
        <v>566</v>
      </c>
      <c r="J12" s="184" t="s">
        <v>938</v>
      </c>
      <c r="K12" s="783"/>
      <c r="L12" s="783"/>
      <c r="M12" s="783"/>
      <c r="N12" s="783">
        <v>100</v>
      </c>
      <c r="O12" s="732">
        <v>300</v>
      </c>
      <c r="P12" s="732">
        <f t="shared" si="0"/>
        <v>30000</v>
      </c>
    </row>
    <row r="13" spans="2:16" x14ac:dyDescent="0.3">
      <c r="B13" s="1115" t="s">
        <v>1037</v>
      </c>
      <c r="O13" s="732"/>
      <c r="P13" s="732"/>
    </row>
    <row r="14" spans="2:16" x14ac:dyDescent="0.3">
      <c r="O14" s="732"/>
      <c r="P14" s="732"/>
    </row>
    <row r="15" spans="2:16" x14ac:dyDescent="0.3">
      <c r="O15" s="732"/>
      <c r="P15" s="732"/>
    </row>
    <row r="16" spans="2:16" x14ac:dyDescent="0.3">
      <c r="O16" s="732"/>
      <c r="P16" s="732"/>
    </row>
    <row r="17" spans="4:16" x14ac:dyDescent="0.3">
      <c r="O17" s="732"/>
      <c r="P17" s="732">
        <f>SUM(P2:P16)</f>
        <v>1923000</v>
      </c>
    </row>
    <row r="18" spans="4:16" x14ac:dyDescent="0.3">
      <c r="G18" t="s">
        <v>1040</v>
      </c>
    </row>
    <row r="19" spans="4:16" ht="16.5" customHeight="1" x14ac:dyDescent="0.3">
      <c r="G19" s="1110" t="s">
        <v>1011</v>
      </c>
      <c r="H19" s="704">
        <v>2</v>
      </c>
    </row>
    <row r="20" spans="4:16" x14ac:dyDescent="0.3">
      <c r="G20" s="184" t="s">
        <v>728</v>
      </c>
      <c r="H20" s="704">
        <v>4</v>
      </c>
    </row>
    <row r="21" spans="4:16" x14ac:dyDescent="0.3">
      <c r="G21" s="184" t="s">
        <v>1028</v>
      </c>
      <c r="H21" s="704">
        <v>8</v>
      </c>
    </row>
    <row r="22" spans="4:16" x14ac:dyDescent="0.3">
      <c r="G22" s="654" t="s">
        <v>1035</v>
      </c>
      <c r="H22" s="704">
        <v>1</v>
      </c>
    </row>
    <row r="23" spans="4:16" x14ac:dyDescent="0.3">
      <c r="G23" s="654" t="s">
        <v>1034</v>
      </c>
      <c r="H23" s="704">
        <v>1</v>
      </c>
    </row>
    <row r="24" spans="4:16" x14ac:dyDescent="0.3">
      <c r="G24" s="184" t="s">
        <v>1029</v>
      </c>
      <c r="H24" s="704">
        <v>3</v>
      </c>
    </row>
    <row r="25" spans="4:16" x14ac:dyDescent="0.3">
      <c r="G25" s="783" t="s">
        <v>1032</v>
      </c>
      <c r="H25" s="704">
        <v>5</v>
      </c>
    </row>
    <row r="26" spans="4:16" x14ac:dyDescent="0.3">
      <c r="G26" s="783" t="s">
        <v>1033</v>
      </c>
      <c r="H26" s="704">
        <v>5</v>
      </c>
    </row>
    <row r="28" spans="4:16" x14ac:dyDescent="0.3">
      <c r="G28" t="s">
        <v>1041</v>
      </c>
    </row>
    <row r="29" spans="4:16" ht="33" x14ac:dyDescent="0.3">
      <c r="D29" s="705" t="s">
        <v>616</v>
      </c>
      <c r="F29" s="704">
        <v>1</v>
      </c>
      <c r="G29" s="1110" t="s">
        <v>1011</v>
      </c>
      <c r="H29" s="704">
        <v>2</v>
      </c>
      <c r="I29" s="991" t="s">
        <v>1042</v>
      </c>
    </row>
    <row r="30" spans="4:16" x14ac:dyDescent="0.3">
      <c r="D30" s="705" t="s">
        <v>634</v>
      </c>
      <c r="F30" s="704">
        <v>2</v>
      </c>
      <c r="G30" s="184" t="s">
        <v>728</v>
      </c>
      <c r="H30" s="704">
        <v>8</v>
      </c>
      <c r="I30" s="705" t="s">
        <v>589</v>
      </c>
    </row>
    <row r="31" spans="4:16" ht="33" x14ac:dyDescent="0.3">
      <c r="D31" s="705" t="s">
        <v>587</v>
      </c>
      <c r="F31" s="704">
        <v>3</v>
      </c>
      <c r="G31" s="184" t="s">
        <v>1028</v>
      </c>
      <c r="H31" s="704">
        <v>14</v>
      </c>
      <c r="I31" s="1116" t="s">
        <v>1043</v>
      </c>
    </row>
    <row r="32" spans="4:16" x14ac:dyDescent="0.3">
      <c r="D32" s="705" t="s">
        <v>1026</v>
      </c>
      <c r="F32" s="704">
        <v>4</v>
      </c>
      <c r="G32" s="654" t="s">
        <v>1035</v>
      </c>
      <c r="H32" s="704">
        <v>3</v>
      </c>
      <c r="I32" s="1023" t="s">
        <v>986</v>
      </c>
    </row>
    <row r="33" spans="4:9" x14ac:dyDescent="0.3">
      <c r="D33" s="705" t="s">
        <v>357</v>
      </c>
      <c r="F33" s="704">
        <v>5</v>
      </c>
      <c r="G33" s="654" t="s">
        <v>1034</v>
      </c>
      <c r="H33" s="704">
        <v>3</v>
      </c>
      <c r="I33" s="1023" t="s">
        <v>986</v>
      </c>
    </row>
    <row r="34" spans="4:9" x14ac:dyDescent="0.3">
      <c r="D34" s="707" t="s">
        <v>995</v>
      </c>
      <c r="F34" s="704">
        <v>6</v>
      </c>
      <c r="G34" s="184" t="s">
        <v>1029</v>
      </c>
      <c r="H34" s="704">
        <v>6</v>
      </c>
      <c r="I34" s="987" t="s">
        <v>564</v>
      </c>
    </row>
    <row r="35" spans="4:9" x14ac:dyDescent="0.3">
      <c r="D35" s="707" t="s">
        <v>994</v>
      </c>
      <c r="F35" s="704">
        <v>7</v>
      </c>
      <c r="G35" s="783" t="s">
        <v>1032</v>
      </c>
      <c r="H35" s="704">
        <v>100</v>
      </c>
      <c r="I35" s="987" t="s">
        <v>565</v>
      </c>
    </row>
    <row r="36" spans="4:9" x14ac:dyDescent="0.3">
      <c r="D36" s="705" t="s">
        <v>1027</v>
      </c>
      <c r="F36" s="704">
        <v>8</v>
      </c>
      <c r="G36" s="783" t="s">
        <v>1033</v>
      </c>
      <c r="H36" s="704">
        <v>100</v>
      </c>
      <c r="I36" s="987" t="s">
        <v>566</v>
      </c>
    </row>
    <row r="37" spans="4:9" x14ac:dyDescent="0.3">
      <c r="D37" s="705" t="s">
        <v>638</v>
      </c>
    </row>
    <row r="38" spans="4:9" x14ac:dyDescent="0.3">
      <c r="D38" s="705" t="s">
        <v>637</v>
      </c>
    </row>
  </sheetData>
  <mergeCells count="6">
    <mergeCell ref="E3:E4"/>
    <mergeCell ref="M3:M4"/>
    <mergeCell ref="J3:J4"/>
    <mergeCell ref="N3:N4"/>
    <mergeCell ref="L3:L4"/>
    <mergeCell ref="K3:K4"/>
  </mergeCells>
  <phoneticPr fontId="2" type="noConversion"/>
  <pageMargins left="0.7" right="0.7" top="0.75" bottom="0.75" header="0.3" footer="0.3"/>
  <pageSetup paperSize="9" orientation="portrait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5414-9E91-4567-8EF9-F47E04CFD001}">
  <dimension ref="B1:N27"/>
  <sheetViews>
    <sheetView zoomScale="85" zoomScaleNormal="85" workbookViewId="0">
      <selection activeCell="N3" sqref="N3:N4"/>
    </sheetView>
  </sheetViews>
  <sheetFormatPr defaultRowHeight="16.5" x14ac:dyDescent="0.3"/>
  <cols>
    <col min="1" max="1" width="2.5" customWidth="1"/>
    <col min="2" max="2" width="16.125" customWidth="1"/>
    <col min="3" max="3" width="14.625" customWidth="1"/>
    <col min="4" max="4" width="11.125" bestFit="1" customWidth="1"/>
    <col min="5" max="5" width="13" bestFit="1" customWidth="1"/>
    <col min="7" max="7" width="14.625" bestFit="1" customWidth="1"/>
    <col min="8" max="8" width="10.375" customWidth="1"/>
    <col min="9" max="9" width="10.875" bestFit="1" customWidth="1"/>
    <col min="10" max="10" width="32.625" bestFit="1" customWidth="1"/>
    <col min="11" max="11" width="42.875" bestFit="1" customWidth="1"/>
    <col min="12" max="12" width="1.25" customWidth="1"/>
    <col min="13" max="14" width="33.875" customWidth="1"/>
  </cols>
  <sheetData>
    <row r="1" spans="2:14" ht="17.25" thickBot="1" x14ac:dyDescent="0.35">
      <c r="N1" t="s">
        <v>1000</v>
      </c>
    </row>
    <row r="2" spans="2:14" ht="17.25" thickBot="1" x14ac:dyDescent="0.35">
      <c r="B2" s="1102" t="s">
        <v>1016</v>
      </c>
      <c r="C2" s="1103" t="s">
        <v>1017</v>
      </c>
      <c r="D2" s="1103" t="s">
        <v>966</v>
      </c>
      <c r="E2" s="1103" t="s">
        <v>1003</v>
      </c>
      <c r="F2" s="1103" t="s">
        <v>967</v>
      </c>
      <c r="G2" s="1103" t="s">
        <v>968</v>
      </c>
      <c r="H2" s="1103" t="s">
        <v>1005</v>
      </c>
      <c r="I2" s="1103" t="s">
        <v>1006</v>
      </c>
      <c r="J2" s="1103" t="s">
        <v>1015</v>
      </c>
      <c r="K2" s="1103" t="s">
        <v>3</v>
      </c>
      <c r="L2" s="1104"/>
      <c r="M2" s="1105" t="s">
        <v>1010</v>
      </c>
      <c r="N2" s="1105" t="s">
        <v>1010</v>
      </c>
    </row>
    <row r="3" spans="2:14" x14ac:dyDescent="0.3">
      <c r="B3" s="1530" t="s">
        <v>964</v>
      </c>
      <c r="C3" s="1542" t="s">
        <v>965</v>
      </c>
      <c r="D3" s="1542" t="s">
        <v>969</v>
      </c>
      <c r="E3" s="1542" t="s">
        <v>970</v>
      </c>
      <c r="F3" s="997" t="s">
        <v>990</v>
      </c>
      <c r="G3" s="997" t="s">
        <v>971</v>
      </c>
      <c r="H3" s="1106">
        <f>(450)^2/40</f>
        <v>5062.5</v>
      </c>
      <c r="I3" s="1106">
        <f>450/40</f>
        <v>11.25</v>
      </c>
      <c r="J3" s="997" t="s">
        <v>355</v>
      </c>
      <c r="K3" s="1526" t="s">
        <v>1019</v>
      </c>
      <c r="L3" s="1093"/>
      <c r="M3" s="1539" t="s">
        <v>1023</v>
      </c>
      <c r="N3" s="1539" t="s">
        <v>1024</v>
      </c>
    </row>
    <row r="4" spans="2:14" x14ac:dyDescent="0.3">
      <c r="B4" s="1531"/>
      <c r="C4" s="1518"/>
      <c r="D4" s="1518"/>
      <c r="E4" s="1518"/>
      <c r="F4" s="704" t="s">
        <v>972</v>
      </c>
      <c r="G4" s="704" t="s">
        <v>971</v>
      </c>
      <c r="H4" s="1083">
        <f>(800)^2/40</f>
        <v>16000</v>
      </c>
      <c r="I4" s="1083">
        <f>800/40</f>
        <v>20</v>
      </c>
      <c r="J4" s="704" t="s">
        <v>355</v>
      </c>
      <c r="K4" s="1515"/>
      <c r="L4" s="1091"/>
      <c r="M4" s="1525"/>
      <c r="N4" s="1525"/>
    </row>
    <row r="5" spans="2:14" x14ac:dyDescent="0.3">
      <c r="B5" s="1531"/>
      <c r="C5" s="704" t="s">
        <v>973</v>
      </c>
      <c r="D5" s="704" t="s">
        <v>969</v>
      </c>
      <c r="E5" s="704" t="s">
        <v>1014</v>
      </c>
      <c r="F5" s="704" t="s">
        <v>974</v>
      </c>
      <c r="G5" s="704" t="s">
        <v>975</v>
      </c>
      <c r="H5" s="1084">
        <f>(12)^2/1000</f>
        <v>0.14399999999999999</v>
      </c>
      <c r="I5" s="1084">
        <f>12/1000</f>
        <v>1.2E-2</v>
      </c>
      <c r="J5" s="704" t="s">
        <v>1018</v>
      </c>
      <c r="K5" s="1527" t="s">
        <v>1020</v>
      </c>
      <c r="L5" s="1091"/>
      <c r="M5" s="1525" t="s">
        <v>1009</v>
      </c>
      <c r="N5" s="1525" t="s">
        <v>1025</v>
      </c>
    </row>
    <row r="6" spans="2:14" x14ac:dyDescent="0.3">
      <c r="B6" s="1531"/>
      <c r="C6" s="704" t="s">
        <v>976</v>
      </c>
      <c r="D6" s="704" t="s">
        <v>977</v>
      </c>
      <c r="E6" s="704" t="s">
        <v>1014</v>
      </c>
      <c r="F6" s="704" t="s">
        <v>974</v>
      </c>
      <c r="G6" s="704" t="s">
        <v>975</v>
      </c>
      <c r="H6" s="1084">
        <f>(12)^2/1000</f>
        <v>0.14399999999999999</v>
      </c>
      <c r="I6" s="1084">
        <f>12/1000</f>
        <v>1.2E-2</v>
      </c>
      <c r="J6" s="704" t="s">
        <v>1018</v>
      </c>
      <c r="K6" s="1528"/>
      <c r="L6" s="1091"/>
      <c r="M6" s="1525"/>
      <c r="N6" s="1525"/>
    </row>
    <row r="7" spans="2:14" x14ac:dyDescent="0.3">
      <c r="B7" s="1531"/>
      <c r="C7" s="704" t="s">
        <v>978</v>
      </c>
      <c r="D7" s="704" t="s">
        <v>979</v>
      </c>
      <c r="E7" s="704" t="s">
        <v>1014</v>
      </c>
      <c r="F7" s="704" t="s">
        <v>974</v>
      </c>
      <c r="G7" s="704" t="s">
        <v>975</v>
      </c>
      <c r="H7" s="1084">
        <f>(12)^2/1000</f>
        <v>0.14399999999999999</v>
      </c>
      <c r="I7" s="1084">
        <f>12/1000</f>
        <v>1.2E-2</v>
      </c>
      <c r="J7" s="704" t="s">
        <v>1018</v>
      </c>
      <c r="K7" s="1528"/>
      <c r="L7" s="1091"/>
      <c r="M7" s="1525"/>
      <c r="N7" s="1525"/>
    </row>
    <row r="8" spans="2:14" x14ac:dyDescent="0.3">
      <c r="B8" s="1531"/>
      <c r="C8" s="704" t="s">
        <v>980</v>
      </c>
      <c r="D8" s="704" t="s">
        <v>969</v>
      </c>
      <c r="E8" s="704" t="s">
        <v>1013</v>
      </c>
      <c r="F8" s="704" t="s">
        <v>981</v>
      </c>
      <c r="G8" s="704" t="s">
        <v>975</v>
      </c>
      <c r="H8" s="1084">
        <f>(24)^2/1000</f>
        <v>0.57599999999999996</v>
      </c>
      <c r="I8" s="1084">
        <f>24/1000</f>
        <v>2.4E-2</v>
      </c>
      <c r="J8" s="704" t="s">
        <v>1018</v>
      </c>
      <c r="K8" s="1528"/>
      <c r="L8" s="1091"/>
      <c r="M8" s="1525"/>
      <c r="N8" s="1525"/>
    </row>
    <row r="9" spans="2:14" x14ac:dyDescent="0.3">
      <c r="B9" s="1531"/>
      <c r="C9" s="704" t="s">
        <v>982</v>
      </c>
      <c r="D9" s="704" t="s">
        <v>983</v>
      </c>
      <c r="E9" s="704" t="s">
        <v>970</v>
      </c>
      <c r="F9" s="704" t="s">
        <v>974</v>
      </c>
      <c r="G9" s="704" t="s">
        <v>975</v>
      </c>
      <c r="H9" s="1084">
        <f>(12)^2/1000</f>
        <v>0.14399999999999999</v>
      </c>
      <c r="I9" s="1084">
        <f>12/1000</f>
        <v>1.2E-2</v>
      </c>
      <c r="J9" s="704" t="s">
        <v>1018</v>
      </c>
      <c r="K9" s="1528"/>
      <c r="L9" s="1091"/>
      <c r="M9" s="1525"/>
      <c r="N9" s="1525"/>
    </row>
    <row r="10" spans="2:14" x14ac:dyDescent="0.3">
      <c r="B10" s="1531"/>
      <c r="C10" s="704" t="s">
        <v>984</v>
      </c>
      <c r="D10" s="704" t="s">
        <v>974</v>
      </c>
      <c r="E10" s="704" t="s">
        <v>985</v>
      </c>
      <c r="F10" s="704" t="s">
        <v>974</v>
      </c>
      <c r="G10" s="704" t="s">
        <v>975</v>
      </c>
      <c r="H10" s="1084">
        <f>(12)^2/1000</f>
        <v>0.14399999999999999</v>
      </c>
      <c r="I10" s="1084">
        <f>12/1000</f>
        <v>1.2E-2</v>
      </c>
      <c r="J10" s="704" t="s">
        <v>1018</v>
      </c>
      <c r="K10" s="1529"/>
      <c r="L10" s="1091"/>
      <c r="M10" s="1525"/>
      <c r="N10" s="1525"/>
    </row>
    <row r="11" spans="2:14" x14ac:dyDescent="0.3">
      <c r="B11" s="1531"/>
      <c r="C11" s="704" t="s">
        <v>984</v>
      </c>
      <c r="D11" s="704" t="s">
        <v>974</v>
      </c>
      <c r="E11" s="704" t="s">
        <v>985</v>
      </c>
      <c r="F11" s="704" t="s">
        <v>990</v>
      </c>
      <c r="G11" s="704" t="s">
        <v>1030</v>
      </c>
      <c r="H11" s="1084">
        <f>(450)^2/400000000</f>
        <v>5.0624999999999997E-4</v>
      </c>
      <c r="I11" s="1109">
        <f>(450)/400000000</f>
        <v>1.125E-6</v>
      </c>
      <c r="J11" s="704" t="s">
        <v>1018</v>
      </c>
      <c r="K11" s="1108"/>
      <c r="L11" s="1091"/>
      <c r="M11" s="1107"/>
      <c r="N11" s="1107" t="s">
        <v>1032</v>
      </c>
    </row>
    <row r="12" spans="2:14" x14ac:dyDescent="0.3">
      <c r="B12" s="1531"/>
      <c r="C12" s="704" t="s">
        <v>984</v>
      </c>
      <c r="D12" s="704" t="s">
        <v>974</v>
      </c>
      <c r="E12" s="704" t="s">
        <v>985</v>
      </c>
      <c r="F12" s="704" t="s">
        <v>972</v>
      </c>
      <c r="G12" s="704" t="s">
        <v>1031</v>
      </c>
      <c r="H12" s="1084">
        <f>(800)^2/800000000</f>
        <v>8.0000000000000004E-4</v>
      </c>
      <c r="I12" s="1109">
        <f>(800)/800000000</f>
        <v>9.9999999999999995E-7</v>
      </c>
      <c r="J12" s="704" t="s">
        <v>1018</v>
      </c>
      <c r="K12" s="1108"/>
      <c r="L12" s="1091"/>
      <c r="M12" s="1107"/>
      <c r="N12" s="1107" t="s">
        <v>1033</v>
      </c>
    </row>
    <row r="13" spans="2:14" x14ac:dyDescent="0.3">
      <c r="B13" s="1531"/>
      <c r="C13" s="1516" t="s">
        <v>986</v>
      </c>
      <c r="D13" s="1516" t="s">
        <v>974</v>
      </c>
      <c r="E13" s="1516" t="s">
        <v>985</v>
      </c>
      <c r="F13" s="704" t="s">
        <v>974</v>
      </c>
      <c r="G13" s="704" t="s">
        <v>987</v>
      </c>
      <c r="H13" s="1086">
        <f>(12)^2/1.2</f>
        <v>120</v>
      </c>
      <c r="I13" s="1086">
        <v>10</v>
      </c>
      <c r="J13" s="704" t="s">
        <v>994</v>
      </c>
      <c r="K13" s="1089"/>
      <c r="L13" s="1091"/>
      <c r="M13" s="1107"/>
      <c r="N13" s="1107"/>
    </row>
    <row r="14" spans="2:14" x14ac:dyDescent="0.3">
      <c r="B14" s="1531"/>
      <c r="C14" s="1517"/>
      <c r="D14" s="1517"/>
      <c r="E14" s="1517"/>
      <c r="F14" s="704" t="s">
        <v>974</v>
      </c>
      <c r="G14" s="704" t="s">
        <v>988</v>
      </c>
      <c r="H14" s="1086">
        <f>(12)^2/12</f>
        <v>12</v>
      </c>
      <c r="I14" s="1086">
        <v>1</v>
      </c>
      <c r="J14" s="704" t="s">
        <v>995</v>
      </c>
      <c r="K14" s="1090"/>
      <c r="L14" s="1091"/>
      <c r="M14" s="1107"/>
      <c r="N14" s="1107"/>
    </row>
    <row r="15" spans="2:14" x14ac:dyDescent="0.3">
      <c r="B15" s="1531"/>
      <c r="C15" s="1517"/>
      <c r="D15" s="1517"/>
      <c r="E15" s="1517"/>
      <c r="F15" s="704" t="s">
        <v>990</v>
      </c>
      <c r="G15" s="704" t="s">
        <v>989</v>
      </c>
      <c r="H15" s="1086">
        <f>(450)^2/40</f>
        <v>5062.5</v>
      </c>
      <c r="I15" s="1086">
        <f>450/40</f>
        <v>11.25</v>
      </c>
      <c r="J15" s="704" t="s">
        <v>991</v>
      </c>
      <c r="K15" s="1519" t="s">
        <v>999</v>
      </c>
      <c r="L15" s="1091"/>
      <c r="M15" s="1540" t="s">
        <v>1012</v>
      </c>
      <c r="N15" s="1540" t="s">
        <v>1057</v>
      </c>
    </row>
    <row r="16" spans="2:14" x14ac:dyDescent="0.3">
      <c r="B16" s="1531"/>
      <c r="C16" s="1518"/>
      <c r="D16" s="1518"/>
      <c r="E16" s="1518"/>
      <c r="F16" s="704" t="s">
        <v>972</v>
      </c>
      <c r="G16" s="704" t="s">
        <v>992</v>
      </c>
      <c r="H16" s="1086">
        <f>(800)^2/80</f>
        <v>8000</v>
      </c>
      <c r="I16" s="1086">
        <f>800/80</f>
        <v>10</v>
      </c>
      <c r="J16" s="704" t="s">
        <v>993</v>
      </c>
      <c r="K16" s="1520"/>
      <c r="L16" s="1091"/>
      <c r="M16" s="1540"/>
      <c r="N16" s="1540"/>
    </row>
    <row r="17" spans="2:14" ht="17.25" thickBot="1" x14ac:dyDescent="0.35">
      <c r="B17" s="1532"/>
      <c r="C17" s="1095" t="s">
        <v>1021</v>
      </c>
      <c r="D17" s="1021" t="s">
        <v>42</v>
      </c>
      <c r="E17" s="1021"/>
      <c r="F17" s="793"/>
      <c r="G17" s="793"/>
      <c r="H17" s="1094"/>
      <c r="I17" s="1094"/>
      <c r="J17" s="793"/>
      <c r="K17" s="1095" t="s">
        <v>1021</v>
      </c>
      <c r="L17" s="1096"/>
      <c r="M17" s="1097" t="s">
        <v>796</v>
      </c>
      <c r="N17" s="1097" t="s">
        <v>1024</v>
      </c>
    </row>
    <row r="18" spans="2:14" ht="16.5" customHeight="1" x14ac:dyDescent="0.3">
      <c r="B18" s="1536" t="s">
        <v>996</v>
      </c>
      <c r="C18" s="1098" t="s">
        <v>997</v>
      </c>
      <c r="D18" s="997" t="s">
        <v>974</v>
      </c>
      <c r="E18" s="997" t="s">
        <v>985</v>
      </c>
      <c r="F18" s="997" t="s">
        <v>974</v>
      </c>
      <c r="G18" s="997" t="s">
        <v>975</v>
      </c>
      <c r="H18" s="1099">
        <f>(12)^2/1000</f>
        <v>0.14399999999999999</v>
      </c>
      <c r="I18" s="1099">
        <f>12/1000</f>
        <v>1.2E-2</v>
      </c>
      <c r="J18" s="997" t="s">
        <v>1018</v>
      </c>
      <c r="K18" s="1100" t="s">
        <v>1020</v>
      </c>
      <c r="L18" s="1093"/>
      <c r="M18" s="1101" t="s">
        <v>1009</v>
      </c>
      <c r="N18" s="1101" t="s">
        <v>1025</v>
      </c>
    </row>
    <row r="19" spans="2:14" x14ac:dyDescent="0.3">
      <c r="B19" s="1537"/>
      <c r="C19" s="1087" t="s">
        <v>998</v>
      </c>
      <c r="D19" s="704" t="s">
        <v>974</v>
      </c>
      <c r="E19" s="704" t="s">
        <v>985</v>
      </c>
      <c r="F19" s="704" t="s">
        <v>990</v>
      </c>
      <c r="G19" s="704" t="s">
        <v>971</v>
      </c>
      <c r="H19" s="1083">
        <f>(450)^2/40</f>
        <v>5062.5</v>
      </c>
      <c r="I19" s="1083">
        <f>450/40</f>
        <v>11.25</v>
      </c>
      <c r="J19" s="704" t="s">
        <v>355</v>
      </c>
      <c r="K19" s="1514" t="s">
        <v>1019</v>
      </c>
      <c r="L19" s="1091"/>
      <c r="M19" s="1525" t="s">
        <v>1000</v>
      </c>
      <c r="N19" s="1525" t="s">
        <v>1024</v>
      </c>
    </row>
    <row r="20" spans="2:14" x14ac:dyDescent="0.3">
      <c r="B20" s="1537"/>
      <c r="C20" s="1087" t="s">
        <v>998</v>
      </c>
      <c r="D20" s="704" t="s">
        <v>974</v>
      </c>
      <c r="E20" s="704" t="s">
        <v>985</v>
      </c>
      <c r="F20" s="704" t="s">
        <v>972</v>
      </c>
      <c r="G20" s="704" t="s">
        <v>971</v>
      </c>
      <c r="H20" s="1083">
        <f>(800)^2/40</f>
        <v>16000</v>
      </c>
      <c r="I20" s="1083">
        <f>800/40</f>
        <v>20</v>
      </c>
      <c r="J20" s="704" t="s">
        <v>355</v>
      </c>
      <c r="K20" s="1515"/>
      <c r="L20" s="1091"/>
      <c r="M20" s="1525"/>
      <c r="N20" s="1525"/>
    </row>
    <row r="21" spans="2:14" ht="17.25" thickBot="1" x14ac:dyDescent="0.35">
      <c r="B21" s="1538"/>
      <c r="C21" s="1095" t="s">
        <v>1021</v>
      </c>
      <c r="D21" s="1021" t="s">
        <v>42</v>
      </c>
      <c r="E21" s="1021"/>
      <c r="F21" s="793"/>
      <c r="G21" s="793"/>
      <c r="H21" s="1094"/>
      <c r="I21" s="1094"/>
      <c r="J21" s="793"/>
      <c r="K21" s="1095" t="s">
        <v>1021</v>
      </c>
      <c r="L21" s="1096"/>
      <c r="M21" s="1097" t="s">
        <v>796</v>
      </c>
      <c r="N21" s="1097" t="s">
        <v>1024</v>
      </c>
    </row>
    <row r="22" spans="2:14" x14ac:dyDescent="0.3">
      <c r="B22" s="1533" t="s">
        <v>1001</v>
      </c>
      <c r="C22" s="1524" t="s">
        <v>1002</v>
      </c>
      <c r="D22" s="1522" t="s">
        <v>974</v>
      </c>
      <c r="E22" s="1522" t="s">
        <v>985</v>
      </c>
      <c r="F22" s="997" t="s">
        <v>990</v>
      </c>
      <c r="G22" s="997" t="s">
        <v>989</v>
      </c>
      <c r="H22" s="1092">
        <f>(450)^2/40</f>
        <v>5062.5</v>
      </c>
      <c r="I22" s="1092">
        <f>450/40</f>
        <v>11.25</v>
      </c>
      <c r="J22" s="997" t="s">
        <v>991</v>
      </c>
      <c r="K22" s="1521" t="s">
        <v>999</v>
      </c>
      <c r="L22" s="1093"/>
      <c r="M22" s="1541" t="s">
        <v>1012</v>
      </c>
      <c r="N22" s="1541" t="s">
        <v>1012</v>
      </c>
    </row>
    <row r="23" spans="2:14" x14ac:dyDescent="0.3">
      <c r="B23" s="1534"/>
      <c r="C23" s="1513"/>
      <c r="D23" s="1523"/>
      <c r="E23" s="1523"/>
      <c r="F23" s="704" t="s">
        <v>972</v>
      </c>
      <c r="G23" s="704" t="s">
        <v>992</v>
      </c>
      <c r="H23" s="1086">
        <f>(800)^2/80</f>
        <v>8000</v>
      </c>
      <c r="I23" s="1086">
        <f>800/80</f>
        <v>10</v>
      </c>
      <c r="J23" s="704" t="s">
        <v>993</v>
      </c>
      <c r="K23" s="1520"/>
      <c r="L23" s="1091"/>
      <c r="M23" s="1540"/>
      <c r="N23" s="1540"/>
    </row>
    <row r="24" spans="2:14" x14ac:dyDescent="0.3">
      <c r="B24" s="1534"/>
      <c r="C24" s="1513" t="s">
        <v>1004</v>
      </c>
      <c r="D24" s="1513" t="s">
        <v>974</v>
      </c>
      <c r="E24" s="1513" t="s">
        <v>985</v>
      </c>
      <c r="F24" s="807" t="s">
        <v>990</v>
      </c>
      <c r="G24" s="704" t="s">
        <v>971</v>
      </c>
      <c r="H24" s="1083">
        <f>(450)^2/40</f>
        <v>5062.5</v>
      </c>
      <c r="I24" s="1083">
        <f>450/40</f>
        <v>11.25</v>
      </c>
      <c r="J24" s="704" t="s">
        <v>355</v>
      </c>
      <c r="K24" s="1514" t="s">
        <v>1019</v>
      </c>
      <c r="L24" s="1091"/>
      <c r="M24" s="1525" t="s">
        <v>1000</v>
      </c>
      <c r="N24" s="1525" t="s">
        <v>1024</v>
      </c>
    </row>
    <row r="25" spans="2:14" x14ac:dyDescent="0.3">
      <c r="B25" s="1534"/>
      <c r="C25" s="1513"/>
      <c r="D25" s="1513"/>
      <c r="E25" s="1513"/>
      <c r="F25" s="807" t="s">
        <v>972</v>
      </c>
      <c r="G25" s="704" t="s">
        <v>971</v>
      </c>
      <c r="H25" s="1083">
        <f>(800)^2/40</f>
        <v>16000</v>
      </c>
      <c r="I25" s="1083">
        <f>800/40</f>
        <v>20</v>
      </c>
      <c r="J25" s="704" t="s">
        <v>355</v>
      </c>
      <c r="K25" s="1515"/>
      <c r="L25" s="1091"/>
      <c r="M25" s="1525"/>
      <c r="N25" s="1525"/>
    </row>
    <row r="26" spans="2:14" x14ac:dyDescent="0.3">
      <c r="B26" s="1534"/>
      <c r="C26" s="1088" t="s">
        <v>1022</v>
      </c>
      <c r="D26" s="704" t="s">
        <v>974</v>
      </c>
      <c r="E26" s="704" t="s">
        <v>985</v>
      </c>
      <c r="F26" s="704" t="s">
        <v>1007</v>
      </c>
      <c r="G26" s="704" t="s">
        <v>1008</v>
      </c>
      <c r="H26" s="1083" t="s">
        <v>42</v>
      </c>
      <c r="I26" s="1083" t="s">
        <v>42</v>
      </c>
      <c r="J26" s="704" t="s">
        <v>42</v>
      </c>
      <c r="K26" s="1085" t="s">
        <v>42</v>
      </c>
      <c r="L26" s="1091"/>
      <c r="M26" s="790" t="s">
        <v>42</v>
      </c>
      <c r="N26" s="790" t="s">
        <v>42</v>
      </c>
    </row>
    <row r="27" spans="2:14" ht="17.25" thickBot="1" x14ac:dyDescent="0.35">
      <c r="B27" s="1535"/>
      <c r="C27" s="1095" t="s">
        <v>1021</v>
      </c>
      <c r="D27" s="1021" t="s">
        <v>42</v>
      </c>
      <c r="E27" s="1021"/>
      <c r="F27" s="793"/>
      <c r="G27" s="793"/>
      <c r="H27" s="1094"/>
      <c r="I27" s="1094"/>
      <c r="J27" s="793"/>
      <c r="K27" s="1095" t="s">
        <v>1021</v>
      </c>
      <c r="L27" s="1096"/>
      <c r="M27" s="1097" t="s">
        <v>796</v>
      </c>
      <c r="N27" s="1097" t="s">
        <v>1024</v>
      </c>
    </row>
  </sheetData>
  <mergeCells count="33">
    <mergeCell ref="N3:N4"/>
    <mergeCell ref="N5:N10"/>
    <mergeCell ref="N15:N16"/>
    <mergeCell ref="N19:N20"/>
    <mergeCell ref="N22:N23"/>
    <mergeCell ref="N24:N25"/>
    <mergeCell ref="K3:K4"/>
    <mergeCell ref="K24:K25"/>
    <mergeCell ref="K5:K10"/>
    <mergeCell ref="B3:B17"/>
    <mergeCell ref="B22:B27"/>
    <mergeCell ref="B18:B21"/>
    <mergeCell ref="M5:M10"/>
    <mergeCell ref="M3:M4"/>
    <mergeCell ref="M19:M20"/>
    <mergeCell ref="M15:M16"/>
    <mergeCell ref="M22:M23"/>
    <mergeCell ref="M24:M25"/>
    <mergeCell ref="E3:E4"/>
    <mergeCell ref="D3:D4"/>
    <mergeCell ref="C3:C4"/>
    <mergeCell ref="E24:E25"/>
    <mergeCell ref="D24:D25"/>
    <mergeCell ref="C24:C25"/>
    <mergeCell ref="K19:K20"/>
    <mergeCell ref="E13:E16"/>
    <mergeCell ref="D13:D16"/>
    <mergeCell ref="C13:C16"/>
    <mergeCell ref="K15:K16"/>
    <mergeCell ref="K22:K23"/>
    <mergeCell ref="E22:E23"/>
    <mergeCell ref="D22:D23"/>
    <mergeCell ref="C22:C23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73BF8-6A13-4040-AA6A-C3E793375ADA}">
  <dimension ref="A3:U43"/>
  <sheetViews>
    <sheetView workbookViewId="0">
      <selection activeCell="A38" sqref="A38"/>
    </sheetView>
  </sheetViews>
  <sheetFormatPr defaultRowHeight="16.5" x14ac:dyDescent="0.3"/>
  <cols>
    <col min="3" max="4" width="3.375" bestFit="1" customWidth="1"/>
    <col min="5" max="5" width="18.375" bestFit="1" customWidth="1"/>
    <col min="6" max="7" width="31.75" customWidth="1"/>
    <col min="10" max="10" width="2.5" bestFit="1" customWidth="1"/>
    <col min="11" max="11" width="10.875" bestFit="1" customWidth="1"/>
    <col min="12" max="12" width="12.375" bestFit="1" customWidth="1"/>
    <col min="13" max="13" width="10.875" bestFit="1" customWidth="1"/>
    <col min="14" max="14" width="32.875" bestFit="1" customWidth="1"/>
    <col min="16" max="16" width="4.875" bestFit="1" customWidth="1"/>
    <col min="19" max="19" width="30.5" bestFit="1" customWidth="1"/>
    <col min="21" max="21" width="4.5" bestFit="1" customWidth="1"/>
  </cols>
  <sheetData>
    <row r="3" spans="2:21" x14ac:dyDescent="0.3"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</row>
    <row r="4" spans="2:21" s="82" customFormat="1" ht="16.5" customHeight="1" x14ac:dyDescent="0.3">
      <c r="B4" s="594"/>
      <c r="C4" s="1133" t="s">
        <v>2</v>
      </c>
      <c r="D4" s="1133"/>
      <c r="E4" s="595"/>
      <c r="F4" s="596" t="s">
        <v>355</v>
      </c>
      <c r="G4" s="991" t="s">
        <v>1058</v>
      </c>
      <c r="H4" s="184" t="s">
        <v>636</v>
      </c>
      <c r="I4" s="184" t="s">
        <v>636</v>
      </c>
      <c r="J4" s="155">
        <v>1</v>
      </c>
      <c r="K4" s="157">
        <v>7500</v>
      </c>
      <c r="L4" s="157">
        <v>70000</v>
      </c>
      <c r="M4" s="164">
        <f t="shared" ref="M4:M7" si="0">J4*K4</f>
        <v>7500</v>
      </c>
      <c r="N4" s="1137" t="s">
        <v>571</v>
      </c>
      <c r="O4" s="1138"/>
      <c r="P4" s="1469" t="s">
        <v>733</v>
      </c>
      <c r="Q4" s="768"/>
      <c r="R4" s="728"/>
      <c r="S4" s="562" t="s">
        <v>500</v>
      </c>
      <c r="U4" s="82">
        <v>0.2</v>
      </c>
    </row>
    <row r="5" spans="2:21" s="82" customFormat="1" ht="16.5" customHeight="1" x14ac:dyDescent="0.3">
      <c r="B5" s="594"/>
      <c r="C5" s="1133"/>
      <c r="D5" s="1133" t="s">
        <v>2</v>
      </c>
      <c r="E5" s="595"/>
      <c r="F5" s="203" t="s">
        <v>354</v>
      </c>
      <c r="G5" s="991" t="s">
        <v>1029</v>
      </c>
      <c r="H5" s="184" t="s">
        <v>636</v>
      </c>
      <c r="I5" s="184" t="s">
        <v>636</v>
      </c>
      <c r="J5" s="155">
        <v>1</v>
      </c>
      <c r="K5" s="157">
        <v>7500</v>
      </c>
      <c r="L5" s="157">
        <v>70000</v>
      </c>
      <c r="M5" s="164">
        <f t="shared" si="0"/>
        <v>7500</v>
      </c>
      <c r="N5" s="1130" t="s">
        <v>564</v>
      </c>
      <c r="O5" s="1131"/>
      <c r="P5" s="1470"/>
      <c r="Q5" s="768"/>
      <c r="R5" s="728"/>
      <c r="S5" s="562"/>
    </row>
    <row r="6" spans="2:21" s="82" customFormat="1" ht="16.5" customHeight="1" x14ac:dyDescent="0.3">
      <c r="B6" s="594"/>
      <c r="C6" s="1133"/>
      <c r="D6" s="184" t="s">
        <v>2</v>
      </c>
      <c r="E6" s="595"/>
      <c r="F6" s="203" t="s">
        <v>616</v>
      </c>
      <c r="G6" s="991" t="s">
        <v>515</v>
      </c>
      <c r="H6" s="184" t="s">
        <v>636</v>
      </c>
      <c r="I6" s="184" t="s">
        <v>636</v>
      </c>
      <c r="J6" s="155">
        <v>1</v>
      </c>
      <c r="K6" s="157">
        <v>750000</v>
      </c>
      <c r="L6" s="157">
        <v>450000</v>
      </c>
      <c r="M6" s="164">
        <f t="shared" si="0"/>
        <v>750000</v>
      </c>
      <c r="N6" s="1139" t="s">
        <v>617</v>
      </c>
      <c r="O6" s="1140"/>
      <c r="P6" s="1470"/>
      <c r="Q6" s="768"/>
      <c r="R6" s="728"/>
    </row>
    <row r="7" spans="2:21" s="82" customFormat="1" ht="16.5" customHeight="1" x14ac:dyDescent="0.3">
      <c r="B7" s="594"/>
      <c r="C7" s="1133"/>
      <c r="D7" s="184" t="s">
        <v>2</v>
      </c>
      <c r="E7" s="595"/>
      <c r="F7" s="203" t="s">
        <v>634</v>
      </c>
      <c r="G7" s="991" t="s">
        <v>514</v>
      </c>
      <c r="H7" s="184" t="s">
        <v>636</v>
      </c>
      <c r="I7" s="184" t="s">
        <v>636</v>
      </c>
      <c r="J7" s="155">
        <v>1</v>
      </c>
      <c r="K7" s="157">
        <v>0</v>
      </c>
      <c r="L7" s="157">
        <v>1000000</v>
      </c>
      <c r="M7" s="164">
        <f t="shared" si="0"/>
        <v>0</v>
      </c>
      <c r="N7" s="1139" t="s">
        <v>618</v>
      </c>
      <c r="O7" s="1140"/>
      <c r="P7" s="1470"/>
      <c r="Q7" s="768"/>
      <c r="R7" s="728"/>
    </row>
    <row r="8" spans="2:21" s="82" customFormat="1" ht="16.5" customHeight="1" x14ac:dyDescent="0.3">
      <c r="B8" s="594"/>
      <c r="C8" s="1133"/>
      <c r="D8" s="1133" t="s">
        <v>2</v>
      </c>
      <c r="E8" s="595"/>
      <c r="F8" s="203" t="s">
        <v>611</v>
      </c>
      <c r="G8" s="991" t="s">
        <v>722</v>
      </c>
      <c r="H8" s="184" t="s">
        <v>636</v>
      </c>
      <c r="I8" s="184" t="s">
        <v>636</v>
      </c>
      <c r="J8" s="155">
        <v>1</v>
      </c>
      <c r="K8" s="157">
        <v>30000</v>
      </c>
      <c r="L8" s="157">
        <v>70000</v>
      </c>
      <c r="M8" s="164">
        <f>J8*K8</f>
        <v>30000</v>
      </c>
      <c r="N8" s="1130" t="s">
        <v>1059</v>
      </c>
      <c r="O8" s="1131"/>
      <c r="P8" s="1470"/>
      <c r="Q8" s="766"/>
      <c r="R8" s="724"/>
      <c r="S8" s="562"/>
    </row>
    <row r="9" spans="2:21" s="82" customFormat="1" ht="16.5" customHeight="1" x14ac:dyDescent="0.3">
      <c r="B9" s="594"/>
      <c r="C9" s="1133"/>
      <c r="D9" s="1133" t="s">
        <v>2</v>
      </c>
      <c r="E9" s="595"/>
      <c r="F9" s="203" t="s">
        <v>612</v>
      </c>
      <c r="G9" s="991" t="s">
        <v>723</v>
      </c>
      <c r="H9" s="184" t="s">
        <v>636</v>
      </c>
      <c r="I9" s="184" t="s">
        <v>636</v>
      </c>
      <c r="J9" s="155">
        <v>1</v>
      </c>
      <c r="K9" s="157">
        <v>30000</v>
      </c>
      <c r="L9" s="157">
        <v>70000</v>
      </c>
      <c r="M9" s="164">
        <f>J9*K9</f>
        <v>30000</v>
      </c>
      <c r="N9" s="1130" t="s">
        <v>1060</v>
      </c>
      <c r="O9" s="1131"/>
      <c r="P9" s="1470"/>
      <c r="Q9" s="766"/>
      <c r="R9" s="724"/>
      <c r="S9" s="562"/>
    </row>
    <row r="10" spans="2:21" s="82" customFormat="1" ht="16.5" customHeight="1" x14ac:dyDescent="0.3">
      <c r="B10" s="594"/>
      <c r="C10" s="1133"/>
      <c r="D10" s="1133" t="s">
        <v>2</v>
      </c>
      <c r="E10" s="595"/>
      <c r="F10" s="203" t="s">
        <v>357</v>
      </c>
      <c r="G10" s="991" t="s">
        <v>1058</v>
      </c>
      <c r="H10" s="184" t="s">
        <v>636</v>
      </c>
      <c r="I10" s="184" t="s">
        <v>636</v>
      </c>
      <c r="J10" s="155">
        <v>1</v>
      </c>
      <c r="K10" s="157">
        <v>7500</v>
      </c>
      <c r="L10" s="157">
        <v>70000</v>
      </c>
      <c r="M10" s="157">
        <f t="shared" ref="M10:M21" si="1">J10*K10</f>
        <v>7500</v>
      </c>
      <c r="N10" s="1137" t="s">
        <v>361</v>
      </c>
      <c r="O10" s="1138"/>
      <c r="P10" s="1470"/>
      <c r="Q10" s="766"/>
      <c r="R10" s="724"/>
      <c r="S10" s="562"/>
    </row>
    <row r="11" spans="2:21" s="82" customFormat="1" ht="16.5" customHeight="1" x14ac:dyDescent="0.3">
      <c r="B11" s="594"/>
      <c r="C11" s="1133"/>
      <c r="D11" s="1133" t="s">
        <v>2</v>
      </c>
      <c r="E11" s="595"/>
      <c r="F11" s="203" t="s">
        <v>587</v>
      </c>
      <c r="G11" s="991" t="s">
        <v>728</v>
      </c>
      <c r="H11" s="184" t="s">
        <v>636</v>
      </c>
      <c r="I11" s="184" t="s">
        <v>636</v>
      </c>
      <c r="J11" s="155">
        <v>1</v>
      </c>
      <c r="K11" s="157">
        <v>21000</v>
      </c>
      <c r="L11" s="157">
        <v>21000</v>
      </c>
      <c r="M11" s="157">
        <f t="shared" si="1"/>
        <v>21000</v>
      </c>
      <c r="N11" s="1139" t="s">
        <v>589</v>
      </c>
      <c r="O11" s="1140"/>
      <c r="P11" s="1471"/>
      <c r="Q11" s="768"/>
      <c r="R11" s="728"/>
    </row>
    <row r="12" spans="2:21" s="82" customFormat="1" ht="16.5" customHeight="1" x14ac:dyDescent="0.3">
      <c r="B12" s="594"/>
      <c r="C12" s="1133"/>
      <c r="D12" s="1133" t="s">
        <v>2</v>
      </c>
      <c r="E12" s="595"/>
      <c r="F12" s="203" t="s">
        <v>619</v>
      </c>
      <c r="G12" s="991" t="s">
        <v>1062</v>
      </c>
      <c r="H12" s="184" t="s">
        <v>636</v>
      </c>
      <c r="I12" s="184" t="s">
        <v>636</v>
      </c>
      <c r="J12" s="155">
        <v>1</v>
      </c>
      <c r="K12" s="157">
        <v>7500</v>
      </c>
      <c r="L12" s="157">
        <v>70000</v>
      </c>
      <c r="M12" s="164">
        <f t="shared" si="1"/>
        <v>7500</v>
      </c>
      <c r="N12" s="1125" t="s">
        <v>561</v>
      </c>
      <c r="O12" s="1126"/>
      <c r="P12" s="152"/>
      <c r="Q12" s="768"/>
      <c r="R12" s="728"/>
      <c r="S12" s="562"/>
    </row>
    <row r="13" spans="2:21" s="82" customFormat="1" ht="16.5" customHeight="1" x14ac:dyDescent="0.3">
      <c r="B13" s="594"/>
      <c r="C13" s="1133"/>
      <c r="D13" s="1133" t="s">
        <v>2</v>
      </c>
      <c r="E13" s="595"/>
      <c r="F13" s="203" t="s">
        <v>620</v>
      </c>
      <c r="G13" s="991" t="s">
        <v>1064</v>
      </c>
      <c r="H13" s="184" t="s">
        <v>636</v>
      </c>
      <c r="I13" s="184" t="s">
        <v>636</v>
      </c>
      <c r="J13" s="155">
        <v>1</v>
      </c>
      <c r="K13" s="157">
        <v>7500</v>
      </c>
      <c r="L13" s="157">
        <v>70000</v>
      </c>
      <c r="M13" s="164">
        <f t="shared" si="1"/>
        <v>7500</v>
      </c>
      <c r="N13" s="1125" t="s">
        <v>561</v>
      </c>
      <c r="O13" s="1126"/>
      <c r="P13" s="152"/>
      <c r="Q13" s="768"/>
      <c r="R13" s="728"/>
      <c r="S13" s="562"/>
    </row>
    <row r="14" spans="2:21" s="1148" customFormat="1" ht="16.5" customHeight="1" x14ac:dyDescent="0.3">
      <c r="B14" s="1141"/>
      <c r="C14" s="1132" t="s">
        <v>2</v>
      </c>
      <c r="D14" s="1132"/>
      <c r="E14" s="1142"/>
      <c r="F14" s="1143" t="s">
        <v>355</v>
      </c>
      <c r="G14" s="1144" t="s">
        <v>1058</v>
      </c>
      <c r="H14" s="443" t="s">
        <v>636</v>
      </c>
      <c r="I14" s="443" t="s">
        <v>636</v>
      </c>
      <c r="J14" s="443">
        <v>1</v>
      </c>
      <c r="K14" s="446">
        <v>7500</v>
      </c>
      <c r="L14" s="446">
        <v>70000</v>
      </c>
      <c r="M14" s="1145">
        <f t="shared" si="1"/>
        <v>7500</v>
      </c>
      <c r="N14" s="1146" t="s">
        <v>571</v>
      </c>
      <c r="O14" s="1147"/>
      <c r="P14" s="1543" t="s">
        <v>733</v>
      </c>
      <c r="R14" s="1149"/>
    </row>
    <row r="15" spans="2:21" s="1148" customFormat="1" ht="16.5" customHeight="1" x14ac:dyDescent="0.3">
      <c r="B15" s="1141"/>
      <c r="C15" s="1132"/>
      <c r="D15" s="1132" t="s">
        <v>2</v>
      </c>
      <c r="E15" s="1142"/>
      <c r="F15" s="1150" t="s">
        <v>354</v>
      </c>
      <c r="G15" s="1144" t="s">
        <v>1029</v>
      </c>
      <c r="H15" s="443" t="s">
        <v>636</v>
      </c>
      <c r="I15" s="443" t="s">
        <v>636</v>
      </c>
      <c r="J15" s="443">
        <v>1</v>
      </c>
      <c r="K15" s="446">
        <v>7500</v>
      </c>
      <c r="L15" s="446">
        <v>70000</v>
      </c>
      <c r="M15" s="1145">
        <f t="shared" si="1"/>
        <v>7500</v>
      </c>
      <c r="N15" s="1146" t="s">
        <v>561</v>
      </c>
      <c r="O15" s="1147"/>
      <c r="P15" s="1544"/>
      <c r="R15" s="1149"/>
    </row>
    <row r="16" spans="2:21" s="1148" customFormat="1" ht="16.5" customHeight="1" x14ac:dyDescent="0.3">
      <c r="B16" s="1141"/>
      <c r="C16" s="1132"/>
      <c r="D16" s="1132" t="s">
        <v>2</v>
      </c>
      <c r="E16" s="1142"/>
      <c r="F16" s="1150" t="s">
        <v>357</v>
      </c>
      <c r="G16" s="1144" t="s">
        <v>1058</v>
      </c>
      <c r="H16" s="443" t="s">
        <v>636</v>
      </c>
      <c r="I16" s="443" t="s">
        <v>636</v>
      </c>
      <c r="J16" s="443">
        <v>1</v>
      </c>
      <c r="K16" s="446">
        <v>7500</v>
      </c>
      <c r="L16" s="446">
        <v>70000</v>
      </c>
      <c r="M16" s="1145">
        <f t="shared" si="1"/>
        <v>7500</v>
      </c>
      <c r="N16" s="1146" t="s">
        <v>361</v>
      </c>
      <c r="O16" s="1147"/>
      <c r="P16" s="1544"/>
      <c r="R16" s="1149"/>
    </row>
    <row r="17" spans="1:21" s="1148" customFormat="1" ht="16.5" customHeight="1" thickBot="1" x14ac:dyDescent="0.35">
      <c r="B17" s="1141"/>
      <c r="C17" s="1132"/>
      <c r="D17" s="1132" t="s">
        <v>2</v>
      </c>
      <c r="E17" s="1142"/>
      <c r="F17" s="1150" t="s">
        <v>587</v>
      </c>
      <c r="G17" s="1151" t="s">
        <v>728</v>
      </c>
      <c r="H17" s="443" t="s">
        <v>636</v>
      </c>
      <c r="I17" s="443" t="s">
        <v>636</v>
      </c>
      <c r="J17" s="443">
        <v>1</v>
      </c>
      <c r="K17" s="446">
        <v>21000</v>
      </c>
      <c r="L17" s="446">
        <v>20000</v>
      </c>
      <c r="M17" s="446">
        <f t="shared" si="1"/>
        <v>21000</v>
      </c>
      <c r="N17" s="1146" t="s">
        <v>589</v>
      </c>
      <c r="O17" s="1147"/>
      <c r="P17" s="1545"/>
      <c r="R17" s="1149"/>
    </row>
    <row r="18" spans="1:21" s="82" customFormat="1" ht="16.5" customHeight="1" x14ac:dyDescent="0.3">
      <c r="B18" s="594"/>
      <c r="C18" s="1133" t="s">
        <v>2</v>
      </c>
      <c r="D18" s="1133"/>
      <c r="E18" s="595"/>
      <c r="F18" s="596" t="s">
        <v>355</v>
      </c>
      <c r="G18" s="991" t="s">
        <v>1058</v>
      </c>
      <c r="H18" s="184" t="s">
        <v>636</v>
      </c>
      <c r="I18" s="184" t="s">
        <v>636</v>
      </c>
      <c r="J18" s="184">
        <v>1</v>
      </c>
      <c r="K18" s="55">
        <v>7500</v>
      </c>
      <c r="L18" s="55">
        <v>70000</v>
      </c>
      <c r="M18" s="418">
        <f t="shared" si="1"/>
        <v>7500</v>
      </c>
      <c r="N18" s="1134" t="s">
        <v>571</v>
      </c>
      <c r="O18" s="1135"/>
      <c r="P18" s="1469" t="s">
        <v>733</v>
      </c>
      <c r="R18" s="728"/>
    </row>
    <row r="19" spans="1:21" s="82" customFormat="1" ht="16.5" customHeight="1" x14ac:dyDescent="0.3">
      <c r="B19" s="594"/>
      <c r="C19" s="1133"/>
      <c r="D19" s="1133" t="s">
        <v>2</v>
      </c>
      <c r="E19" s="595"/>
      <c r="F19" s="203" t="s">
        <v>354</v>
      </c>
      <c r="G19" s="991" t="s">
        <v>1029</v>
      </c>
      <c r="H19" s="184" t="s">
        <v>636</v>
      </c>
      <c r="I19" s="184" t="s">
        <v>636</v>
      </c>
      <c r="J19" s="184">
        <v>1</v>
      </c>
      <c r="K19" s="55">
        <v>7500</v>
      </c>
      <c r="L19" s="55">
        <v>70000</v>
      </c>
      <c r="M19" s="418">
        <f t="shared" si="1"/>
        <v>7500</v>
      </c>
      <c r="N19" s="1134" t="s">
        <v>561</v>
      </c>
      <c r="O19" s="1135"/>
      <c r="P19" s="1470"/>
      <c r="R19" s="728"/>
    </row>
    <row r="20" spans="1:21" s="82" customFormat="1" ht="16.5" customHeight="1" x14ac:dyDescent="0.3">
      <c r="B20" s="594"/>
      <c r="C20" s="1133"/>
      <c r="D20" s="1133" t="s">
        <v>2</v>
      </c>
      <c r="E20" s="595"/>
      <c r="F20" s="203" t="s">
        <v>357</v>
      </c>
      <c r="G20" s="991" t="s">
        <v>1058</v>
      </c>
      <c r="H20" s="184" t="s">
        <v>636</v>
      </c>
      <c r="I20" s="184" t="s">
        <v>636</v>
      </c>
      <c r="J20" s="184">
        <v>1</v>
      </c>
      <c r="K20" s="55">
        <v>7500</v>
      </c>
      <c r="L20" s="55">
        <v>70000</v>
      </c>
      <c r="M20" s="418">
        <f t="shared" si="1"/>
        <v>7500</v>
      </c>
      <c r="N20" s="1134" t="s">
        <v>361</v>
      </c>
      <c r="O20" s="1135"/>
      <c r="P20" s="1470"/>
      <c r="R20" s="728"/>
    </row>
    <row r="21" spans="1:21" s="82" customFormat="1" ht="16.5" customHeight="1" thickBot="1" x14ac:dyDescent="0.35">
      <c r="B21" s="594"/>
      <c r="C21" s="1133"/>
      <c r="D21" s="1133" t="s">
        <v>2</v>
      </c>
      <c r="E21" s="595"/>
      <c r="F21" s="203" t="s">
        <v>587</v>
      </c>
      <c r="G21" s="1152" t="s">
        <v>728</v>
      </c>
      <c r="H21" s="184" t="s">
        <v>636</v>
      </c>
      <c r="I21" s="184" t="s">
        <v>636</v>
      </c>
      <c r="J21" s="184">
        <v>1</v>
      </c>
      <c r="K21" s="55">
        <v>21000</v>
      </c>
      <c r="L21" s="55">
        <v>20000</v>
      </c>
      <c r="M21" s="55">
        <f t="shared" si="1"/>
        <v>21000</v>
      </c>
      <c r="N21" s="1134" t="s">
        <v>589</v>
      </c>
      <c r="O21" s="1135"/>
      <c r="P21" s="1471"/>
      <c r="Q21" s="82" t="s">
        <v>629</v>
      </c>
      <c r="R21" s="728">
        <f>(2000000+(300000*3))*1.2</f>
        <v>3480000</v>
      </c>
    </row>
    <row r="22" spans="1:21" s="1148" customFormat="1" ht="16.5" customHeight="1" x14ac:dyDescent="0.3">
      <c r="B22" s="1141"/>
      <c r="C22" s="1132" t="s">
        <v>2</v>
      </c>
      <c r="D22" s="1132"/>
      <c r="E22" s="1142"/>
      <c r="F22" s="1153" t="s">
        <v>355</v>
      </c>
      <c r="G22" s="1144" t="s">
        <v>1058</v>
      </c>
      <c r="H22" s="443" t="s">
        <v>636</v>
      </c>
      <c r="I22" s="443" t="s">
        <v>636</v>
      </c>
      <c r="J22" s="443">
        <v>1</v>
      </c>
      <c r="K22" s="446">
        <v>7500</v>
      </c>
      <c r="L22" s="446">
        <v>70000</v>
      </c>
      <c r="M22" s="1145">
        <f>J22*K22</f>
        <v>7500</v>
      </c>
      <c r="N22" s="1146" t="s">
        <v>571</v>
      </c>
      <c r="O22" s="1147"/>
      <c r="P22" s="1543" t="s">
        <v>733</v>
      </c>
      <c r="R22" s="1149"/>
      <c r="S22" s="1148" t="s">
        <v>346</v>
      </c>
      <c r="T22" s="1148" t="s">
        <v>347</v>
      </c>
      <c r="U22" s="1148" t="s">
        <v>344</v>
      </c>
    </row>
    <row r="23" spans="1:21" s="1148" customFormat="1" ht="16.5" customHeight="1" x14ac:dyDescent="0.3">
      <c r="B23" s="1141"/>
      <c r="C23" s="1132"/>
      <c r="D23" s="443" t="s">
        <v>2</v>
      </c>
      <c r="E23" s="1142"/>
      <c r="F23" s="1154" t="s">
        <v>730</v>
      </c>
      <c r="G23" s="1155" t="s">
        <v>515</v>
      </c>
      <c r="H23" s="443" t="s">
        <v>636</v>
      </c>
      <c r="I23" s="443" t="s">
        <v>636</v>
      </c>
      <c r="J23" s="443">
        <v>1</v>
      </c>
      <c r="K23" s="446">
        <v>750000</v>
      </c>
      <c r="L23" s="446">
        <v>450000</v>
      </c>
      <c r="M23" s="1145">
        <f t="shared" ref="M23:M24" si="2">J23*K23</f>
        <v>750000</v>
      </c>
      <c r="N23" s="1146" t="s">
        <v>573</v>
      </c>
      <c r="O23" s="1147"/>
      <c r="P23" s="1544"/>
      <c r="R23" s="1149"/>
      <c r="S23" s="1148">
        <v>450</v>
      </c>
      <c r="T23" s="1148">
        <v>40</v>
      </c>
      <c r="U23" s="1148">
        <f>(S23^2)/T23</f>
        <v>5062.5</v>
      </c>
    </row>
    <row r="24" spans="1:21" s="1148" customFormat="1" ht="16.5" customHeight="1" x14ac:dyDescent="0.3">
      <c r="B24" s="1141"/>
      <c r="C24" s="1132"/>
      <c r="D24" s="443" t="s">
        <v>2</v>
      </c>
      <c r="E24" s="1142"/>
      <c r="F24" s="1154" t="s">
        <v>731</v>
      </c>
      <c r="G24" s="1155" t="s">
        <v>514</v>
      </c>
      <c r="H24" s="443" t="s">
        <v>636</v>
      </c>
      <c r="I24" s="443" t="s">
        <v>636</v>
      </c>
      <c r="J24" s="443">
        <v>1</v>
      </c>
      <c r="K24" s="446">
        <v>0</v>
      </c>
      <c r="L24" s="446">
        <v>1000000</v>
      </c>
      <c r="M24" s="1145">
        <f t="shared" si="2"/>
        <v>0</v>
      </c>
      <c r="N24" s="1146" t="s">
        <v>574</v>
      </c>
      <c r="O24" s="1147"/>
      <c r="P24" s="1544"/>
      <c r="R24" s="1149"/>
      <c r="S24" s="1148">
        <v>800</v>
      </c>
      <c r="T24" s="1148">
        <v>40</v>
      </c>
      <c r="U24" s="1148">
        <f>(S24^2)/T24</f>
        <v>16000</v>
      </c>
    </row>
    <row r="25" spans="1:21" s="1148" customFormat="1" ht="16.5" customHeight="1" x14ac:dyDescent="0.3">
      <c r="B25" s="1141"/>
      <c r="C25" s="1132"/>
      <c r="D25" s="1132" t="s">
        <v>2</v>
      </c>
      <c r="E25" s="1142"/>
      <c r="F25" s="1154" t="s">
        <v>357</v>
      </c>
      <c r="G25" s="1144" t="s">
        <v>1058</v>
      </c>
      <c r="H25" s="443" t="s">
        <v>636</v>
      </c>
      <c r="I25" s="443" t="s">
        <v>636</v>
      </c>
      <c r="J25" s="443">
        <v>1</v>
      </c>
      <c r="K25" s="446">
        <v>7500</v>
      </c>
      <c r="L25" s="446">
        <v>70000</v>
      </c>
      <c r="M25" s="1145">
        <f>J25*K25</f>
        <v>7500</v>
      </c>
      <c r="N25" s="1146" t="s">
        <v>361</v>
      </c>
      <c r="O25" s="1147"/>
      <c r="P25" s="1544"/>
      <c r="R25" s="1149"/>
    </row>
    <row r="26" spans="1:21" s="1148" customFormat="1" ht="16.5" customHeight="1" x14ac:dyDescent="0.3">
      <c r="B26" s="1141"/>
      <c r="C26" s="1132"/>
      <c r="D26" s="1132" t="s">
        <v>2</v>
      </c>
      <c r="E26" s="1142"/>
      <c r="F26" s="1154" t="s">
        <v>587</v>
      </c>
      <c r="G26" s="1155" t="s">
        <v>728</v>
      </c>
      <c r="H26" s="443" t="s">
        <v>636</v>
      </c>
      <c r="I26" s="443" t="s">
        <v>636</v>
      </c>
      <c r="J26" s="443">
        <v>1</v>
      </c>
      <c r="K26" s="446">
        <v>21000</v>
      </c>
      <c r="L26" s="446">
        <v>20000</v>
      </c>
      <c r="M26" s="446">
        <f t="shared" ref="M26:M31" si="3">J26*K26</f>
        <v>21000</v>
      </c>
      <c r="N26" s="1146" t="s">
        <v>589</v>
      </c>
      <c r="O26" s="1147"/>
      <c r="P26" s="1545"/>
      <c r="R26" s="1149"/>
    </row>
    <row r="27" spans="1:21" s="82" customFormat="1" ht="16.5" customHeight="1" x14ac:dyDescent="0.3">
      <c r="A27" s="82" t="s">
        <v>1071</v>
      </c>
      <c r="B27" s="594"/>
      <c r="C27" s="1133"/>
      <c r="D27" s="1133" t="s">
        <v>2</v>
      </c>
      <c r="E27" s="595"/>
      <c r="F27" s="203" t="s">
        <v>619</v>
      </c>
      <c r="G27" s="991" t="s">
        <v>1062</v>
      </c>
      <c r="H27" s="184" t="s">
        <v>636</v>
      </c>
      <c r="I27" s="184" t="s">
        <v>636</v>
      </c>
      <c r="J27" s="155">
        <v>2</v>
      </c>
      <c r="K27" s="157">
        <v>7500</v>
      </c>
      <c r="L27" s="157">
        <v>70000</v>
      </c>
      <c r="M27" s="164">
        <f>J27*K27</f>
        <v>15000</v>
      </c>
      <c r="N27" s="1125" t="s">
        <v>561</v>
      </c>
      <c r="O27" s="1126"/>
      <c r="P27" s="152"/>
      <c r="Q27" s="768"/>
      <c r="R27" s="728"/>
      <c r="S27" s="562"/>
    </row>
    <row r="28" spans="1:21" s="82" customFormat="1" ht="16.5" customHeight="1" x14ac:dyDescent="0.3">
      <c r="A28" s="82" t="s">
        <v>1071</v>
      </c>
      <c r="B28" s="594"/>
      <c r="C28" s="1133"/>
      <c r="D28" s="1133" t="s">
        <v>2</v>
      </c>
      <c r="E28" s="595"/>
      <c r="F28" s="203" t="s">
        <v>620</v>
      </c>
      <c r="G28" s="991" t="s">
        <v>1064</v>
      </c>
      <c r="H28" s="184" t="s">
        <v>636</v>
      </c>
      <c r="I28" s="184" t="s">
        <v>636</v>
      </c>
      <c r="J28" s="155">
        <v>2</v>
      </c>
      <c r="K28" s="157">
        <v>7500</v>
      </c>
      <c r="L28" s="157">
        <v>70000</v>
      </c>
      <c r="M28" s="164">
        <f>J28*K28</f>
        <v>15000</v>
      </c>
      <c r="N28" s="1125" t="s">
        <v>561</v>
      </c>
      <c r="O28" s="1126"/>
      <c r="P28" s="152"/>
      <c r="Q28" s="768"/>
      <c r="R28" s="728"/>
      <c r="S28" s="562"/>
    </row>
    <row r="29" spans="1:21" s="82" customFormat="1" ht="16.5" customHeight="1" x14ac:dyDescent="0.3">
      <c r="A29" s="82" t="s">
        <v>1071</v>
      </c>
      <c r="B29" s="594"/>
      <c r="C29" s="1133"/>
      <c r="D29" s="1133" t="s">
        <v>2</v>
      </c>
      <c r="E29" s="595"/>
      <c r="F29" s="203" t="s">
        <v>587</v>
      </c>
      <c r="G29" s="991" t="s">
        <v>728</v>
      </c>
      <c r="H29" s="184" t="s">
        <v>636</v>
      </c>
      <c r="I29" s="184" t="s">
        <v>636</v>
      </c>
      <c r="J29" s="184">
        <v>4</v>
      </c>
      <c r="K29" s="55">
        <v>21000</v>
      </c>
      <c r="L29" s="55">
        <v>21000</v>
      </c>
      <c r="M29" s="55">
        <f t="shared" si="3"/>
        <v>84000</v>
      </c>
      <c r="N29" s="1134" t="s">
        <v>589</v>
      </c>
      <c r="O29" s="1135"/>
      <c r="P29"/>
      <c r="R29" s="728"/>
    </row>
    <row r="30" spans="1:21" s="82" customFormat="1" ht="16.5" customHeight="1" x14ac:dyDescent="0.3">
      <c r="A30" s="82" t="s">
        <v>1071</v>
      </c>
      <c r="B30" s="594"/>
      <c r="C30" s="1133"/>
      <c r="D30" s="1133" t="s">
        <v>2</v>
      </c>
      <c r="E30" s="595"/>
      <c r="F30" s="203" t="s">
        <v>354</v>
      </c>
      <c r="G30" s="991" t="s">
        <v>1029</v>
      </c>
      <c r="H30" s="184" t="s">
        <v>636</v>
      </c>
      <c r="I30" s="184" t="s">
        <v>636</v>
      </c>
      <c r="J30" s="184">
        <v>3</v>
      </c>
      <c r="K30" s="55">
        <v>7500</v>
      </c>
      <c r="L30" s="55">
        <v>70000</v>
      </c>
      <c r="M30" s="418">
        <f t="shared" si="3"/>
        <v>22500</v>
      </c>
      <c r="N30" s="1134" t="s">
        <v>561</v>
      </c>
      <c r="O30" s="1135"/>
      <c r="P30"/>
      <c r="R30" s="728"/>
    </row>
    <row r="31" spans="1:21" s="82" customFormat="1" ht="16.5" customHeight="1" x14ac:dyDescent="0.3">
      <c r="A31" s="82" t="s">
        <v>1071</v>
      </c>
      <c r="B31" s="594"/>
      <c r="C31" s="1133" t="s">
        <v>2</v>
      </c>
      <c r="D31" s="1133"/>
      <c r="E31" s="595"/>
      <c r="F31" s="596" t="s">
        <v>355</v>
      </c>
      <c r="G31" s="991" t="s">
        <v>1058</v>
      </c>
      <c r="H31" s="184" t="s">
        <v>636</v>
      </c>
      <c r="I31" s="184" t="s">
        <v>636</v>
      </c>
      <c r="J31" s="184">
        <v>6</v>
      </c>
      <c r="K31" s="55">
        <v>7500</v>
      </c>
      <c r="L31" s="55">
        <v>70000</v>
      </c>
      <c r="M31" s="418">
        <f t="shared" si="3"/>
        <v>45000</v>
      </c>
      <c r="N31" s="1134" t="s">
        <v>571</v>
      </c>
      <c r="O31" s="1135"/>
      <c r="P31"/>
      <c r="R31" s="728"/>
    </row>
    <row r="33" spans="5:7" x14ac:dyDescent="0.3">
      <c r="E33" t="s">
        <v>1067</v>
      </c>
      <c r="F33" t="s">
        <v>1068</v>
      </c>
      <c r="G33" t="s">
        <v>1069</v>
      </c>
    </row>
    <row r="34" spans="5:7" x14ac:dyDescent="0.3">
      <c r="E34" s="2" t="s">
        <v>791</v>
      </c>
      <c r="F34">
        <v>2</v>
      </c>
      <c r="G34">
        <v>0</v>
      </c>
    </row>
    <row r="35" spans="5:7" x14ac:dyDescent="0.3">
      <c r="E35" s="2" t="s">
        <v>792</v>
      </c>
      <c r="F35">
        <v>8</v>
      </c>
      <c r="G35">
        <v>168000</v>
      </c>
    </row>
    <row r="36" spans="5:7" x14ac:dyDescent="0.3">
      <c r="E36" s="2" t="s">
        <v>793</v>
      </c>
      <c r="F36">
        <v>2</v>
      </c>
      <c r="G36">
        <v>1500000</v>
      </c>
    </row>
    <row r="37" spans="5:7" x14ac:dyDescent="0.3">
      <c r="E37" s="2" t="s">
        <v>794</v>
      </c>
      <c r="F37">
        <v>1</v>
      </c>
      <c r="G37">
        <v>30000</v>
      </c>
    </row>
    <row r="38" spans="5:7" x14ac:dyDescent="0.3">
      <c r="E38" s="2" t="s">
        <v>795</v>
      </c>
      <c r="F38">
        <v>1</v>
      </c>
      <c r="G38">
        <v>30000</v>
      </c>
    </row>
    <row r="39" spans="5:7" x14ac:dyDescent="0.3">
      <c r="E39" s="2" t="s">
        <v>1070</v>
      </c>
      <c r="F39">
        <v>6</v>
      </c>
      <c r="G39">
        <v>45000</v>
      </c>
    </row>
    <row r="40" spans="5:7" x14ac:dyDescent="0.3">
      <c r="E40" s="2" t="s">
        <v>1058</v>
      </c>
      <c r="F40">
        <v>14</v>
      </c>
      <c r="G40">
        <v>105000</v>
      </c>
    </row>
    <row r="41" spans="5:7" x14ac:dyDescent="0.3">
      <c r="E41" s="2" t="s">
        <v>1061</v>
      </c>
      <c r="F41">
        <v>3</v>
      </c>
      <c r="G41">
        <v>22500</v>
      </c>
    </row>
    <row r="42" spans="5:7" x14ac:dyDescent="0.3">
      <c r="E42" s="2" t="s">
        <v>1063</v>
      </c>
      <c r="F42">
        <v>3</v>
      </c>
      <c r="G42">
        <v>22500</v>
      </c>
    </row>
    <row r="43" spans="5:7" x14ac:dyDescent="0.3">
      <c r="E43" s="2" t="s">
        <v>775</v>
      </c>
      <c r="F43">
        <v>40</v>
      </c>
      <c r="G43">
        <v>1923000</v>
      </c>
    </row>
  </sheetData>
  <mergeCells count="4">
    <mergeCell ref="P4:P11"/>
    <mergeCell ref="P14:P17"/>
    <mergeCell ref="P18:P21"/>
    <mergeCell ref="P22:P26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75C7F-891C-4AF9-B738-E81C0722B8BB}">
  <sheetPr>
    <pageSetUpPr fitToPage="1"/>
  </sheetPr>
  <dimension ref="A1:AI85"/>
  <sheetViews>
    <sheetView topLeftCell="A37" zoomScale="85" zoomScaleNormal="85" zoomScaleSheetLayoutView="100" zoomScalePageLayoutView="85" workbookViewId="0">
      <selection activeCell="F42" sqref="F42:L43"/>
    </sheetView>
  </sheetViews>
  <sheetFormatPr defaultRowHeight="16.5" x14ac:dyDescent="0.3"/>
  <cols>
    <col min="1" max="1" width="1.625" customWidth="1"/>
    <col min="2" max="5" width="3.375" style="2" customWidth="1"/>
    <col min="6" max="6" width="57.25" style="3" customWidth="1"/>
    <col min="7" max="7" width="25.625" style="3" bestFit="1" customWidth="1"/>
    <col min="8" max="9" width="16.625" style="3" customWidth="1"/>
    <col min="10" max="10" width="6.625" style="3" customWidth="1"/>
    <col min="11" max="13" width="16.625" style="1" customWidth="1"/>
    <col min="14" max="14" width="12.625" style="5" customWidth="1"/>
    <col min="15" max="15" width="9.625" style="1" customWidth="1"/>
    <col min="16" max="16" width="12.625" style="1" customWidth="1"/>
    <col min="17" max="18" width="22.375" customWidth="1"/>
    <col min="19" max="19" width="21.875" style="93" customWidth="1"/>
    <col min="20" max="20" width="8.125" style="70" customWidth="1"/>
    <col min="21" max="21" width="11.5" style="716" bestFit="1" customWidth="1"/>
    <col min="22" max="22" width="49.75" style="562" bestFit="1" customWidth="1"/>
  </cols>
  <sheetData>
    <row r="1" spans="1:33" ht="9.9499999999999993" customHeight="1" x14ac:dyDescent="0.3"/>
    <row r="2" spans="1:33" ht="26.25" x14ac:dyDescent="0.3">
      <c r="A2" s="1445" t="s">
        <v>583</v>
      </c>
      <c r="B2" s="1445"/>
      <c r="C2" s="1445"/>
      <c r="D2" s="1445"/>
      <c r="E2" s="1445"/>
      <c r="F2" s="1445"/>
      <c r="G2" s="1445"/>
      <c r="H2" s="1445"/>
      <c r="I2" s="1445"/>
      <c r="J2" s="1445"/>
      <c r="K2" s="1445"/>
      <c r="L2" s="1445"/>
      <c r="M2" s="1445"/>
      <c r="N2" s="1445"/>
      <c r="O2" s="1445"/>
      <c r="P2" s="1445"/>
      <c r="Q2" s="1445"/>
      <c r="R2" s="1445"/>
      <c r="S2" s="1445"/>
      <c r="T2" s="72"/>
      <c r="U2" s="717"/>
    </row>
    <row r="3" spans="1:33" ht="17.25" thickBot="1" x14ac:dyDescent="0.35">
      <c r="Q3" s="1446">
        <v>45435</v>
      </c>
      <c r="R3" s="1446"/>
      <c r="S3" s="1446"/>
      <c r="T3" s="75"/>
      <c r="U3" s="718"/>
    </row>
    <row r="4" spans="1:33" ht="18" thickBot="1" x14ac:dyDescent="0.35">
      <c r="B4" s="1318" t="s">
        <v>491</v>
      </c>
      <c r="C4" s="1319"/>
      <c r="D4" s="1319"/>
      <c r="E4" s="1320"/>
      <c r="F4" s="6" t="s">
        <v>56</v>
      </c>
      <c r="G4" s="6" t="s">
        <v>55</v>
      </c>
      <c r="H4" s="6" t="s">
        <v>0</v>
      </c>
      <c r="I4" s="6" t="s">
        <v>43</v>
      </c>
      <c r="J4" s="6" t="s">
        <v>4</v>
      </c>
      <c r="K4" s="7" t="s">
        <v>12</v>
      </c>
      <c r="L4" s="8" t="s">
        <v>39</v>
      </c>
      <c r="M4" s="8" t="s">
        <v>5</v>
      </c>
      <c r="N4" s="141" t="s">
        <v>13</v>
      </c>
      <c r="O4" s="1321" t="s">
        <v>6</v>
      </c>
      <c r="P4" s="1322"/>
      <c r="Q4" s="1319" t="s">
        <v>3</v>
      </c>
      <c r="R4" s="1323"/>
      <c r="S4" s="71" t="s">
        <v>59</v>
      </c>
      <c r="T4" s="75"/>
      <c r="U4" s="718"/>
    </row>
    <row r="5" spans="1:33" s="82" customFormat="1" ht="17.25" thickBot="1" x14ac:dyDescent="0.35">
      <c r="B5" s="122" t="s">
        <v>2</v>
      </c>
      <c r="C5" s="116"/>
      <c r="D5" s="116"/>
      <c r="E5" s="117"/>
      <c r="F5" s="118" t="s">
        <v>265</v>
      </c>
      <c r="G5" s="119"/>
      <c r="H5" s="119"/>
      <c r="I5" s="119"/>
      <c r="J5" s="119"/>
      <c r="K5" s="272"/>
      <c r="L5" s="120"/>
      <c r="M5" s="121"/>
      <c r="N5" s="135"/>
      <c r="O5" s="1447"/>
      <c r="P5" s="1448"/>
      <c r="Q5" s="1326"/>
      <c r="R5" s="1327"/>
      <c r="S5" s="115"/>
      <c r="T5" s="73"/>
      <c r="U5" s="719"/>
      <c r="V5" s="562"/>
      <c r="W5"/>
      <c r="X5"/>
      <c r="Y5"/>
      <c r="Z5"/>
      <c r="AA5"/>
      <c r="AB5"/>
      <c r="AC5"/>
      <c r="AD5"/>
      <c r="AE5"/>
      <c r="AF5"/>
      <c r="AG5"/>
    </row>
    <row r="6" spans="1:33" s="369" customFormat="1" x14ac:dyDescent="0.3">
      <c r="B6" s="498"/>
      <c r="C6" s="155" t="s">
        <v>2</v>
      </c>
      <c r="D6" s="155"/>
      <c r="E6" s="151"/>
      <c r="F6" s="269" t="s">
        <v>578</v>
      </c>
      <c r="G6" s="184" t="s">
        <v>512</v>
      </c>
      <c r="H6" s="185" t="s">
        <v>131</v>
      </c>
      <c r="I6" s="185" t="s">
        <v>131</v>
      </c>
      <c r="J6" s="184">
        <v>1</v>
      </c>
      <c r="K6" s="169">
        <f>(16960+2700+810)*0.5*1.071*1400</f>
        <v>15346359</v>
      </c>
      <c r="L6" s="55">
        <f>21492000+4038000+1220000</f>
        <v>26750000</v>
      </c>
      <c r="M6" s="164">
        <f>J6*K6</f>
        <v>15346359</v>
      </c>
      <c r="N6" s="158">
        <v>0</v>
      </c>
      <c r="O6" s="1328">
        <f>J6*L6/(1-N6)</f>
        <v>26750000</v>
      </c>
      <c r="P6" s="1329"/>
      <c r="Q6" s="1330" t="s">
        <v>437</v>
      </c>
      <c r="R6" s="1331"/>
      <c r="S6" s="168"/>
      <c r="T6" s="368"/>
      <c r="U6" s="720"/>
      <c r="V6" s="562" t="s">
        <v>495</v>
      </c>
      <c r="W6" s="370"/>
      <c r="X6" s="370"/>
      <c r="Y6" s="370"/>
      <c r="Z6" s="370"/>
      <c r="AA6" s="370"/>
      <c r="AB6" s="370"/>
      <c r="AC6" s="370"/>
      <c r="AD6" s="370"/>
      <c r="AE6" s="370"/>
      <c r="AF6" s="370"/>
      <c r="AG6" s="370"/>
    </row>
    <row r="7" spans="1:33" s="369" customFormat="1" x14ac:dyDescent="0.3">
      <c r="B7" s="498"/>
      <c r="C7" s="155"/>
      <c r="D7" s="155" t="s">
        <v>2</v>
      </c>
      <c r="E7" s="151"/>
      <c r="F7" s="269" t="s">
        <v>369</v>
      </c>
      <c r="G7" s="184">
        <v>701978</v>
      </c>
      <c r="H7" s="185" t="s">
        <v>131</v>
      </c>
      <c r="I7" s="185" t="s">
        <v>131</v>
      </c>
      <c r="J7" s="184">
        <v>2</v>
      </c>
      <c r="K7" s="169">
        <f>(1200)*0.6*1.071*1400</f>
        <v>1079568</v>
      </c>
      <c r="L7" s="55">
        <v>2025000</v>
      </c>
      <c r="M7" s="164">
        <f>J7*K7</f>
        <v>2159136</v>
      </c>
      <c r="N7" s="158">
        <v>0</v>
      </c>
      <c r="O7" s="1328">
        <f>J7*L7/(1-N7)</f>
        <v>4050000</v>
      </c>
      <c r="P7" s="1329"/>
      <c r="Q7" s="1330" t="s">
        <v>509</v>
      </c>
      <c r="R7" s="1331"/>
      <c r="S7" s="204"/>
      <c r="T7" s="368"/>
      <c r="U7" s="720"/>
      <c r="V7" s="562"/>
      <c r="W7" s="370"/>
      <c r="X7" s="370"/>
      <c r="Y7" s="370"/>
      <c r="Z7" s="370"/>
      <c r="AA7" s="370"/>
      <c r="AB7" s="370"/>
      <c r="AC7" s="370"/>
      <c r="AD7" s="370"/>
      <c r="AE7" s="370"/>
      <c r="AF7" s="370"/>
      <c r="AG7" s="370"/>
    </row>
    <row r="8" spans="1:33" s="369" customFormat="1" x14ac:dyDescent="0.3">
      <c r="A8" s="649"/>
      <c r="B8" s="498"/>
      <c r="C8" s="155"/>
      <c r="D8" s="155" t="s">
        <v>2</v>
      </c>
      <c r="E8" s="151"/>
      <c r="F8" s="269" t="s">
        <v>549</v>
      </c>
      <c r="G8" s="184">
        <v>701937</v>
      </c>
      <c r="H8" s="185" t="s">
        <v>131</v>
      </c>
      <c r="I8" s="185" t="s">
        <v>131</v>
      </c>
      <c r="J8" s="184">
        <v>1</v>
      </c>
      <c r="K8" s="169"/>
      <c r="L8" s="55"/>
      <c r="M8" s="164"/>
      <c r="N8" s="158">
        <v>0</v>
      </c>
      <c r="O8" s="1328">
        <f>J8*L8/(1-N8)</f>
        <v>0</v>
      </c>
      <c r="P8" s="1329"/>
      <c r="Q8" s="1330" t="s">
        <v>556</v>
      </c>
      <c r="R8" s="1331"/>
      <c r="S8" s="204"/>
      <c r="T8" s="368"/>
      <c r="U8" s="720"/>
      <c r="V8" s="562" t="s">
        <v>492</v>
      </c>
      <c r="W8" s="370"/>
      <c r="X8" s="370"/>
      <c r="Y8" s="370"/>
      <c r="Z8" s="370"/>
      <c r="AA8" s="370"/>
      <c r="AB8" s="370"/>
      <c r="AC8" s="370"/>
      <c r="AD8" s="370"/>
      <c r="AE8" s="370"/>
      <c r="AF8" s="370"/>
      <c r="AG8" s="370"/>
    </row>
    <row r="9" spans="1:33" s="413" customFormat="1" x14ac:dyDescent="0.3">
      <c r="B9" s="496"/>
      <c r="C9" s="497"/>
      <c r="D9" s="416" t="s">
        <v>2</v>
      </c>
      <c r="E9" s="497"/>
      <c r="F9" s="417" t="s">
        <v>489</v>
      </c>
      <c r="G9" s="416">
        <v>702916</v>
      </c>
      <c r="H9" s="416" t="s">
        <v>131</v>
      </c>
      <c r="I9" s="56" t="s">
        <v>131</v>
      </c>
      <c r="J9" s="416">
        <v>1</v>
      </c>
      <c r="K9" s="169">
        <f>(6450)*0.6*1.071*1400</f>
        <v>5802677.9999999991</v>
      </c>
      <c r="L9" s="169">
        <v>8712000</v>
      </c>
      <c r="M9" s="418">
        <f t="shared" ref="M9:M17" si="0">J9*K9</f>
        <v>5802677.9999999991</v>
      </c>
      <c r="N9" s="419">
        <v>0</v>
      </c>
      <c r="O9" s="1472">
        <f>J9*L9/(1-N9)</f>
        <v>8712000</v>
      </c>
      <c r="P9" s="1473"/>
      <c r="Q9" s="1474" t="s">
        <v>575</v>
      </c>
      <c r="R9" s="1475"/>
      <c r="S9" s="420"/>
      <c r="T9" s="74" t="s">
        <v>576</v>
      </c>
      <c r="U9" s="721"/>
      <c r="V9" s="569" t="s">
        <v>498</v>
      </c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</row>
    <row r="10" spans="1:33" s="369" customFormat="1" x14ac:dyDescent="0.3">
      <c r="B10" s="650"/>
      <c r="C10" s="651" t="s">
        <v>73</v>
      </c>
      <c r="D10" s="651"/>
      <c r="E10" s="652"/>
      <c r="F10" s="653" t="s">
        <v>399</v>
      </c>
      <c r="G10" s="654" t="s">
        <v>336</v>
      </c>
      <c r="H10" s="655" t="s">
        <v>337</v>
      </c>
      <c r="I10" s="655" t="s">
        <v>337</v>
      </c>
      <c r="J10" s="654">
        <v>1</v>
      </c>
      <c r="K10" s="657">
        <f>690000*8.7116</f>
        <v>6011004.0000000009</v>
      </c>
      <c r="L10" s="757">
        <v>11825000</v>
      </c>
      <c r="M10" s="658">
        <f>J10*K10</f>
        <v>6011004.0000000009</v>
      </c>
      <c r="N10" s="659">
        <v>0</v>
      </c>
      <c r="O10" s="1449">
        <f t="shared" ref="O10:O17" si="1">J10*L10/(1-N10)</f>
        <v>11825000</v>
      </c>
      <c r="P10" s="1450"/>
      <c r="Q10" s="1451" t="s">
        <v>586</v>
      </c>
      <c r="R10" s="1452"/>
      <c r="S10" s="204"/>
      <c r="T10" s="368" t="s">
        <v>585</v>
      </c>
      <c r="U10" s="720"/>
      <c r="V10" s="562"/>
      <c r="W10" s="370"/>
      <c r="X10" s="370"/>
      <c r="Y10" s="370"/>
      <c r="Z10" s="370"/>
      <c r="AA10" s="370"/>
      <c r="AB10" s="370"/>
      <c r="AC10" s="370"/>
      <c r="AD10" s="370"/>
      <c r="AE10" s="370"/>
      <c r="AF10" s="370"/>
      <c r="AG10" s="370"/>
    </row>
    <row r="11" spans="1:33" s="82" customFormat="1" x14ac:dyDescent="0.3">
      <c r="B11" s="662"/>
      <c r="C11" s="663"/>
      <c r="D11" s="664"/>
      <c r="E11" s="663"/>
      <c r="F11" s="665" t="s">
        <v>399</v>
      </c>
      <c r="G11" s="664" t="s">
        <v>395</v>
      </c>
      <c r="H11" s="664" t="s">
        <v>394</v>
      </c>
      <c r="I11" s="666"/>
      <c r="J11" s="664">
        <v>0</v>
      </c>
      <c r="K11" s="667">
        <f>L11*0.75</f>
        <v>7717500</v>
      </c>
      <c r="L11" s="667">
        <v>10290000</v>
      </c>
      <c r="M11" s="668">
        <f t="shared" si="0"/>
        <v>0</v>
      </c>
      <c r="N11" s="669">
        <v>0</v>
      </c>
      <c r="O11" s="1552">
        <f t="shared" si="1"/>
        <v>0</v>
      </c>
      <c r="P11" s="1553"/>
      <c r="Q11" s="1554" t="s">
        <v>550</v>
      </c>
      <c r="R11" s="1555"/>
      <c r="S11" s="753"/>
      <c r="T11" s="73"/>
      <c r="U11" s="719"/>
      <c r="V11" s="562" t="s">
        <v>499</v>
      </c>
      <c r="W11"/>
      <c r="X11"/>
      <c r="Y11"/>
      <c r="Z11"/>
      <c r="AA11"/>
      <c r="AB11"/>
      <c r="AC11"/>
      <c r="AD11"/>
      <c r="AE11"/>
      <c r="AF11"/>
      <c r="AG11"/>
    </row>
    <row r="12" spans="1:33" s="84" customFormat="1" x14ac:dyDescent="0.3">
      <c r="B12" s="498"/>
      <c r="C12" s="499" t="s">
        <v>73</v>
      </c>
      <c r="D12" s="499"/>
      <c r="E12" s="151"/>
      <c r="F12" s="156" t="s">
        <v>546</v>
      </c>
      <c r="G12" s="393" t="s">
        <v>425</v>
      </c>
      <c r="H12" s="155" t="s">
        <v>142</v>
      </c>
      <c r="I12" s="56" t="s">
        <v>64</v>
      </c>
      <c r="J12" s="155">
        <v>1</v>
      </c>
      <c r="K12" s="55">
        <f>L12*0.75</f>
        <v>1731750</v>
      </c>
      <c r="L12" s="55">
        <v>2309000</v>
      </c>
      <c r="M12" s="164">
        <f t="shared" si="0"/>
        <v>1731750</v>
      </c>
      <c r="N12" s="158">
        <v>0</v>
      </c>
      <c r="O12" s="1328">
        <f t="shared" si="1"/>
        <v>2309000</v>
      </c>
      <c r="P12" s="1329"/>
      <c r="Q12" s="1330" t="s">
        <v>426</v>
      </c>
      <c r="R12" s="1331"/>
      <c r="S12" s="204"/>
      <c r="T12" s="78"/>
      <c r="U12" s="722"/>
      <c r="V12" s="562"/>
      <c r="W12"/>
      <c r="X12"/>
      <c r="Y12"/>
      <c r="Z12"/>
      <c r="AA12"/>
      <c r="AB12"/>
      <c r="AC12"/>
      <c r="AD12"/>
      <c r="AE12"/>
      <c r="AF12"/>
      <c r="AG12"/>
    </row>
    <row r="13" spans="1:33" s="528" customFormat="1" x14ac:dyDescent="0.3">
      <c r="B13" s="62"/>
      <c r="C13" s="63" t="s">
        <v>2</v>
      </c>
      <c r="D13" s="63"/>
      <c r="E13" s="61"/>
      <c r="F13" s="174" t="s">
        <v>459</v>
      </c>
      <c r="G13" s="507" t="s">
        <v>195</v>
      </c>
      <c r="H13" s="56" t="s">
        <v>142</v>
      </c>
      <c r="I13" s="56" t="s">
        <v>64</v>
      </c>
      <c r="J13" s="56">
        <v>1</v>
      </c>
      <c r="K13" s="55">
        <f>L13*0.75</f>
        <v>14394750</v>
      </c>
      <c r="L13" s="55">
        <f>19193000</f>
        <v>19193000</v>
      </c>
      <c r="M13" s="418">
        <f t="shared" si="0"/>
        <v>14394750</v>
      </c>
      <c r="N13" s="503">
        <v>0</v>
      </c>
      <c r="O13" s="1472">
        <f>L13*J13</f>
        <v>19193000</v>
      </c>
      <c r="P13" s="1473"/>
      <c r="Q13" s="1484" t="s">
        <v>401</v>
      </c>
      <c r="R13" s="1485"/>
      <c r="S13" s="212"/>
      <c r="T13" s="400"/>
      <c r="U13" s="723"/>
      <c r="V13" s="563"/>
      <c r="W13" s="70"/>
      <c r="X13" s="70"/>
      <c r="Y13" s="70"/>
      <c r="Z13" s="70"/>
      <c r="AA13" s="70"/>
      <c r="AB13" s="70"/>
      <c r="AC13" s="70"/>
    </row>
    <row r="14" spans="1:33" s="528" customFormat="1" x14ac:dyDescent="0.3">
      <c r="B14" s="62"/>
      <c r="C14" s="63"/>
      <c r="D14" s="63" t="s">
        <v>2</v>
      </c>
      <c r="E14" s="61"/>
      <c r="F14" s="174" t="s">
        <v>460</v>
      </c>
      <c r="G14" s="507" t="s">
        <v>461</v>
      </c>
      <c r="H14" s="56" t="s">
        <v>142</v>
      </c>
      <c r="I14" s="56" t="s">
        <v>64</v>
      </c>
      <c r="J14" s="56">
        <v>1</v>
      </c>
      <c r="K14" s="55">
        <f>L14*0.75</f>
        <v>14008500</v>
      </c>
      <c r="L14" s="55">
        <v>18678000</v>
      </c>
      <c r="M14" s="418">
        <f t="shared" si="0"/>
        <v>14008500</v>
      </c>
      <c r="N14" s="503">
        <v>0</v>
      </c>
      <c r="O14" s="1472">
        <f>L14*J14</f>
        <v>18678000</v>
      </c>
      <c r="P14" s="1473"/>
      <c r="Q14" s="1486"/>
      <c r="R14" s="1487"/>
      <c r="S14" s="212"/>
      <c r="T14" s="70"/>
      <c r="U14" s="716"/>
      <c r="V14" s="563"/>
      <c r="W14" s="70"/>
      <c r="X14" s="70"/>
      <c r="Y14" s="70"/>
      <c r="Z14" s="70"/>
      <c r="AA14" s="70"/>
      <c r="AB14" s="70"/>
      <c r="AC14" s="70"/>
    </row>
    <row r="15" spans="1:33" s="84" customFormat="1" x14ac:dyDescent="0.3">
      <c r="B15" s="581"/>
      <c r="C15" s="184" t="s">
        <v>73</v>
      </c>
      <c r="D15" s="184"/>
      <c r="E15" s="582"/>
      <c r="F15" s="156" t="s">
        <v>427</v>
      </c>
      <c r="G15" s="155">
        <v>2470</v>
      </c>
      <c r="H15" s="155" t="s">
        <v>258</v>
      </c>
      <c r="I15" s="155"/>
      <c r="J15" s="184">
        <v>1</v>
      </c>
      <c r="K15" s="169">
        <f>L15*0.85</f>
        <v>14960000</v>
      </c>
      <c r="L15" s="55">
        <v>17600000</v>
      </c>
      <c r="M15" s="164">
        <f t="shared" si="0"/>
        <v>14960000</v>
      </c>
      <c r="N15" s="158">
        <v>0</v>
      </c>
      <c r="O15" s="1328">
        <f t="shared" si="1"/>
        <v>17600000</v>
      </c>
      <c r="P15" s="1329"/>
      <c r="Q15" s="1330" t="s">
        <v>263</v>
      </c>
      <c r="R15" s="1331"/>
      <c r="S15" s="204"/>
      <c r="T15" s="78"/>
      <c r="U15" s="722"/>
      <c r="V15" s="562"/>
      <c r="W15"/>
      <c r="X15"/>
      <c r="Y15"/>
      <c r="Z15"/>
      <c r="AA15"/>
      <c r="AB15"/>
      <c r="AC15"/>
      <c r="AD15"/>
      <c r="AE15"/>
      <c r="AF15"/>
      <c r="AG15"/>
    </row>
    <row r="16" spans="1:33" s="84" customFormat="1" ht="49.5" x14ac:dyDescent="0.3">
      <c r="B16" s="581"/>
      <c r="C16" s="184" t="s">
        <v>73</v>
      </c>
      <c r="D16" s="184"/>
      <c r="E16" s="582"/>
      <c r="F16" s="156" t="s">
        <v>259</v>
      </c>
      <c r="G16" s="155" t="s">
        <v>325</v>
      </c>
      <c r="H16" s="155" t="s">
        <v>258</v>
      </c>
      <c r="I16" s="155"/>
      <c r="J16" s="184">
        <v>1</v>
      </c>
      <c r="K16" s="169">
        <f>L16*0.85</f>
        <v>6273000</v>
      </c>
      <c r="L16" s="55">
        <v>7380000</v>
      </c>
      <c r="M16" s="164">
        <f t="shared" si="0"/>
        <v>6273000</v>
      </c>
      <c r="N16" s="158">
        <v>0</v>
      </c>
      <c r="O16" s="1328">
        <f t="shared" si="1"/>
        <v>7380000</v>
      </c>
      <c r="P16" s="1329"/>
      <c r="Q16" s="1330" t="s">
        <v>326</v>
      </c>
      <c r="R16" s="1331"/>
      <c r="S16" s="204"/>
      <c r="T16" s="78"/>
      <c r="U16" s="722"/>
      <c r="V16" s="568" t="s">
        <v>496</v>
      </c>
      <c r="W16"/>
      <c r="X16"/>
      <c r="Y16"/>
      <c r="Z16"/>
      <c r="AA16"/>
      <c r="AB16"/>
      <c r="AC16"/>
      <c r="AD16"/>
      <c r="AE16"/>
      <c r="AF16"/>
      <c r="AG16"/>
    </row>
    <row r="17" spans="1:35" s="84" customFormat="1" x14ac:dyDescent="0.3">
      <c r="B17" s="581"/>
      <c r="C17" s="184" t="s">
        <v>2</v>
      </c>
      <c r="D17" s="184"/>
      <c r="E17" s="582"/>
      <c r="F17" s="156" t="s">
        <v>428</v>
      </c>
      <c r="G17" s="155">
        <v>3153</v>
      </c>
      <c r="H17" s="155" t="s">
        <v>260</v>
      </c>
      <c r="I17" s="155"/>
      <c r="J17" s="184">
        <v>1</v>
      </c>
      <c r="K17" s="169">
        <f t="shared" ref="K17" si="2">L17*0.75</f>
        <v>8088000</v>
      </c>
      <c r="L17" s="55">
        <v>10784000</v>
      </c>
      <c r="M17" s="164">
        <f t="shared" si="0"/>
        <v>8088000</v>
      </c>
      <c r="N17" s="158">
        <v>0</v>
      </c>
      <c r="O17" s="1328">
        <f t="shared" si="1"/>
        <v>10784000</v>
      </c>
      <c r="P17" s="1329"/>
      <c r="Q17" s="1330" t="s">
        <v>511</v>
      </c>
      <c r="R17" s="1331"/>
      <c r="S17" s="204"/>
      <c r="T17" s="78"/>
      <c r="U17" s="722"/>
      <c r="V17" s="562" t="s">
        <v>497</v>
      </c>
      <c r="W17"/>
      <c r="X17"/>
      <c r="Y17"/>
      <c r="Z17"/>
      <c r="AA17"/>
      <c r="AB17"/>
      <c r="AC17"/>
      <c r="AD17"/>
      <c r="AE17"/>
      <c r="AF17"/>
      <c r="AG17"/>
    </row>
    <row r="18" spans="1:35" s="394" customFormat="1" x14ac:dyDescent="0.3">
      <c r="A18" s="369"/>
      <c r="B18" s="583"/>
      <c r="C18" s="584"/>
      <c r="D18" s="584"/>
      <c r="E18" s="518"/>
      <c r="F18" s="519" t="s">
        <v>423</v>
      </c>
      <c r="G18" s="405" t="s">
        <v>273</v>
      </c>
      <c r="H18" s="405" t="s">
        <v>255</v>
      </c>
      <c r="I18" s="405"/>
      <c r="J18" s="405">
        <v>0</v>
      </c>
      <c r="K18" s="520">
        <f>L18*0.75</f>
        <v>27652500</v>
      </c>
      <c r="L18" s="520">
        <v>36870000</v>
      </c>
      <c r="M18" s="407">
        <f>J18*K18</f>
        <v>0</v>
      </c>
      <c r="N18" s="521">
        <v>0</v>
      </c>
      <c r="O18" s="1546">
        <f>J18*L18/(1-N18)</f>
        <v>0</v>
      </c>
      <c r="P18" s="1547"/>
      <c r="Q18" s="1548" t="s">
        <v>462</v>
      </c>
      <c r="R18" s="1549"/>
      <c r="S18" s="212"/>
      <c r="T18" s="400"/>
      <c r="U18" s="723"/>
      <c r="V18" s="563"/>
      <c r="W18" s="400"/>
      <c r="X18" s="400"/>
      <c r="Y18" s="400"/>
      <c r="Z18" s="400"/>
      <c r="AA18" s="400"/>
      <c r="AB18" s="400"/>
    </row>
    <row r="19" spans="1:35" s="528" customFormat="1" x14ac:dyDescent="0.3">
      <c r="A19" s="84"/>
      <c r="B19" s="583"/>
      <c r="C19" s="584"/>
      <c r="D19" s="584"/>
      <c r="E19" s="518"/>
      <c r="F19" s="519" t="s">
        <v>424</v>
      </c>
      <c r="G19" s="405" t="s">
        <v>274</v>
      </c>
      <c r="H19" s="405" t="s">
        <v>255</v>
      </c>
      <c r="I19" s="405"/>
      <c r="J19" s="405">
        <v>0</v>
      </c>
      <c r="K19" s="520">
        <f>L19*0.75</f>
        <v>23730000</v>
      </c>
      <c r="L19" s="520">
        <v>31640000</v>
      </c>
      <c r="M19" s="407">
        <f>J19*K19</f>
        <v>0</v>
      </c>
      <c r="N19" s="521">
        <v>0</v>
      </c>
      <c r="O19" s="1546">
        <f>J19*L19/(1-N19)</f>
        <v>0</v>
      </c>
      <c r="P19" s="1547"/>
      <c r="Q19" s="1550" t="s">
        <v>401</v>
      </c>
      <c r="R19" s="1551"/>
      <c r="S19" s="212"/>
      <c r="T19" s="70"/>
      <c r="U19" s="716"/>
      <c r="V19" s="563"/>
      <c r="W19" s="70"/>
      <c r="X19" s="70"/>
      <c r="Y19" s="70"/>
      <c r="Z19" s="70"/>
      <c r="AA19" s="70"/>
      <c r="AB19" s="70"/>
      <c r="AC19" s="70"/>
      <c r="AD19" s="70"/>
    </row>
    <row r="20" spans="1:35" s="82" customFormat="1" ht="17.25" thickBot="1" x14ac:dyDescent="0.35">
      <c r="B20" s="585"/>
      <c r="C20" s="492"/>
      <c r="D20" s="492"/>
      <c r="E20" s="586"/>
      <c r="F20" s="487"/>
      <c r="G20" s="484"/>
      <c r="H20" s="484"/>
      <c r="I20" s="484"/>
      <c r="J20" s="492"/>
      <c r="K20" s="493"/>
      <c r="L20" s="488"/>
      <c r="M20" s="485"/>
      <c r="N20" s="486"/>
      <c r="O20" s="1476"/>
      <c r="P20" s="1477"/>
      <c r="Q20" s="1478"/>
      <c r="R20" s="1479"/>
      <c r="S20" s="489"/>
      <c r="T20" s="273"/>
      <c r="U20" s="724"/>
      <c r="V20" s="562"/>
    </row>
    <row r="21" spans="1:35" s="84" customFormat="1" ht="17.25" thickBot="1" x14ac:dyDescent="0.35">
      <c r="B21" s="587" t="s">
        <v>2</v>
      </c>
      <c r="C21" s="588"/>
      <c r="D21" s="588"/>
      <c r="E21" s="589"/>
      <c r="F21" s="270" t="s">
        <v>266</v>
      </c>
      <c r="G21" s="590"/>
      <c r="H21" s="590"/>
      <c r="I21" s="590"/>
      <c r="J21" s="590"/>
      <c r="K21" s="590"/>
      <c r="L21" s="591"/>
      <c r="M21" s="592"/>
      <c r="N21" s="593"/>
      <c r="O21" s="1324"/>
      <c r="P21" s="1325"/>
      <c r="Q21" s="1326"/>
      <c r="R21" s="1327"/>
      <c r="S21" s="115"/>
      <c r="T21" s="78"/>
      <c r="U21" s="722"/>
      <c r="V21" s="566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 spans="1:35" s="82" customFormat="1" x14ac:dyDescent="0.3">
      <c r="B22" s="500"/>
      <c r="C22" s="501" t="s">
        <v>2</v>
      </c>
      <c r="D22" s="144"/>
      <c r="E22" s="145"/>
      <c r="F22" s="146" t="s">
        <v>541</v>
      </c>
      <c r="G22" s="144" t="s">
        <v>278</v>
      </c>
      <c r="H22" s="144" t="s">
        <v>80</v>
      </c>
      <c r="I22" s="144" t="s">
        <v>240</v>
      </c>
      <c r="J22" s="144">
        <v>1</v>
      </c>
      <c r="K22" s="157">
        <f t="shared" ref="K22:K25" si="3">L22*0.95</f>
        <v>2422500</v>
      </c>
      <c r="L22" s="147">
        <v>2550000</v>
      </c>
      <c r="M22" s="163">
        <f>J22*K22</f>
        <v>2422500</v>
      </c>
      <c r="N22" s="148">
        <v>0</v>
      </c>
      <c r="O22" s="1480">
        <f t="shared" ref="O22:O25" si="4">J22*L22/(1-N22)</f>
        <v>2550000</v>
      </c>
      <c r="P22" s="1481"/>
      <c r="Q22" s="1482"/>
      <c r="R22" s="1483"/>
      <c r="S22" s="287"/>
      <c r="T22" s="273"/>
      <c r="U22" s="724"/>
      <c r="V22" s="562" t="s">
        <v>493</v>
      </c>
    </row>
    <row r="23" spans="1:35" x14ac:dyDescent="0.3">
      <c r="B23" s="498"/>
      <c r="C23" s="499"/>
      <c r="D23" s="499" t="s">
        <v>2</v>
      </c>
      <c r="E23" s="151"/>
      <c r="F23" s="156" t="s">
        <v>539</v>
      </c>
      <c r="G23" s="155" t="s">
        <v>422</v>
      </c>
      <c r="H23" s="155" t="s">
        <v>80</v>
      </c>
      <c r="I23" s="155" t="s">
        <v>430</v>
      </c>
      <c r="J23" s="155">
        <v>1</v>
      </c>
      <c r="K23" s="157">
        <f t="shared" si="3"/>
        <v>2242000</v>
      </c>
      <c r="L23" s="157">
        <v>2360000</v>
      </c>
      <c r="M23" s="164">
        <f t="shared" ref="M23:M25" si="5">J23*K23</f>
        <v>2242000</v>
      </c>
      <c r="N23" s="158">
        <v>0</v>
      </c>
      <c r="O23" s="1328">
        <f t="shared" si="4"/>
        <v>2360000</v>
      </c>
      <c r="P23" s="1329"/>
      <c r="Q23" s="1330" t="s">
        <v>582</v>
      </c>
      <c r="R23" s="1331"/>
      <c r="S23" s="152"/>
      <c r="T23" s="606" t="s">
        <v>552</v>
      </c>
      <c r="U23" s="725"/>
      <c r="V23" s="567" t="s">
        <v>494</v>
      </c>
      <c r="W23" s="3"/>
      <c r="X23" s="79"/>
    </row>
    <row r="24" spans="1:35" x14ac:dyDescent="0.3">
      <c r="B24" s="498"/>
      <c r="C24" s="499"/>
      <c r="D24" s="499" t="s">
        <v>2</v>
      </c>
      <c r="E24" s="151"/>
      <c r="F24" s="156" t="s">
        <v>537</v>
      </c>
      <c r="G24" s="155" t="s">
        <v>316</v>
      </c>
      <c r="H24" s="155" t="s">
        <v>80</v>
      </c>
      <c r="I24" s="155" t="s">
        <v>430</v>
      </c>
      <c r="J24" s="155">
        <v>1</v>
      </c>
      <c r="K24" s="157">
        <f t="shared" si="3"/>
        <v>836000</v>
      </c>
      <c r="L24" s="157">
        <v>880000</v>
      </c>
      <c r="M24" s="164">
        <f t="shared" si="5"/>
        <v>836000</v>
      </c>
      <c r="N24" s="158">
        <v>0</v>
      </c>
      <c r="O24" s="1328">
        <f t="shared" si="4"/>
        <v>880000</v>
      </c>
      <c r="P24" s="1329"/>
      <c r="Q24" s="737" t="s">
        <v>581</v>
      </c>
      <c r="R24" s="738"/>
      <c r="S24" s="289"/>
      <c r="T24" s="82" t="s">
        <v>533</v>
      </c>
      <c r="U24" s="726"/>
    </row>
    <row r="25" spans="1:35" x14ac:dyDescent="0.3">
      <c r="B25" s="581"/>
      <c r="C25" s="499"/>
      <c r="D25" s="499" t="s">
        <v>2</v>
      </c>
      <c r="E25" s="582"/>
      <c r="F25" s="156" t="s">
        <v>535</v>
      </c>
      <c r="G25" s="155" t="s">
        <v>554</v>
      </c>
      <c r="H25" s="155" t="s">
        <v>80</v>
      </c>
      <c r="I25" s="155" t="s">
        <v>430</v>
      </c>
      <c r="J25" s="184">
        <v>1</v>
      </c>
      <c r="K25" s="55">
        <f t="shared" si="3"/>
        <v>1396500</v>
      </c>
      <c r="L25" s="55">
        <v>1470000</v>
      </c>
      <c r="M25" s="164">
        <f t="shared" si="5"/>
        <v>1396500</v>
      </c>
      <c r="N25" s="158">
        <v>0</v>
      </c>
      <c r="O25" s="1328">
        <f t="shared" si="4"/>
        <v>1470000</v>
      </c>
      <c r="P25" s="1329"/>
      <c r="Q25" s="1451" t="s">
        <v>594</v>
      </c>
      <c r="R25" s="1452"/>
      <c r="S25" s="204"/>
      <c r="T25" s="625" t="s">
        <v>555</v>
      </c>
      <c r="U25" s="727"/>
    </row>
    <row r="26" spans="1:35" s="84" customFormat="1" ht="17.25" thickBot="1" x14ac:dyDescent="0.35">
      <c r="B26" s="581"/>
      <c r="C26" s="184"/>
      <c r="D26" s="184"/>
      <c r="E26" s="582"/>
      <c r="F26" s="156"/>
      <c r="G26" s="155"/>
      <c r="H26" s="155"/>
      <c r="I26" s="155"/>
      <c r="J26" s="184"/>
      <c r="K26" s="199"/>
      <c r="L26" s="55"/>
      <c r="M26" s="164"/>
      <c r="N26" s="158"/>
      <c r="O26" s="735"/>
      <c r="P26" s="736"/>
      <c r="Q26" s="737"/>
      <c r="R26" s="738"/>
      <c r="S26" s="204"/>
      <c r="T26" s="78"/>
      <c r="U26" s="722"/>
      <c r="V26" s="562"/>
      <c r="W26"/>
      <c r="X26"/>
      <c r="Y26"/>
      <c r="Z26"/>
      <c r="AA26"/>
      <c r="AB26"/>
      <c r="AC26"/>
      <c r="AD26"/>
      <c r="AE26"/>
      <c r="AF26"/>
      <c r="AG26"/>
    </row>
    <row r="27" spans="1:35" s="84" customFormat="1" ht="17.25" thickBot="1" x14ac:dyDescent="0.35">
      <c r="B27" s="587" t="s">
        <v>2</v>
      </c>
      <c r="C27" s="588"/>
      <c r="D27" s="588"/>
      <c r="E27" s="589"/>
      <c r="F27" s="270" t="s">
        <v>267</v>
      </c>
      <c r="G27" s="590"/>
      <c r="H27" s="590"/>
      <c r="I27" s="590"/>
      <c r="J27" s="590"/>
      <c r="K27" s="590"/>
      <c r="L27" s="591"/>
      <c r="M27" s="592"/>
      <c r="N27" s="593"/>
      <c r="O27" s="1324"/>
      <c r="P27" s="1325"/>
      <c r="Q27" s="1336"/>
      <c r="R27" s="1337"/>
      <c r="S27" s="115"/>
      <c r="T27" s="78"/>
      <c r="U27" s="722"/>
      <c r="W27"/>
      <c r="X27"/>
      <c r="Y27"/>
      <c r="Z27"/>
      <c r="AA27"/>
      <c r="AB27"/>
      <c r="AC27"/>
      <c r="AD27"/>
      <c r="AE27"/>
      <c r="AF27"/>
      <c r="AG27"/>
    </row>
    <row r="28" spans="1:35" s="82" customFormat="1" x14ac:dyDescent="0.3">
      <c r="B28" s="594"/>
      <c r="C28" s="176" t="s">
        <v>2</v>
      </c>
      <c r="D28" s="184"/>
      <c r="E28" s="595"/>
      <c r="F28" s="203" t="s">
        <v>417</v>
      </c>
      <c r="G28" s="176"/>
      <c r="H28" s="176" t="s">
        <v>60</v>
      </c>
      <c r="I28" s="155"/>
      <c r="J28" s="155">
        <v>1</v>
      </c>
      <c r="K28" s="157">
        <v>4500000</v>
      </c>
      <c r="L28" s="157">
        <v>4500000</v>
      </c>
      <c r="M28" s="164">
        <f>J28*K28</f>
        <v>4500000</v>
      </c>
      <c r="N28" s="158">
        <v>0.3</v>
      </c>
      <c r="O28" s="1480">
        <f>J28*L28*(1+N28)</f>
        <v>5850000</v>
      </c>
      <c r="P28" s="1481"/>
      <c r="Q28" s="1330" t="s">
        <v>420</v>
      </c>
      <c r="R28" s="1331"/>
      <c r="S28" s="152"/>
      <c r="T28" s="413" t="s">
        <v>631</v>
      </c>
      <c r="U28" s="728">
        <f>(2000000+(300000*5))*1.2</f>
        <v>4200000</v>
      </c>
      <c r="V28" s="562"/>
    </row>
    <row r="29" spans="1:35" s="528" customFormat="1" x14ac:dyDescent="0.3">
      <c r="A29" s="84"/>
      <c r="B29" s="583"/>
      <c r="C29" s="584"/>
      <c r="D29" s="584" t="s">
        <v>2</v>
      </c>
      <c r="E29" s="518"/>
      <c r="F29" s="519" t="s">
        <v>247</v>
      </c>
      <c r="G29" s="405" t="s">
        <v>248</v>
      </c>
      <c r="H29" s="405" t="s">
        <v>249</v>
      </c>
      <c r="I29" s="405" t="s">
        <v>249</v>
      </c>
      <c r="J29" s="405">
        <v>0</v>
      </c>
      <c r="K29" s="520">
        <v>530000</v>
      </c>
      <c r="L29" s="520">
        <v>530000</v>
      </c>
      <c r="M29" s="407">
        <f>J29*K29</f>
        <v>0</v>
      </c>
      <c r="N29" s="521">
        <v>0.3</v>
      </c>
      <c r="O29" s="1546">
        <f t="shared" ref="O29:O48" si="6">J29*L29*(1+N29)</f>
        <v>0</v>
      </c>
      <c r="P29" s="1547"/>
      <c r="Q29" s="1330" t="s">
        <v>557</v>
      </c>
      <c r="R29" s="1331"/>
      <c r="S29" s="212"/>
      <c r="T29" s="413"/>
      <c r="U29" s="728"/>
      <c r="V29" s="563"/>
      <c r="W29" s="70"/>
      <c r="X29" s="70"/>
      <c r="Y29" s="70"/>
      <c r="Z29" s="70"/>
      <c r="AA29" s="70"/>
      <c r="AB29" s="70"/>
      <c r="AC29" s="70"/>
      <c r="AD29" s="70"/>
    </row>
    <row r="30" spans="1:35" s="82" customFormat="1" x14ac:dyDescent="0.3">
      <c r="B30" s="594"/>
      <c r="C30" s="176"/>
      <c r="D30" s="176" t="s">
        <v>2</v>
      </c>
      <c r="E30" s="151"/>
      <c r="F30" s="156" t="s">
        <v>250</v>
      </c>
      <c r="G30" s="155" t="s">
        <v>329</v>
      </c>
      <c r="H30" s="155" t="s">
        <v>330</v>
      </c>
      <c r="I30" s="155" t="s">
        <v>251</v>
      </c>
      <c r="J30" s="155">
        <v>1</v>
      </c>
      <c r="K30" s="157">
        <v>200000</v>
      </c>
      <c r="L30" s="157">
        <v>200000</v>
      </c>
      <c r="M30" s="164">
        <f>J30*K30</f>
        <v>200000</v>
      </c>
      <c r="N30" s="158">
        <v>0.3</v>
      </c>
      <c r="O30" s="1328">
        <f t="shared" si="6"/>
        <v>260000</v>
      </c>
      <c r="P30" s="1329"/>
      <c r="Q30" s="1330"/>
      <c r="R30" s="1331"/>
      <c r="S30" s="152"/>
      <c r="T30" s="413"/>
      <c r="U30" s="728"/>
      <c r="V30" s="562"/>
    </row>
    <row r="31" spans="1:35" s="82" customFormat="1" x14ac:dyDescent="0.3">
      <c r="B31" s="594"/>
      <c r="C31" s="176"/>
      <c r="D31" s="176" t="s">
        <v>2</v>
      </c>
      <c r="E31" s="582"/>
      <c r="F31" s="156" t="s">
        <v>252</v>
      </c>
      <c r="G31" s="155" t="s">
        <v>253</v>
      </c>
      <c r="H31" s="155" t="s">
        <v>254</v>
      </c>
      <c r="I31" s="155" t="s">
        <v>254</v>
      </c>
      <c r="J31" s="184">
        <v>1</v>
      </c>
      <c r="K31" s="55">
        <v>3000000</v>
      </c>
      <c r="L31" s="55">
        <v>3000000</v>
      </c>
      <c r="M31" s="164">
        <f>J31*K31</f>
        <v>3000000</v>
      </c>
      <c r="N31" s="158">
        <v>0.3</v>
      </c>
      <c r="O31" s="1328">
        <f t="shared" si="6"/>
        <v>3900000</v>
      </c>
      <c r="P31" s="1329"/>
      <c r="Q31" s="737"/>
      <c r="R31" s="738"/>
      <c r="S31" s="204"/>
      <c r="T31" s="413"/>
      <c r="U31" s="728"/>
      <c r="V31" s="562"/>
    </row>
    <row r="32" spans="1:35" s="82" customFormat="1" x14ac:dyDescent="0.3">
      <c r="B32" s="498"/>
      <c r="C32" s="499"/>
      <c r="D32" s="155" t="s">
        <v>2</v>
      </c>
      <c r="E32" s="151"/>
      <c r="F32" s="156" t="s">
        <v>245</v>
      </c>
      <c r="G32" s="155" t="s">
        <v>246</v>
      </c>
      <c r="H32" s="155" t="s">
        <v>183</v>
      </c>
      <c r="I32" s="155"/>
      <c r="J32" s="155">
        <v>1</v>
      </c>
      <c r="K32" s="157">
        <v>200000</v>
      </c>
      <c r="L32" s="157">
        <v>200000</v>
      </c>
      <c r="M32" s="164">
        <f t="shared" ref="M32:M33" si="7">J32*K32</f>
        <v>200000</v>
      </c>
      <c r="N32" s="158">
        <v>0.3</v>
      </c>
      <c r="O32" s="1328">
        <f t="shared" si="6"/>
        <v>260000</v>
      </c>
      <c r="P32" s="1329"/>
      <c r="Q32" s="1330"/>
      <c r="R32" s="1331"/>
      <c r="S32" s="152"/>
      <c r="T32" s="413"/>
      <c r="U32" s="728"/>
      <c r="V32" s="562"/>
    </row>
    <row r="33" spans="1:33" s="84" customFormat="1" x14ac:dyDescent="0.3">
      <c r="B33" s="581"/>
      <c r="C33" s="499"/>
      <c r="D33" s="155" t="s">
        <v>2</v>
      </c>
      <c r="E33" s="582"/>
      <c r="F33" s="156" t="s">
        <v>343</v>
      </c>
      <c r="G33" s="155" t="s">
        <v>334</v>
      </c>
      <c r="H33" s="155" t="s">
        <v>328</v>
      </c>
      <c r="I33" s="155"/>
      <c r="J33" s="184">
        <v>1</v>
      </c>
      <c r="K33" s="169">
        <v>450000</v>
      </c>
      <c r="L33" s="169">
        <v>500000</v>
      </c>
      <c r="M33" s="164">
        <f t="shared" si="7"/>
        <v>450000</v>
      </c>
      <c r="N33" s="158">
        <v>0</v>
      </c>
      <c r="O33" s="1328">
        <f>J33*L33/(1-N33)</f>
        <v>500000</v>
      </c>
      <c r="P33" s="1329"/>
      <c r="Q33" s="1330" t="s">
        <v>526</v>
      </c>
      <c r="R33" s="1331"/>
      <c r="S33" s="204"/>
      <c r="T33" s="70"/>
      <c r="U33" s="716"/>
      <c r="V33" s="562"/>
      <c r="W33"/>
      <c r="X33"/>
      <c r="Y33"/>
      <c r="Z33"/>
      <c r="AA33"/>
      <c r="AB33"/>
      <c r="AC33"/>
      <c r="AD33"/>
      <c r="AE33"/>
      <c r="AF33"/>
      <c r="AG33"/>
    </row>
    <row r="34" spans="1:33" s="82" customFormat="1" x14ac:dyDescent="0.3">
      <c r="B34" s="594"/>
      <c r="C34" s="176" t="s">
        <v>2</v>
      </c>
      <c r="D34" s="184"/>
      <c r="E34" s="595"/>
      <c r="F34" s="203" t="s">
        <v>268</v>
      </c>
      <c r="G34" s="176"/>
      <c r="H34" s="176"/>
      <c r="I34" s="155"/>
      <c r="J34" s="155">
        <v>1</v>
      </c>
      <c r="K34" s="157"/>
      <c r="L34" s="157"/>
      <c r="M34" s="164">
        <f>J34*K34</f>
        <v>0</v>
      </c>
      <c r="N34" s="158">
        <v>0.3</v>
      </c>
      <c r="O34" s="1328">
        <f t="shared" si="6"/>
        <v>0</v>
      </c>
      <c r="P34" s="1329"/>
      <c r="Q34" s="737"/>
      <c r="R34" s="738"/>
      <c r="S34" s="152"/>
      <c r="T34" s="413"/>
      <c r="U34" s="728"/>
      <c r="V34" s="562"/>
    </row>
    <row r="35" spans="1:33" s="82" customFormat="1" x14ac:dyDescent="0.3">
      <c r="B35" s="594"/>
      <c r="C35" s="176"/>
      <c r="D35" s="176" t="s">
        <v>2</v>
      </c>
      <c r="E35" s="595"/>
      <c r="F35" s="203" t="s">
        <v>284</v>
      </c>
      <c r="G35" s="176"/>
      <c r="H35" s="176" t="s">
        <v>60</v>
      </c>
      <c r="I35" s="155"/>
      <c r="J35" s="155">
        <v>1</v>
      </c>
      <c r="K35" s="157">
        <v>1000000</v>
      </c>
      <c r="L35" s="157">
        <v>1000000</v>
      </c>
      <c r="M35" s="164">
        <f>J35*K35</f>
        <v>1000000</v>
      </c>
      <c r="N35" s="158">
        <v>0.3</v>
      </c>
      <c r="O35" s="1328">
        <f t="shared" si="6"/>
        <v>1300000</v>
      </c>
      <c r="P35" s="1329"/>
      <c r="Q35" s="737"/>
      <c r="R35" s="738"/>
      <c r="S35" s="152"/>
      <c r="T35" s="413" t="s">
        <v>630</v>
      </c>
      <c r="U35" s="728">
        <f>(500000+(300000*1))*1.2</f>
        <v>960000</v>
      </c>
      <c r="V35" s="562"/>
    </row>
    <row r="36" spans="1:33" s="82" customFormat="1" x14ac:dyDescent="0.3">
      <c r="A36" s="670"/>
      <c r="B36" s="671"/>
      <c r="C36" s="672"/>
      <c r="D36" s="672" t="s">
        <v>2</v>
      </c>
      <c r="E36" s="673"/>
      <c r="F36" s="674" t="s">
        <v>269</v>
      </c>
      <c r="G36" s="672" t="s">
        <v>270</v>
      </c>
      <c r="H36" s="672" t="s">
        <v>271</v>
      </c>
      <c r="I36" s="651"/>
      <c r="J36" s="651">
        <v>1</v>
      </c>
      <c r="K36" s="675">
        <v>120000</v>
      </c>
      <c r="L36" s="675">
        <v>120000</v>
      </c>
      <c r="M36" s="658">
        <f t="shared" ref="M36:M37" si="8">J36*K36</f>
        <v>120000</v>
      </c>
      <c r="N36" s="659">
        <v>0.3</v>
      </c>
      <c r="O36" s="1449">
        <f t="shared" si="6"/>
        <v>156000</v>
      </c>
      <c r="P36" s="1450"/>
      <c r="Q36" s="737" t="s">
        <v>584</v>
      </c>
      <c r="R36" s="738"/>
      <c r="S36" s="152"/>
      <c r="T36" s="413"/>
      <c r="U36" s="728"/>
      <c r="V36" s="562"/>
    </row>
    <row r="37" spans="1:33" s="82" customFormat="1" x14ac:dyDescent="0.3">
      <c r="B37" s="181"/>
      <c r="C37" s="182"/>
      <c r="D37" s="182" t="s">
        <v>2</v>
      </c>
      <c r="E37" s="183"/>
      <c r="F37" s="388" t="s">
        <v>272</v>
      </c>
      <c r="G37" s="366" t="s">
        <v>625</v>
      </c>
      <c r="H37" s="366" t="s">
        <v>626</v>
      </c>
      <c r="I37" s="155"/>
      <c r="J37" s="155">
        <v>1</v>
      </c>
      <c r="K37" s="157">
        <v>250000</v>
      </c>
      <c r="L37" s="157">
        <v>250000</v>
      </c>
      <c r="M37" s="164">
        <f t="shared" si="8"/>
        <v>250000</v>
      </c>
      <c r="N37" s="158">
        <v>0.3</v>
      </c>
      <c r="O37" s="1328">
        <f t="shared" si="6"/>
        <v>325000</v>
      </c>
      <c r="P37" s="1329"/>
      <c r="Q37" s="1330" t="s">
        <v>572</v>
      </c>
      <c r="R37" s="1331"/>
      <c r="S37" s="152"/>
      <c r="T37" s="413"/>
      <c r="U37" s="728"/>
      <c r="V37" s="715" t="s">
        <v>627</v>
      </c>
    </row>
    <row r="38" spans="1:33" s="82" customFormat="1" x14ac:dyDescent="0.3">
      <c r="B38" s="594"/>
      <c r="C38" s="176"/>
      <c r="D38" s="176" t="s">
        <v>2</v>
      </c>
      <c r="E38" s="595"/>
      <c r="F38" s="754" t="s">
        <v>355</v>
      </c>
      <c r="G38" s="366" t="s">
        <v>640</v>
      </c>
      <c r="H38" s="651" t="s">
        <v>636</v>
      </c>
      <c r="I38" s="651" t="s">
        <v>636</v>
      </c>
      <c r="J38" s="155">
        <v>1</v>
      </c>
      <c r="K38" s="157">
        <v>65000</v>
      </c>
      <c r="L38" s="157">
        <v>65000</v>
      </c>
      <c r="M38" s="164">
        <f>J38*K38</f>
        <v>65000</v>
      </c>
      <c r="N38" s="158">
        <v>0.3</v>
      </c>
      <c r="O38" s="1328">
        <f t="shared" si="6"/>
        <v>84500</v>
      </c>
      <c r="P38" s="1329"/>
      <c r="Q38" s="1330" t="s">
        <v>571</v>
      </c>
      <c r="R38" s="1331"/>
      <c r="S38" s="152"/>
      <c r="T38" s="413"/>
      <c r="U38" s="728"/>
      <c r="V38" s="562" t="s">
        <v>500</v>
      </c>
      <c r="X38" s="82">
        <v>0.2</v>
      </c>
    </row>
    <row r="39" spans="1:33" s="82" customFormat="1" x14ac:dyDescent="0.3">
      <c r="B39" s="181"/>
      <c r="C39" s="182"/>
      <c r="D39" s="182" t="s">
        <v>2</v>
      </c>
      <c r="E39" s="183"/>
      <c r="F39" s="754" t="s">
        <v>354</v>
      </c>
      <c r="G39" s="366" t="s">
        <v>640</v>
      </c>
      <c r="H39" s="651" t="s">
        <v>636</v>
      </c>
      <c r="I39" s="651" t="s">
        <v>636</v>
      </c>
      <c r="J39" s="155">
        <v>1</v>
      </c>
      <c r="K39" s="157">
        <v>65000</v>
      </c>
      <c r="L39" s="157">
        <v>65000</v>
      </c>
      <c r="M39" s="164">
        <f>J39*K39</f>
        <v>65000</v>
      </c>
      <c r="N39" s="158">
        <v>0.3</v>
      </c>
      <c r="O39" s="1365">
        <f t="shared" si="6"/>
        <v>84500</v>
      </c>
      <c r="P39" s="1366"/>
      <c r="Q39" s="737" t="s">
        <v>564</v>
      </c>
      <c r="R39" s="738"/>
      <c r="S39" s="152"/>
      <c r="T39" s="413"/>
      <c r="U39" s="728"/>
      <c r="V39" s="562"/>
    </row>
    <row r="40" spans="1:33" s="82" customFormat="1" x14ac:dyDescent="0.3">
      <c r="B40" s="671"/>
      <c r="C40" s="672"/>
      <c r="D40" s="672" t="s">
        <v>2</v>
      </c>
      <c r="E40" s="673"/>
      <c r="F40" s="755" t="s">
        <v>619</v>
      </c>
      <c r="G40" s="654" t="s">
        <v>622</v>
      </c>
      <c r="H40" s="672" t="s">
        <v>277</v>
      </c>
      <c r="I40" s="651"/>
      <c r="J40" s="651">
        <v>1</v>
      </c>
      <c r="K40" s="675">
        <v>70000</v>
      </c>
      <c r="L40" s="675">
        <v>70000</v>
      </c>
      <c r="M40" s="658">
        <f>J40*K40</f>
        <v>70000</v>
      </c>
      <c r="N40" s="659">
        <v>0.3</v>
      </c>
      <c r="O40" s="1449">
        <f t="shared" si="6"/>
        <v>91000</v>
      </c>
      <c r="P40" s="1450"/>
      <c r="Q40" s="739" t="s">
        <v>561</v>
      </c>
      <c r="R40" s="740"/>
      <c r="S40" s="152"/>
      <c r="T40" s="413"/>
      <c r="U40" s="728"/>
      <c r="V40" s="562"/>
    </row>
    <row r="41" spans="1:33" s="82" customFormat="1" x14ac:dyDescent="0.3">
      <c r="B41" s="671"/>
      <c r="C41" s="672"/>
      <c r="D41" s="672" t="s">
        <v>2</v>
      </c>
      <c r="E41" s="673"/>
      <c r="F41" s="755" t="s">
        <v>620</v>
      </c>
      <c r="G41" s="654" t="s">
        <v>621</v>
      </c>
      <c r="H41" s="672" t="s">
        <v>277</v>
      </c>
      <c r="I41" s="651"/>
      <c r="J41" s="651">
        <v>1</v>
      </c>
      <c r="K41" s="675">
        <v>70000</v>
      </c>
      <c r="L41" s="675">
        <v>70000</v>
      </c>
      <c r="M41" s="658">
        <f>J41*K41</f>
        <v>70000</v>
      </c>
      <c r="N41" s="659">
        <v>0.3</v>
      </c>
      <c r="O41" s="1449">
        <f t="shared" si="6"/>
        <v>91000</v>
      </c>
      <c r="P41" s="1450"/>
      <c r="Q41" s="739" t="s">
        <v>561</v>
      </c>
      <c r="R41" s="740"/>
      <c r="S41" s="152"/>
      <c r="T41" s="413"/>
      <c r="U41" s="728"/>
      <c r="V41" s="562"/>
    </row>
    <row r="42" spans="1:33" s="413" customFormat="1" x14ac:dyDescent="0.3">
      <c r="A42" s="82"/>
      <c r="B42" s="671"/>
      <c r="C42" s="672"/>
      <c r="D42" s="654" t="s">
        <v>2</v>
      </c>
      <c r="E42" s="673"/>
      <c r="F42" s="755" t="s">
        <v>616</v>
      </c>
      <c r="G42" s="654" t="s">
        <v>515</v>
      </c>
      <c r="H42" s="651" t="s">
        <v>636</v>
      </c>
      <c r="I42" s="651" t="s">
        <v>636</v>
      </c>
      <c r="J42" s="651">
        <v>1</v>
      </c>
      <c r="K42" s="675">
        <v>4500000</v>
      </c>
      <c r="L42" s="675">
        <v>4500000</v>
      </c>
      <c r="M42" s="658">
        <f t="shared" ref="M42:M43" si="9">J42*K42</f>
        <v>4500000</v>
      </c>
      <c r="N42" s="659">
        <v>0.3</v>
      </c>
      <c r="O42" s="1449">
        <f t="shared" si="6"/>
        <v>5850000</v>
      </c>
      <c r="P42" s="1450"/>
      <c r="Q42" s="1451" t="s">
        <v>617</v>
      </c>
      <c r="R42" s="1452"/>
      <c r="S42" s="473"/>
      <c r="U42" s="728"/>
    </row>
    <row r="43" spans="1:33" s="413" customFormat="1" x14ac:dyDescent="0.3">
      <c r="A43" s="82"/>
      <c r="B43" s="671"/>
      <c r="C43" s="672"/>
      <c r="D43" s="654" t="s">
        <v>2</v>
      </c>
      <c r="E43" s="673"/>
      <c r="F43" s="755" t="s">
        <v>634</v>
      </c>
      <c r="G43" s="654" t="s">
        <v>514</v>
      </c>
      <c r="H43" s="651" t="s">
        <v>636</v>
      </c>
      <c r="I43" s="651" t="s">
        <v>636</v>
      </c>
      <c r="J43" s="651">
        <v>1</v>
      </c>
      <c r="K43" s="675"/>
      <c r="L43" s="675"/>
      <c r="M43" s="658">
        <f t="shared" si="9"/>
        <v>0</v>
      </c>
      <c r="N43" s="659">
        <v>0.3</v>
      </c>
      <c r="O43" s="1449">
        <f t="shared" si="6"/>
        <v>0</v>
      </c>
      <c r="P43" s="1450"/>
      <c r="Q43" s="1451" t="s">
        <v>618</v>
      </c>
      <c r="R43" s="1452"/>
      <c r="S43" s="473"/>
      <c r="U43" s="728"/>
    </row>
    <row r="44" spans="1:33" s="82" customFormat="1" x14ac:dyDescent="0.3">
      <c r="B44" s="671"/>
      <c r="C44" s="672"/>
      <c r="D44" s="672" t="s">
        <v>2</v>
      </c>
      <c r="E44" s="673"/>
      <c r="F44" s="755" t="s">
        <v>638</v>
      </c>
      <c r="G44" s="654" t="s">
        <v>639</v>
      </c>
      <c r="H44" s="651" t="s">
        <v>636</v>
      </c>
      <c r="I44" s="651" t="s">
        <v>636</v>
      </c>
      <c r="J44" s="651">
        <v>1</v>
      </c>
      <c r="K44" s="675">
        <v>300</v>
      </c>
      <c r="L44" s="675">
        <v>300</v>
      </c>
      <c r="M44" s="658">
        <f>J44*K44</f>
        <v>300</v>
      </c>
      <c r="N44" s="659">
        <v>0.3</v>
      </c>
      <c r="O44" s="1449">
        <f t="shared" si="6"/>
        <v>390</v>
      </c>
      <c r="P44" s="1450"/>
      <c r="Q44" s="737" t="s">
        <v>565</v>
      </c>
      <c r="R44" s="738"/>
      <c r="S44" s="152"/>
      <c r="T44" s="273"/>
      <c r="U44" s="724"/>
      <c r="V44" s="562"/>
    </row>
    <row r="45" spans="1:33" s="82" customFormat="1" x14ac:dyDescent="0.3">
      <c r="B45" s="671"/>
      <c r="C45" s="672"/>
      <c r="D45" s="672" t="s">
        <v>2</v>
      </c>
      <c r="E45" s="673"/>
      <c r="F45" s="755" t="s">
        <v>637</v>
      </c>
      <c r="G45" s="654" t="s">
        <v>639</v>
      </c>
      <c r="H45" s="651" t="s">
        <v>636</v>
      </c>
      <c r="I45" s="651" t="s">
        <v>636</v>
      </c>
      <c r="J45" s="651">
        <v>1</v>
      </c>
      <c r="K45" s="675">
        <v>300</v>
      </c>
      <c r="L45" s="675">
        <v>300</v>
      </c>
      <c r="M45" s="658">
        <f>J45*K45</f>
        <v>300</v>
      </c>
      <c r="N45" s="659">
        <v>0.3</v>
      </c>
      <c r="O45" s="1449">
        <f t="shared" si="6"/>
        <v>390</v>
      </c>
      <c r="P45" s="1450"/>
      <c r="Q45" s="737" t="s">
        <v>566</v>
      </c>
      <c r="R45" s="738"/>
      <c r="S45" s="152"/>
      <c r="T45" s="273"/>
      <c r="U45" s="724"/>
      <c r="V45" s="562"/>
    </row>
    <row r="46" spans="1:33" s="82" customFormat="1" x14ac:dyDescent="0.3">
      <c r="B46" s="181"/>
      <c r="C46" s="182"/>
      <c r="D46" s="182" t="s">
        <v>2</v>
      </c>
      <c r="E46" s="183"/>
      <c r="F46" s="754" t="s">
        <v>357</v>
      </c>
      <c r="G46" s="366" t="s">
        <v>640</v>
      </c>
      <c r="H46" s="651" t="s">
        <v>636</v>
      </c>
      <c r="I46" s="651" t="s">
        <v>636</v>
      </c>
      <c r="J46" s="155">
        <v>1</v>
      </c>
      <c r="K46" s="157">
        <v>65000</v>
      </c>
      <c r="L46" s="157">
        <v>65000</v>
      </c>
      <c r="M46" s="157">
        <v>70000</v>
      </c>
      <c r="N46" s="158">
        <v>0.3</v>
      </c>
      <c r="O46" s="1365">
        <f t="shared" si="6"/>
        <v>84500</v>
      </c>
      <c r="P46" s="1366"/>
      <c r="Q46" s="1330" t="s">
        <v>361</v>
      </c>
      <c r="R46" s="1331"/>
      <c r="S46" s="152"/>
      <c r="T46" s="273"/>
      <c r="U46" s="724"/>
      <c r="V46" s="562"/>
    </row>
    <row r="47" spans="1:33" s="413" customFormat="1" x14ac:dyDescent="0.3">
      <c r="A47" s="82"/>
      <c r="B47" s="671"/>
      <c r="C47" s="672"/>
      <c r="D47" s="672" t="s">
        <v>2</v>
      </c>
      <c r="E47" s="673"/>
      <c r="F47" s="755" t="s">
        <v>605</v>
      </c>
      <c r="G47" s="654"/>
      <c r="H47" s="651" t="s">
        <v>636</v>
      </c>
      <c r="I47" s="651" t="s">
        <v>636</v>
      </c>
      <c r="J47" s="651">
        <v>1</v>
      </c>
      <c r="K47" s="675">
        <v>10000</v>
      </c>
      <c r="L47" s="675">
        <v>10000</v>
      </c>
      <c r="M47" s="675">
        <f t="shared" ref="M47" si="10">J47*K47</f>
        <v>10000</v>
      </c>
      <c r="N47" s="659">
        <v>0.3</v>
      </c>
      <c r="O47" s="1449">
        <f t="shared" si="6"/>
        <v>13000</v>
      </c>
      <c r="P47" s="1450"/>
      <c r="Q47" s="1451" t="s">
        <v>589</v>
      </c>
      <c r="R47" s="1452"/>
      <c r="S47" s="152"/>
      <c r="U47" s="728"/>
    </row>
    <row r="48" spans="1:33" s="82" customFormat="1" x14ac:dyDescent="0.3">
      <c r="B48" s="181"/>
      <c r="C48" s="182" t="s">
        <v>2</v>
      </c>
      <c r="D48" s="366"/>
      <c r="E48" s="183"/>
      <c r="F48" s="388" t="s">
        <v>429</v>
      </c>
      <c r="G48" s="182"/>
      <c r="H48" s="182" t="s">
        <v>60</v>
      </c>
      <c r="I48" s="155"/>
      <c r="J48" s="155">
        <v>1</v>
      </c>
      <c r="K48" s="157">
        <v>3500000</v>
      </c>
      <c r="L48" s="157">
        <v>3500000</v>
      </c>
      <c r="M48" s="164">
        <f>J48*K48</f>
        <v>3500000</v>
      </c>
      <c r="N48" s="158">
        <v>0.3</v>
      </c>
      <c r="O48" s="1365">
        <f t="shared" si="6"/>
        <v>4550000</v>
      </c>
      <c r="P48" s="1366"/>
      <c r="Q48" s="1488"/>
      <c r="R48" s="1489"/>
      <c r="S48" s="152"/>
      <c r="T48" s="413" t="s">
        <v>629</v>
      </c>
      <c r="U48" s="728">
        <f>(2000000+(300000*3))*1.2</f>
        <v>3480000</v>
      </c>
      <c r="V48" s="562"/>
    </row>
    <row r="49" spans="1:33" s="84" customFormat="1" ht="17.25" thickBot="1" x14ac:dyDescent="0.35">
      <c r="B49" s="365"/>
      <c r="C49" s="366"/>
      <c r="D49" s="366"/>
      <c r="E49" s="367"/>
      <c r="F49" s="156"/>
      <c r="G49" s="155"/>
      <c r="H49" s="155"/>
      <c r="I49" s="155"/>
      <c r="J49" s="184"/>
      <c r="K49" s="199"/>
      <c r="L49" s="199"/>
      <c r="M49" s="164"/>
      <c r="N49" s="158"/>
      <c r="O49" s="1365"/>
      <c r="P49" s="1366"/>
      <c r="Q49" s="1496"/>
      <c r="R49" s="1497"/>
      <c r="S49" s="204"/>
      <c r="T49" s="78"/>
      <c r="U49" s="722"/>
      <c r="V49" s="562"/>
      <c r="W49"/>
      <c r="X49"/>
      <c r="Y49"/>
      <c r="Z49"/>
      <c r="AA49"/>
      <c r="AB49"/>
      <c r="AC49"/>
      <c r="AD49"/>
      <c r="AE49"/>
      <c r="AF49"/>
      <c r="AG49"/>
    </row>
    <row r="50" spans="1:33" s="84" customFormat="1" ht="18" thickBot="1" x14ac:dyDescent="0.35">
      <c r="B50" s="1338" t="s">
        <v>53</v>
      </c>
      <c r="C50" s="1339"/>
      <c r="D50" s="1339"/>
      <c r="E50" s="1339"/>
      <c r="F50" s="1339"/>
      <c r="G50" s="1339"/>
      <c r="H50" s="1339"/>
      <c r="I50" s="1339"/>
      <c r="J50" s="1339"/>
      <c r="K50" s="1339"/>
      <c r="L50" s="1340"/>
      <c r="M50" s="123">
        <f>SUM(M5:M49)</f>
        <v>113742777</v>
      </c>
      <c r="N50" s="136"/>
      <c r="O50" s="1341">
        <f>SUM(O5:P49)</f>
        <v>157941280</v>
      </c>
      <c r="P50" s="1342"/>
      <c r="Q50" s="1343"/>
      <c r="R50" s="1344"/>
      <c r="S50" s="130"/>
      <c r="T50" s="78"/>
      <c r="U50" s="722"/>
      <c r="V50" s="562"/>
      <c r="W50"/>
      <c r="X50"/>
      <c r="Y50"/>
      <c r="Z50"/>
      <c r="AA50"/>
      <c r="AB50"/>
      <c r="AC50"/>
      <c r="AD50"/>
      <c r="AE50"/>
      <c r="AF50"/>
      <c r="AG50"/>
    </row>
    <row r="51" spans="1:33" s="84" customFormat="1" ht="17.25" thickBot="1" x14ac:dyDescent="0.35">
      <c r="B51" s="122" t="s">
        <v>2</v>
      </c>
      <c r="C51" s="116"/>
      <c r="D51" s="116"/>
      <c r="E51" s="117"/>
      <c r="F51" s="118" t="s">
        <v>321</v>
      </c>
      <c r="G51" s="119"/>
      <c r="H51" s="119"/>
      <c r="I51" s="119"/>
      <c r="J51" s="119"/>
      <c r="K51" s="119"/>
      <c r="L51" s="120"/>
      <c r="M51" s="121"/>
      <c r="N51" s="135"/>
      <c r="O51" s="1447"/>
      <c r="P51" s="1448"/>
      <c r="Q51" s="1326"/>
      <c r="R51" s="1327"/>
      <c r="S51" s="115"/>
      <c r="T51" s="78"/>
      <c r="U51" s="722"/>
      <c r="V51" s="562"/>
      <c r="W51"/>
      <c r="X51"/>
      <c r="Y51"/>
      <c r="Z51"/>
      <c r="AA51"/>
      <c r="AB51"/>
      <c r="AC51"/>
      <c r="AD51"/>
      <c r="AE51"/>
      <c r="AF51"/>
      <c r="AG51"/>
    </row>
    <row r="52" spans="1:33" s="84" customFormat="1" x14ac:dyDescent="0.3">
      <c r="B52" s="131"/>
      <c r="C52" s="132" t="s">
        <v>73</v>
      </c>
      <c r="D52" s="133"/>
      <c r="E52" s="165"/>
      <c r="F52" s="227" t="s">
        <v>319</v>
      </c>
      <c r="G52" s="222" t="s">
        <v>94</v>
      </c>
      <c r="H52" s="222" t="s">
        <v>130</v>
      </c>
      <c r="I52" s="222" t="s">
        <v>131</v>
      </c>
      <c r="J52" s="371">
        <v>15</v>
      </c>
      <c r="K52" s="274">
        <v>307000</v>
      </c>
      <c r="L52" s="274">
        <v>307000</v>
      </c>
      <c r="M52" s="230">
        <f t="shared" ref="M52:M53" si="11">J52*K52</f>
        <v>4605000</v>
      </c>
      <c r="N52" s="148"/>
      <c r="O52" s="1365">
        <f t="shared" ref="O52:O53" si="12">L52*J52</f>
        <v>4605000</v>
      </c>
      <c r="P52" s="1366"/>
      <c r="Q52" s="1492"/>
      <c r="R52" s="1493"/>
      <c r="S52" s="207"/>
      <c r="T52" s="78"/>
      <c r="U52" s="722"/>
      <c r="V52" s="562"/>
      <c r="W52"/>
      <c r="X52"/>
      <c r="Y52"/>
      <c r="Z52"/>
      <c r="AA52"/>
      <c r="AB52"/>
      <c r="AC52"/>
      <c r="AD52"/>
      <c r="AE52"/>
      <c r="AF52"/>
      <c r="AG52"/>
    </row>
    <row r="53" spans="1:33" s="84" customFormat="1" x14ac:dyDescent="0.3">
      <c r="A53" s="695"/>
      <c r="B53" s="683"/>
      <c r="C53" s="684" t="s">
        <v>73</v>
      </c>
      <c r="D53" s="679"/>
      <c r="E53" s="690"/>
      <c r="F53" s="691" t="s">
        <v>320</v>
      </c>
      <c r="G53" s="692" t="s">
        <v>94</v>
      </c>
      <c r="H53" s="692" t="s">
        <v>130</v>
      </c>
      <c r="I53" s="692" t="s">
        <v>131</v>
      </c>
      <c r="J53" s="693">
        <v>55</v>
      </c>
      <c r="K53" s="696">
        <v>307000</v>
      </c>
      <c r="L53" s="696">
        <v>307000</v>
      </c>
      <c r="M53" s="694">
        <f t="shared" si="11"/>
        <v>16885000</v>
      </c>
      <c r="N53" s="659"/>
      <c r="O53" s="1449">
        <f t="shared" si="12"/>
        <v>16885000</v>
      </c>
      <c r="P53" s="1450"/>
      <c r="Q53" s="1494"/>
      <c r="R53" s="1495"/>
      <c r="S53" s="212"/>
      <c r="T53" s="78"/>
      <c r="U53" s="722"/>
      <c r="V53" s="562"/>
      <c r="W53"/>
      <c r="X53"/>
      <c r="Y53"/>
      <c r="Z53"/>
      <c r="AA53"/>
      <c r="AB53"/>
      <c r="AC53"/>
      <c r="AD53"/>
      <c r="AE53"/>
      <c r="AF53"/>
      <c r="AG53"/>
    </row>
    <row r="54" spans="1:33" s="84" customFormat="1" ht="17.25" thickBot="1" x14ac:dyDescent="0.35">
      <c r="B54" s="213"/>
      <c r="C54" s="214"/>
      <c r="D54" s="215"/>
      <c r="E54" s="216"/>
      <c r="F54" s="229"/>
      <c r="G54" s="224"/>
      <c r="H54" s="224"/>
      <c r="I54" s="224"/>
      <c r="J54" s="373"/>
      <c r="K54" s="225"/>
      <c r="L54" s="225"/>
      <c r="M54" s="226"/>
      <c r="N54" s="162"/>
      <c r="O54" s="1365">
        <f t="shared" ref="O54" si="13">L54</f>
        <v>0</v>
      </c>
      <c r="P54" s="1366"/>
      <c r="Q54" s="1453"/>
      <c r="R54" s="1454"/>
      <c r="S54" s="217"/>
      <c r="T54" s="78"/>
      <c r="U54" s="722"/>
      <c r="V54" s="562"/>
      <c r="W54"/>
      <c r="X54"/>
      <c r="Y54"/>
      <c r="Z54"/>
      <c r="AA54"/>
      <c r="AB54"/>
      <c r="AC54"/>
      <c r="AD54"/>
      <c r="AE54"/>
      <c r="AF54"/>
      <c r="AG54"/>
    </row>
    <row r="55" spans="1:33" s="84" customFormat="1" ht="17.25" thickBot="1" x14ac:dyDescent="0.35">
      <c r="B55" s="122" t="s">
        <v>2</v>
      </c>
      <c r="C55" s="116"/>
      <c r="D55" s="116"/>
      <c r="E55" s="117"/>
      <c r="F55" s="218" t="s">
        <v>322</v>
      </c>
      <c r="G55" s="219"/>
      <c r="H55" s="219"/>
      <c r="I55" s="219"/>
      <c r="J55" s="219"/>
      <c r="K55" s="220"/>
      <c r="L55" s="220"/>
      <c r="M55" s="221"/>
      <c r="N55" s="135"/>
      <c r="O55" s="1447"/>
      <c r="P55" s="1448"/>
      <c r="Q55" s="1447"/>
      <c r="R55" s="1448"/>
      <c r="S55" s="115"/>
      <c r="T55" s="78"/>
      <c r="U55" s="722"/>
      <c r="V55" s="562"/>
      <c r="W55"/>
      <c r="X55"/>
      <c r="Y55"/>
      <c r="Z55"/>
      <c r="AA55"/>
      <c r="AB55"/>
      <c r="AC55"/>
      <c r="AD55"/>
      <c r="AE55"/>
      <c r="AF55"/>
      <c r="AG55"/>
    </row>
    <row r="56" spans="1:33" x14ac:dyDescent="0.3">
      <c r="B56" s="64"/>
      <c r="C56" s="65" t="s">
        <v>2</v>
      </c>
      <c r="D56" s="65"/>
      <c r="E56" s="66"/>
      <c r="F56" s="88" t="s">
        <v>7</v>
      </c>
      <c r="G56" s="85"/>
      <c r="H56" s="223" t="s">
        <v>130</v>
      </c>
      <c r="I56" s="223" t="s">
        <v>131</v>
      </c>
      <c r="J56" s="80">
        <v>5</v>
      </c>
      <c r="K56" s="277">
        <v>307000</v>
      </c>
      <c r="L56" s="277">
        <v>307000</v>
      </c>
      <c r="M56" s="112">
        <f>K56*J56</f>
        <v>1535000</v>
      </c>
      <c r="N56" s="137"/>
      <c r="O56" s="1365">
        <f t="shared" ref="O56:O62" si="14">L56*J56</f>
        <v>1535000</v>
      </c>
      <c r="P56" s="1366"/>
      <c r="Q56" s="1359"/>
      <c r="R56" s="1360"/>
      <c r="S56" s="94"/>
      <c r="T56" s="73"/>
      <c r="U56" s="719"/>
      <c r="V56" s="564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</row>
    <row r="57" spans="1:33" x14ac:dyDescent="0.3">
      <c r="B57" s="62"/>
      <c r="C57" s="63" t="s">
        <v>2</v>
      </c>
      <c r="D57" s="63"/>
      <c r="E57" s="61"/>
      <c r="F57" s="89" t="s">
        <v>11</v>
      </c>
      <c r="G57" s="86"/>
      <c r="H57" s="223" t="s">
        <v>130</v>
      </c>
      <c r="I57" s="223" t="s">
        <v>131</v>
      </c>
      <c r="J57" s="56">
        <v>3</v>
      </c>
      <c r="K57" s="55">
        <v>307000</v>
      </c>
      <c r="L57" s="55">
        <v>307000</v>
      </c>
      <c r="M57" s="113">
        <f t="shared" ref="M57:M62" si="15">K57*J57</f>
        <v>921000</v>
      </c>
      <c r="N57" s="138"/>
      <c r="O57" s="1365">
        <f t="shared" si="14"/>
        <v>921000</v>
      </c>
      <c r="P57" s="1366"/>
      <c r="Q57" s="1361"/>
      <c r="R57" s="1362"/>
      <c r="S57" s="95"/>
      <c r="T57" s="73"/>
      <c r="U57" s="719"/>
    </row>
    <row r="58" spans="1:33" x14ac:dyDescent="0.3">
      <c r="B58" s="62"/>
      <c r="C58" s="63" t="s">
        <v>2</v>
      </c>
      <c r="D58" s="63"/>
      <c r="E58" s="61"/>
      <c r="F58" s="89" t="s">
        <v>41</v>
      </c>
      <c r="G58" s="86"/>
      <c r="H58" s="223" t="s">
        <v>130</v>
      </c>
      <c r="I58" s="223" t="s">
        <v>131</v>
      </c>
      <c r="J58" s="56">
        <v>5</v>
      </c>
      <c r="K58" s="55">
        <v>307000</v>
      </c>
      <c r="L58" s="55">
        <v>307000</v>
      </c>
      <c r="M58" s="113">
        <f t="shared" si="15"/>
        <v>1535000</v>
      </c>
      <c r="N58" s="138"/>
      <c r="O58" s="1365">
        <f t="shared" si="14"/>
        <v>1535000</v>
      </c>
      <c r="P58" s="1366"/>
      <c r="Q58" s="1361"/>
      <c r="R58" s="1362"/>
      <c r="S58" s="95"/>
      <c r="T58" s="73"/>
      <c r="U58" s="719"/>
    </row>
    <row r="59" spans="1:33" x14ac:dyDescent="0.3">
      <c r="B59" s="62"/>
      <c r="C59" s="63" t="s">
        <v>2</v>
      </c>
      <c r="D59" s="63"/>
      <c r="E59" s="61"/>
      <c r="F59" s="89" t="s">
        <v>10</v>
      </c>
      <c r="G59" s="86"/>
      <c r="H59" s="223" t="s">
        <v>130</v>
      </c>
      <c r="I59" s="223" t="s">
        <v>131</v>
      </c>
      <c r="J59" s="56">
        <v>3</v>
      </c>
      <c r="K59" s="55">
        <v>307000</v>
      </c>
      <c r="L59" s="55">
        <v>307000</v>
      </c>
      <c r="M59" s="113">
        <f t="shared" si="15"/>
        <v>921000</v>
      </c>
      <c r="N59" s="138"/>
      <c r="O59" s="1365">
        <f t="shared" si="14"/>
        <v>921000</v>
      </c>
      <c r="P59" s="1366"/>
      <c r="Q59" s="1361"/>
      <c r="R59" s="1362"/>
      <c r="S59" s="95"/>
      <c r="T59" s="73"/>
      <c r="U59" s="719"/>
    </row>
    <row r="60" spans="1:33" x14ac:dyDescent="0.3">
      <c r="B60" s="62"/>
      <c r="C60" s="63" t="s">
        <v>2</v>
      </c>
      <c r="D60" s="63"/>
      <c r="E60" s="61"/>
      <c r="F60" s="89" t="s">
        <v>61</v>
      </c>
      <c r="G60" s="86"/>
      <c r="H60" s="223" t="s">
        <v>130</v>
      </c>
      <c r="I60" s="223" t="s">
        <v>131</v>
      </c>
      <c r="J60" s="56">
        <v>2</v>
      </c>
      <c r="K60" s="55">
        <v>307000</v>
      </c>
      <c r="L60" s="55">
        <v>307000</v>
      </c>
      <c r="M60" s="113">
        <f t="shared" si="15"/>
        <v>614000</v>
      </c>
      <c r="N60" s="138"/>
      <c r="O60" s="1365">
        <f t="shared" si="14"/>
        <v>614000</v>
      </c>
      <c r="P60" s="1366"/>
      <c r="Q60" s="1361"/>
      <c r="R60" s="1362"/>
      <c r="S60" s="95"/>
      <c r="T60" s="74"/>
      <c r="U60" s="721"/>
    </row>
    <row r="61" spans="1:33" x14ac:dyDescent="0.3">
      <c r="B61" s="67"/>
      <c r="C61" s="63" t="s">
        <v>2</v>
      </c>
      <c r="D61" s="68"/>
      <c r="E61" s="69"/>
      <c r="F61" s="90" t="s">
        <v>9</v>
      </c>
      <c r="G61" s="86"/>
      <c r="H61" s="223" t="s">
        <v>130</v>
      </c>
      <c r="I61" s="223" t="s">
        <v>131</v>
      </c>
      <c r="J61" s="56">
        <v>5</v>
      </c>
      <c r="K61" s="55">
        <v>307000</v>
      </c>
      <c r="L61" s="55">
        <v>307000</v>
      </c>
      <c r="M61" s="113">
        <f t="shared" si="15"/>
        <v>1535000</v>
      </c>
      <c r="N61" s="138"/>
      <c r="O61" s="1365">
        <f t="shared" si="14"/>
        <v>1535000</v>
      </c>
      <c r="P61" s="1366"/>
      <c r="Q61" s="1361"/>
      <c r="R61" s="1362"/>
      <c r="S61" s="95"/>
    </row>
    <row r="62" spans="1:33" ht="17.25" thickBot="1" x14ac:dyDescent="0.35">
      <c r="B62" s="57"/>
      <c r="C62" s="58" t="s">
        <v>2</v>
      </c>
      <c r="D62" s="58"/>
      <c r="E62" s="60"/>
      <c r="F62" s="91" t="s">
        <v>8</v>
      </c>
      <c r="G62" s="87"/>
      <c r="H62" s="223" t="s">
        <v>130</v>
      </c>
      <c r="I62" s="223" t="s">
        <v>131</v>
      </c>
      <c r="J62" s="59">
        <v>2</v>
      </c>
      <c r="K62" s="169">
        <v>307000</v>
      </c>
      <c r="L62" s="169">
        <v>307000</v>
      </c>
      <c r="M62" s="114">
        <f t="shared" si="15"/>
        <v>614000</v>
      </c>
      <c r="N62" s="139"/>
      <c r="O62" s="1365">
        <f t="shared" si="14"/>
        <v>614000</v>
      </c>
      <c r="P62" s="1366"/>
      <c r="Q62" s="1363"/>
      <c r="R62" s="1364"/>
      <c r="S62" s="96"/>
    </row>
    <row r="63" spans="1:33" ht="18" thickBot="1" x14ac:dyDescent="0.35">
      <c r="B63" s="1345" t="s">
        <v>46</v>
      </c>
      <c r="C63" s="1346"/>
      <c r="D63" s="1346"/>
      <c r="E63" s="1346"/>
      <c r="F63" s="1346"/>
      <c r="G63" s="1346"/>
      <c r="H63" s="1346"/>
      <c r="I63" s="1346"/>
      <c r="J63" s="1346"/>
      <c r="K63" s="1346"/>
      <c r="L63" s="1347"/>
      <c r="M63" s="124">
        <f>SUM(M51:M62)</f>
        <v>29165000</v>
      </c>
      <c r="N63" s="140"/>
      <c r="O63" s="1348">
        <f>SUM(O51:P62)</f>
        <v>29165000</v>
      </c>
      <c r="P63" s="1349"/>
      <c r="Q63" s="1350"/>
      <c r="R63" s="1350"/>
      <c r="S63" s="1351"/>
    </row>
    <row r="64" spans="1:33" ht="20.25" thickBot="1" x14ac:dyDescent="0.35">
      <c r="B64" s="1352" t="s">
        <v>52</v>
      </c>
      <c r="C64" s="1353"/>
      <c r="D64" s="1353"/>
      <c r="E64" s="1353"/>
      <c r="F64" s="1353"/>
      <c r="G64" s="1353"/>
      <c r="H64" s="1353"/>
      <c r="I64" s="1353"/>
      <c r="J64" s="1353"/>
      <c r="K64" s="1353"/>
      <c r="L64" s="1353"/>
      <c r="M64" s="125"/>
      <c r="N64" s="134">
        <v>0.03</v>
      </c>
      <c r="O64" s="1354">
        <f>ROUNDDOWN(O50*N64,-3)</f>
        <v>4738000</v>
      </c>
      <c r="P64" s="1355"/>
      <c r="Q64" s="1356"/>
      <c r="R64" s="1357"/>
      <c r="S64" s="1358"/>
      <c r="V64" s="565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33" ht="20.25" thickBot="1" x14ac:dyDescent="0.35">
      <c r="B65" s="1352" t="s">
        <v>54</v>
      </c>
      <c r="C65" s="1353"/>
      <c r="D65" s="1353"/>
      <c r="E65" s="1353"/>
      <c r="F65" s="1353"/>
      <c r="G65" s="1353"/>
      <c r="H65" s="1353"/>
      <c r="I65" s="1353"/>
      <c r="J65" s="1353"/>
      <c r="K65" s="1353"/>
      <c r="L65" s="1353"/>
      <c r="M65" s="127"/>
      <c r="N65" s="128"/>
      <c r="O65" s="1354">
        <f>SUM(O64,O63,O50)</f>
        <v>191844280</v>
      </c>
      <c r="P65" s="1355"/>
      <c r="Q65" s="1374"/>
      <c r="R65" s="1375"/>
      <c r="S65" s="1376"/>
      <c r="V65" s="565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2:33" ht="20.25" thickBot="1" x14ac:dyDescent="0.35">
      <c r="B66" s="1352" t="s">
        <v>51</v>
      </c>
      <c r="C66" s="1353"/>
      <c r="D66" s="1353"/>
      <c r="E66" s="1353"/>
      <c r="F66" s="1353"/>
      <c r="G66" s="1353"/>
      <c r="H66" s="1353"/>
      <c r="I66" s="1353"/>
      <c r="J66" s="1353"/>
      <c r="K66" s="1353"/>
      <c r="L66" s="1353"/>
      <c r="M66" s="129"/>
      <c r="N66" s="126">
        <v>0.1</v>
      </c>
      <c r="O66" s="1381">
        <f>ROUNDDOWN(O65*N66,-3)</f>
        <v>19184000</v>
      </c>
      <c r="P66" s="1382"/>
      <c r="Q66" s="1383"/>
      <c r="R66" s="1384"/>
      <c r="S66" s="1385"/>
      <c r="V66" s="565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2:33" ht="21" thickBot="1" x14ac:dyDescent="0.35">
      <c r="B67" s="1367" t="s">
        <v>44</v>
      </c>
      <c r="C67" s="1368"/>
      <c r="D67" s="1368"/>
      <c r="E67" s="1368"/>
      <c r="F67" s="1368"/>
      <c r="G67" s="1368"/>
      <c r="H67" s="1368"/>
      <c r="I67" s="1368"/>
      <c r="J67" s="1368"/>
      <c r="K67" s="1368"/>
      <c r="L67" s="1368"/>
      <c r="M67" s="92"/>
      <c r="N67" s="111"/>
      <c r="O67" s="1369">
        <f>ROUNDDOWN(SUM(O65:P66), -6)</f>
        <v>211000000</v>
      </c>
      <c r="P67" s="1370"/>
      <c r="Q67" s="1371"/>
      <c r="R67" s="1372"/>
      <c r="S67" s="1373"/>
      <c r="V67" s="565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ht="21" thickBot="1" x14ac:dyDescent="0.35">
      <c r="B68" s="104"/>
      <c r="C68" s="104"/>
      <c r="D68" s="104"/>
      <c r="E68" s="104"/>
      <c r="F68" s="105"/>
      <c r="G68" s="105"/>
      <c r="H68" s="105"/>
      <c r="I68" s="105"/>
      <c r="J68" s="105"/>
      <c r="K68" s="105"/>
      <c r="L68" s="105"/>
      <c r="M68" s="106"/>
      <c r="N68" s="107"/>
      <c r="O68" s="107"/>
      <c r="P68" s="107"/>
      <c r="Q68" s="108"/>
      <c r="R68" s="108"/>
      <c r="S68" s="108"/>
      <c r="V68" s="565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2:33" ht="18" thickBot="1" x14ac:dyDescent="0.35">
      <c r="B69" s="1374" t="s">
        <v>50</v>
      </c>
      <c r="C69" s="1375"/>
      <c r="D69" s="1375"/>
      <c r="E69" s="1376"/>
      <c r="F69" s="109"/>
      <c r="G69" s="109"/>
      <c r="H69" s="109"/>
      <c r="I69" s="109"/>
      <c r="J69" s="109"/>
      <c r="K69" s="110"/>
      <c r="L69" s="110"/>
      <c r="M69" s="110"/>
      <c r="N69" s="77" t="s">
        <v>14</v>
      </c>
      <c r="O69" s="1377" t="s">
        <v>15</v>
      </c>
      <c r="P69" s="1378"/>
      <c r="Q69" s="1379" t="s">
        <v>17</v>
      </c>
      <c r="R69" s="1380"/>
      <c r="S69" s="166" t="s">
        <v>16</v>
      </c>
    </row>
    <row r="70" spans="2:33" ht="18" customHeight="1" x14ac:dyDescent="0.3">
      <c r="B70" s="102">
        <v>1</v>
      </c>
      <c r="C70" s="1400" t="s">
        <v>635</v>
      </c>
      <c r="D70" s="1401"/>
      <c r="E70" s="1401"/>
      <c r="F70" s="1401"/>
      <c r="G70" s="1401"/>
      <c r="H70" s="1401"/>
      <c r="I70" s="1401"/>
      <c r="J70" s="1402"/>
      <c r="N70" s="11">
        <v>0</v>
      </c>
      <c r="O70" s="1403">
        <f>$O$67/(1+N70)</f>
        <v>211000000</v>
      </c>
      <c r="P70" s="1404"/>
      <c r="Q70" s="1405">
        <f>O70-$M$50</f>
        <v>97257223</v>
      </c>
      <c r="R70" s="1406"/>
      <c r="S70" s="160">
        <f>Q70/O70</f>
        <v>0.46093470616113746</v>
      </c>
    </row>
    <row r="71" spans="2:33" ht="18" customHeight="1" x14ac:dyDescent="0.3">
      <c r="B71" s="100">
        <v>2</v>
      </c>
      <c r="C71" s="1458"/>
      <c r="D71" s="1456"/>
      <c r="E71" s="1456"/>
      <c r="F71" s="1456"/>
      <c r="G71" s="1456"/>
      <c r="H71" s="1456"/>
      <c r="I71" s="1456"/>
      <c r="J71" s="1457"/>
      <c r="N71" s="9">
        <v>0.1</v>
      </c>
      <c r="O71" s="1389">
        <f>$O$67/(1+N71)</f>
        <v>191818181.81818181</v>
      </c>
      <c r="P71" s="1390"/>
      <c r="Q71" s="1391">
        <f t="shared" ref="Q71:Q74" si="16">O71-$M$50</f>
        <v>78075404.818181813</v>
      </c>
      <c r="R71" s="1392"/>
      <c r="S71" s="161">
        <f t="shared" ref="S71:S74" si="17">Q71/O71</f>
        <v>0.40702817677725117</v>
      </c>
    </row>
    <row r="72" spans="2:33" ht="18" customHeight="1" x14ac:dyDescent="0.3">
      <c r="B72" s="100">
        <v>3</v>
      </c>
      <c r="C72" s="1455"/>
      <c r="D72" s="1456"/>
      <c r="E72" s="1456"/>
      <c r="F72" s="1456"/>
      <c r="G72" s="1456"/>
      <c r="H72" s="1456"/>
      <c r="I72" s="1456"/>
      <c r="J72" s="1457"/>
      <c r="N72" s="10">
        <v>0.15</v>
      </c>
      <c r="O72" s="1389">
        <f t="shared" ref="O72:O73" si="18">$O$67/(1+N72)</f>
        <v>183478260.86956522</v>
      </c>
      <c r="P72" s="1390"/>
      <c r="Q72" s="1391">
        <f t="shared" si="16"/>
        <v>69735483.869565219</v>
      </c>
      <c r="R72" s="1392"/>
      <c r="S72" s="161">
        <f t="shared" si="17"/>
        <v>0.38007491208530808</v>
      </c>
    </row>
    <row r="73" spans="2:33" s="103" customFormat="1" ht="18" customHeight="1" x14ac:dyDescent="0.3">
      <c r="B73" s="100">
        <v>4</v>
      </c>
      <c r="C73" s="1455"/>
      <c r="D73" s="1456"/>
      <c r="E73" s="1456"/>
      <c r="F73" s="1456"/>
      <c r="G73" s="1456"/>
      <c r="H73" s="1456"/>
      <c r="I73" s="1456"/>
      <c r="J73" s="1457"/>
      <c r="K73" s="1"/>
      <c r="L73" s="1"/>
      <c r="M73" s="1"/>
      <c r="N73" s="10">
        <v>0.2</v>
      </c>
      <c r="O73" s="1389">
        <f t="shared" si="18"/>
        <v>175833333.33333334</v>
      </c>
      <c r="P73" s="1390"/>
      <c r="Q73" s="1391">
        <f t="shared" si="16"/>
        <v>62090556.333333343</v>
      </c>
      <c r="R73" s="1392"/>
      <c r="S73" s="161">
        <f t="shared" si="17"/>
        <v>0.35312164739336499</v>
      </c>
      <c r="U73" s="729"/>
      <c r="V73" s="562"/>
      <c r="W73"/>
      <c r="X73"/>
      <c r="Y73"/>
      <c r="Z73"/>
      <c r="AA73"/>
      <c r="AB73"/>
      <c r="AC73"/>
      <c r="AD73"/>
      <c r="AE73"/>
      <c r="AF73"/>
      <c r="AG73"/>
    </row>
    <row r="74" spans="2:33" ht="18" customHeight="1" thickBot="1" x14ac:dyDescent="0.35">
      <c r="B74" s="100">
        <v>5</v>
      </c>
      <c r="C74" s="1393"/>
      <c r="D74" s="1394"/>
      <c r="E74" s="1394"/>
      <c r="F74" s="1394"/>
      <c r="G74" s="1394"/>
      <c r="H74" s="1394"/>
      <c r="I74" s="1394"/>
      <c r="J74" s="1395"/>
      <c r="N74" s="12" t="s">
        <v>45</v>
      </c>
      <c r="O74" s="1396">
        <v>0</v>
      </c>
      <c r="P74" s="1397"/>
      <c r="Q74" s="1398">
        <f t="shared" si="16"/>
        <v>-113742777</v>
      </c>
      <c r="R74" s="1399"/>
      <c r="S74" s="99" t="e">
        <f t="shared" si="17"/>
        <v>#DIV/0!</v>
      </c>
    </row>
    <row r="75" spans="2:33" ht="18" customHeight="1" thickBot="1" x14ac:dyDescent="0.35">
      <c r="B75" s="100">
        <v>6</v>
      </c>
      <c r="C75" s="1393"/>
      <c r="D75" s="1394"/>
      <c r="E75" s="1394"/>
      <c r="F75" s="1394"/>
      <c r="G75" s="1394"/>
      <c r="H75" s="1394"/>
      <c r="I75" s="1394"/>
      <c r="J75" s="1395"/>
    </row>
    <row r="76" spans="2:33" ht="18" customHeight="1" thickBot="1" x14ac:dyDescent="0.35">
      <c r="B76" s="100">
        <v>7</v>
      </c>
      <c r="C76" s="747"/>
      <c r="D76" s="748"/>
      <c r="E76" s="748"/>
      <c r="F76" s="748"/>
      <c r="G76" s="748"/>
      <c r="H76" s="748"/>
      <c r="I76" s="748"/>
      <c r="J76" s="749"/>
      <c r="N76" s="1410" t="s">
        <v>47</v>
      </c>
      <c r="O76" s="1411"/>
      <c r="P76" s="1412" t="s">
        <v>48</v>
      </c>
      <c r="Q76" s="1413"/>
      <c r="R76" s="1414" t="s">
        <v>49</v>
      </c>
      <c r="S76" s="1415"/>
    </row>
    <row r="77" spans="2:33" ht="18" customHeight="1" x14ac:dyDescent="0.3">
      <c r="B77" s="100">
        <v>8</v>
      </c>
      <c r="C77" s="1393"/>
      <c r="D77" s="1394"/>
      <c r="E77" s="1394"/>
      <c r="F77" s="1394"/>
      <c r="G77" s="1394"/>
      <c r="H77" s="1394"/>
      <c r="I77" s="1394"/>
      <c r="J77" s="1395"/>
      <c r="N77" s="1416"/>
      <c r="O77" s="1417"/>
      <c r="P77" s="1422"/>
      <c r="Q77" s="1423"/>
      <c r="R77" s="1428"/>
      <c r="S77" s="1429"/>
    </row>
    <row r="78" spans="2:33" ht="18" customHeight="1" x14ac:dyDescent="0.3">
      <c r="B78" s="100"/>
      <c r="C78" s="1434"/>
      <c r="D78" s="1435"/>
      <c r="E78" s="1435"/>
      <c r="F78" s="1435"/>
      <c r="G78" s="1435"/>
      <c r="H78" s="1435"/>
      <c r="I78" s="1435"/>
      <c r="J78" s="1436"/>
      <c r="N78" s="1418"/>
      <c r="O78" s="1419"/>
      <c r="P78" s="1424"/>
      <c r="Q78" s="1425"/>
      <c r="R78" s="1430"/>
      <c r="S78" s="1431"/>
    </row>
    <row r="79" spans="2:33" ht="18" customHeight="1" x14ac:dyDescent="0.3">
      <c r="B79" s="100"/>
      <c r="C79" s="1434"/>
      <c r="D79" s="1435"/>
      <c r="E79" s="1435"/>
      <c r="F79" s="1435"/>
      <c r="G79" s="1435"/>
      <c r="H79" s="1435"/>
      <c r="I79" s="1435"/>
      <c r="J79" s="1436"/>
      <c r="N79" s="1418"/>
      <c r="O79" s="1419"/>
      <c r="P79" s="1424"/>
      <c r="Q79" s="1425"/>
      <c r="R79" s="1430"/>
      <c r="S79" s="1431"/>
    </row>
    <row r="80" spans="2:33" ht="18" customHeight="1" thickBot="1" x14ac:dyDescent="0.35">
      <c r="B80" s="101"/>
      <c r="C80" s="1407"/>
      <c r="D80" s="1408"/>
      <c r="E80" s="1408"/>
      <c r="F80" s="1408"/>
      <c r="G80" s="1408"/>
      <c r="H80" s="1408"/>
      <c r="I80" s="1408"/>
      <c r="J80" s="1409"/>
      <c r="N80" s="1420"/>
      <c r="O80" s="1421"/>
      <c r="P80" s="1426"/>
      <c r="Q80" s="1427"/>
      <c r="R80" s="1432"/>
      <c r="S80" s="1433"/>
    </row>
    <row r="81" spans="1:33" s="3" customFormat="1" ht="17.25" x14ac:dyDescent="0.3">
      <c r="A81"/>
      <c r="B81" s="2"/>
      <c r="C81" s="2"/>
      <c r="D81" s="2"/>
      <c r="E81" s="2"/>
      <c r="K81" s="1"/>
      <c r="L81" s="1"/>
      <c r="M81" s="1"/>
      <c r="N81" s="5"/>
      <c r="O81" s="1"/>
      <c r="P81" s="1"/>
      <c r="Q81"/>
      <c r="R81"/>
      <c r="S81" s="93"/>
      <c r="T81" s="97"/>
      <c r="U81" s="730"/>
      <c r="V81" s="562"/>
      <c r="W81"/>
      <c r="X81"/>
      <c r="Y81"/>
      <c r="Z81"/>
      <c r="AA81"/>
      <c r="AB81"/>
      <c r="AC81"/>
      <c r="AD81"/>
      <c r="AE81"/>
      <c r="AF81"/>
      <c r="AG81"/>
    </row>
    <row r="82" spans="1:33" s="3" customFormat="1" x14ac:dyDescent="0.3">
      <c r="A82"/>
      <c r="B82" s="2"/>
      <c r="C82" s="2"/>
      <c r="D82" s="2"/>
      <c r="E82" s="2"/>
      <c r="K82" s="1"/>
      <c r="L82" s="1"/>
      <c r="M82" s="1"/>
      <c r="N82" s="5"/>
      <c r="O82" s="1"/>
      <c r="P82" s="1"/>
      <c r="Q82"/>
      <c r="R82"/>
      <c r="S82" s="93"/>
      <c r="T82" s="98"/>
      <c r="U82" s="731"/>
      <c r="V82" s="562"/>
      <c r="W82"/>
      <c r="X82"/>
      <c r="Y82"/>
      <c r="Z82"/>
      <c r="AA82"/>
      <c r="AB82"/>
      <c r="AC82"/>
      <c r="AD82"/>
      <c r="AE82"/>
      <c r="AF82"/>
      <c r="AG82"/>
    </row>
    <row r="83" spans="1:33" s="3" customFormat="1" x14ac:dyDescent="0.3">
      <c r="A83"/>
      <c r="B83" s="2"/>
      <c r="C83" s="2"/>
      <c r="D83" s="2"/>
      <c r="E83" s="2"/>
      <c r="K83" s="395"/>
      <c r="L83" s="1"/>
      <c r="M83" s="1"/>
      <c r="N83" s="5"/>
      <c r="O83" s="1"/>
      <c r="P83" s="1"/>
      <c r="Q83"/>
      <c r="R83"/>
      <c r="S83" s="93"/>
      <c r="T83" s="98"/>
      <c r="U83" s="731"/>
      <c r="V83" s="562"/>
      <c r="W83"/>
      <c r="X83"/>
      <c r="Y83"/>
      <c r="Z83"/>
      <c r="AA83"/>
      <c r="AB83"/>
      <c r="AC83"/>
      <c r="AD83"/>
      <c r="AE83"/>
      <c r="AF83"/>
      <c r="AG83"/>
    </row>
    <row r="84" spans="1:33" s="3" customFormat="1" x14ac:dyDescent="0.3">
      <c r="A84"/>
      <c r="B84" s="2"/>
      <c r="C84" s="2"/>
      <c r="D84" s="2"/>
      <c r="E84" s="2"/>
      <c r="K84" s="1"/>
      <c r="L84" s="1"/>
      <c r="M84" s="1"/>
      <c r="N84" s="5"/>
      <c r="O84" s="1"/>
      <c r="P84" s="1"/>
      <c r="Q84"/>
      <c r="R84"/>
      <c r="S84" s="93"/>
      <c r="T84" s="98"/>
      <c r="U84" s="731"/>
      <c r="V84" s="562"/>
      <c r="W84"/>
      <c r="X84"/>
      <c r="Y84"/>
      <c r="Z84"/>
      <c r="AA84"/>
      <c r="AB84"/>
      <c r="AC84"/>
      <c r="AD84"/>
      <c r="AE84"/>
      <c r="AF84"/>
      <c r="AG84"/>
    </row>
    <row r="85" spans="1:33" s="3" customFormat="1" x14ac:dyDescent="0.3">
      <c r="A85"/>
      <c r="B85" s="2"/>
      <c r="C85" s="2"/>
      <c r="D85" s="2"/>
      <c r="E85" s="2"/>
      <c r="K85" s="1"/>
      <c r="L85" s="1"/>
      <c r="M85" s="1"/>
      <c r="N85" s="5"/>
      <c r="O85" s="1"/>
      <c r="P85" s="1"/>
      <c r="Q85"/>
      <c r="R85"/>
      <c r="S85" s="93"/>
      <c r="T85" s="98"/>
      <c r="U85" s="731"/>
      <c r="V85" s="562"/>
      <c r="W85"/>
      <c r="X85"/>
      <c r="Y85"/>
      <c r="Z85"/>
      <c r="AA85"/>
      <c r="AB85"/>
      <c r="AC85"/>
      <c r="AD85"/>
      <c r="AE85"/>
      <c r="AF85"/>
      <c r="AG85"/>
    </row>
  </sheetData>
  <mergeCells count="146">
    <mergeCell ref="A2:S2"/>
    <mergeCell ref="Q3:S3"/>
    <mergeCell ref="B4:E4"/>
    <mergeCell ref="O4:P4"/>
    <mergeCell ref="Q4:R4"/>
    <mergeCell ref="O5:P5"/>
    <mergeCell ref="Q5:R5"/>
    <mergeCell ref="O9:P9"/>
    <mergeCell ref="Q9:R9"/>
    <mergeCell ref="O10:P10"/>
    <mergeCell ref="Q10:R10"/>
    <mergeCell ref="O11:P11"/>
    <mergeCell ref="Q11:R11"/>
    <mergeCell ref="O6:P6"/>
    <mergeCell ref="Q6:R6"/>
    <mergeCell ref="O7:P7"/>
    <mergeCell ref="Q7:R7"/>
    <mergeCell ref="O8:P8"/>
    <mergeCell ref="Q8:R8"/>
    <mergeCell ref="O16:P16"/>
    <mergeCell ref="Q16:R16"/>
    <mergeCell ref="O17:P17"/>
    <mergeCell ref="Q17:R17"/>
    <mergeCell ref="O18:P18"/>
    <mergeCell ref="Q18:R19"/>
    <mergeCell ref="O19:P19"/>
    <mergeCell ref="O12:P12"/>
    <mergeCell ref="Q12:R12"/>
    <mergeCell ref="O13:P13"/>
    <mergeCell ref="Q13:R14"/>
    <mergeCell ref="O14:P14"/>
    <mergeCell ref="O15:P15"/>
    <mergeCell ref="Q15:R15"/>
    <mergeCell ref="O23:P23"/>
    <mergeCell ref="Q23:R23"/>
    <mergeCell ref="O24:P24"/>
    <mergeCell ref="O25:P25"/>
    <mergeCell ref="Q25:R25"/>
    <mergeCell ref="O27:P27"/>
    <mergeCell ref="Q27:R27"/>
    <mergeCell ref="O20:P20"/>
    <mergeCell ref="Q20:R20"/>
    <mergeCell ref="O21:P21"/>
    <mergeCell ref="Q21:R21"/>
    <mergeCell ref="O22:P22"/>
    <mergeCell ref="Q22:R22"/>
    <mergeCell ref="O31:P31"/>
    <mergeCell ref="O32:P32"/>
    <mergeCell ref="Q32:R32"/>
    <mergeCell ref="O33:P33"/>
    <mergeCell ref="Q33:R33"/>
    <mergeCell ref="O34:P34"/>
    <mergeCell ref="O28:P28"/>
    <mergeCell ref="Q28:R28"/>
    <mergeCell ref="O29:P29"/>
    <mergeCell ref="Q29:R29"/>
    <mergeCell ref="O30:P30"/>
    <mergeCell ref="Q30:R30"/>
    <mergeCell ref="O39:P39"/>
    <mergeCell ref="O40:P40"/>
    <mergeCell ref="O41:P41"/>
    <mergeCell ref="O42:P42"/>
    <mergeCell ref="Q42:R42"/>
    <mergeCell ref="O43:P43"/>
    <mergeCell ref="Q43:R43"/>
    <mergeCell ref="O35:P35"/>
    <mergeCell ref="O36:P36"/>
    <mergeCell ref="O37:P37"/>
    <mergeCell ref="Q37:R37"/>
    <mergeCell ref="O38:P38"/>
    <mergeCell ref="Q38:R38"/>
    <mergeCell ref="B50:L50"/>
    <mergeCell ref="O50:P50"/>
    <mergeCell ref="Q50:R50"/>
    <mergeCell ref="O44:P44"/>
    <mergeCell ref="O45:P45"/>
    <mergeCell ref="O46:P46"/>
    <mergeCell ref="Q46:R46"/>
    <mergeCell ref="O47:P47"/>
    <mergeCell ref="Q47:R47"/>
    <mergeCell ref="O51:P51"/>
    <mergeCell ref="Q51:R51"/>
    <mergeCell ref="O52:P52"/>
    <mergeCell ref="Q52:R52"/>
    <mergeCell ref="O53:P53"/>
    <mergeCell ref="Q53:R53"/>
    <mergeCell ref="O48:P48"/>
    <mergeCell ref="Q48:R48"/>
    <mergeCell ref="O49:P49"/>
    <mergeCell ref="Q49:R49"/>
    <mergeCell ref="O61:P61"/>
    <mergeCell ref="O62:P62"/>
    <mergeCell ref="B63:L63"/>
    <mergeCell ref="O63:P63"/>
    <mergeCell ref="Q63:S63"/>
    <mergeCell ref="B64:L64"/>
    <mergeCell ref="O64:P64"/>
    <mergeCell ref="Q64:S64"/>
    <mergeCell ref="O54:P54"/>
    <mergeCell ref="Q54:R54"/>
    <mergeCell ref="O55:P55"/>
    <mergeCell ref="Q55:R55"/>
    <mergeCell ref="O56:P56"/>
    <mergeCell ref="Q56:R62"/>
    <mergeCell ref="O57:P57"/>
    <mergeCell ref="O58:P58"/>
    <mergeCell ref="O59:P59"/>
    <mergeCell ref="O60:P60"/>
    <mergeCell ref="B67:L67"/>
    <mergeCell ref="O67:P67"/>
    <mergeCell ref="Q67:S67"/>
    <mergeCell ref="B69:E69"/>
    <mergeCell ref="O69:P69"/>
    <mergeCell ref="Q69:R69"/>
    <mergeCell ref="B65:L65"/>
    <mergeCell ref="O65:P65"/>
    <mergeCell ref="Q65:S65"/>
    <mergeCell ref="B66:L66"/>
    <mergeCell ref="O66:P66"/>
    <mergeCell ref="Q66:S66"/>
    <mergeCell ref="C72:J72"/>
    <mergeCell ref="O72:P72"/>
    <mergeCell ref="Q72:R72"/>
    <mergeCell ref="C73:J73"/>
    <mergeCell ref="O73:P73"/>
    <mergeCell ref="Q73:R73"/>
    <mergeCell ref="C70:J70"/>
    <mergeCell ref="O70:P70"/>
    <mergeCell ref="Q70:R70"/>
    <mergeCell ref="C71:J71"/>
    <mergeCell ref="O71:P71"/>
    <mergeCell ref="Q71:R71"/>
    <mergeCell ref="C77:J77"/>
    <mergeCell ref="N77:O80"/>
    <mergeCell ref="P77:Q80"/>
    <mergeCell ref="R77:S80"/>
    <mergeCell ref="C78:J78"/>
    <mergeCell ref="C79:J79"/>
    <mergeCell ref="C80:J80"/>
    <mergeCell ref="C74:J74"/>
    <mergeCell ref="O74:P74"/>
    <mergeCell ref="Q74:R74"/>
    <mergeCell ref="C75:J75"/>
    <mergeCell ref="N76:O76"/>
    <mergeCell ref="P76:Q76"/>
    <mergeCell ref="R76:S76"/>
  </mergeCells>
  <phoneticPr fontId="2" type="noConversion"/>
  <hyperlinks>
    <hyperlink ref="V37" r:id="rId1" display="https://www.digikey.kr/ko/products/detail/cornell-dubilier-knowles/947D102K901CJRSN/4466326" xr:uid="{AAF0F38B-F170-4C0B-BE0F-B561F35DD179}"/>
  </hyperlinks>
  <pageMargins left="0.25" right="0.25" top="0.75" bottom="0.75" header="0.3" footer="0.3"/>
  <pageSetup paperSize="9" scale="34" fitToWidth="0" orientation="landscape" horizontalDpi="300" r:id="rId2"/>
  <headerFooter>
    <oddFooter>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12C1-3040-46E2-B4B6-5094DD778E90}">
  <sheetPr>
    <pageSetUpPr fitToPage="1"/>
  </sheetPr>
  <dimension ref="A1:AF91"/>
  <sheetViews>
    <sheetView topLeftCell="A34" zoomScale="85" zoomScaleNormal="85" zoomScaleSheetLayoutView="100" zoomScalePageLayoutView="85" workbookViewId="0">
      <selection activeCell="F42" sqref="F42:L43"/>
    </sheetView>
  </sheetViews>
  <sheetFormatPr defaultRowHeight="16.5" x14ac:dyDescent="0.3"/>
  <cols>
    <col min="1" max="1" width="1.625" customWidth="1"/>
    <col min="2" max="5" width="3.375" style="2" customWidth="1"/>
    <col min="6" max="6" width="57.25" style="3" customWidth="1"/>
    <col min="7" max="7" width="25.625" style="3" bestFit="1" customWidth="1"/>
    <col min="8" max="9" width="16.625" style="3" customWidth="1"/>
    <col min="10" max="10" width="6.625" style="3" customWidth="1"/>
    <col min="11" max="13" width="16.625" style="1" customWidth="1"/>
    <col min="14" max="14" width="12.625" style="5" customWidth="1"/>
    <col min="15" max="15" width="9.625" style="1" customWidth="1"/>
    <col min="16" max="16" width="12.625" style="1" customWidth="1"/>
    <col min="17" max="18" width="22.375" customWidth="1"/>
    <col min="19" max="19" width="21.875" style="93" customWidth="1"/>
    <col min="21" max="21" width="11.5" bestFit="1" customWidth="1"/>
  </cols>
  <sheetData>
    <row r="1" spans="1:32" ht="9.9499999999999993" customHeight="1" x14ac:dyDescent="0.3"/>
    <row r="2" spans="1:32" ht="26.25" x14ac:dyDescent="0.3">
      <c r="A2" s="1445" t="s">
        <v>588</v>
      </c>
      <c r="B2" s="1445"/>
      <c r="C2" s="1445"/>
      <c r="D2" s="1445"/>
      <c r="E2" s="1445"/>
      <c r="F2" s="1445"/>
      <c r="G2" s="1445"/>
      <c r="H2" s="1445"/>
      <c r="I2" s="1445"/>
      <c r="J2" s="1445"/>
      <c r="K2" s="1445"/>
      <c r="L2" s="1445"/>
      <c r="M2" s="1445"/>
      <c r="N2" s="1445"/>
      <c r="O2" s="1445"/>
      <c r="P2" s="1445"/>
      <c r="Q2" s="1445"/>
      <c r="R2" s="1445"/>
      <c r="S2" s="1445"/>
    </row>
    <row r="3" spans="1:32" ht="17.25" thickBot="1" x14ac:dyDescent="0.35">
      <c r="Q3" s="1446">
        <v>45435</v>
      </c>
      <c r="R3" s="1446"/>
      <c r="S3" s="1446"/>
    </row>
    <row r="4" spans="1:32" ht="18" thickBot="1" x14ac:dyDescent="0.35">
      <c r="B4" s="1318" t="s">
        <v>491</v>
      </c>
      <c r="C4" s="1319"/>
      <c r="D4" s="1319"/>
      <c r="E4" s="1320"/>
      <c r="F4" s="6" t="s">
        <v>56</v>
      </c>
      <c r="G4" s="6" t="s">
        <v>55</v>
      </c>
      <c r="H4" s="6" t="s">
        <v>0</v>
      </c>
      <c r="I4" s="6" t="s">
        <v>43</v>
      </c>
      <c r="J4" s="6" t="s">
        <v>4</v>
      </c>
      <c r="K4" s="7" t="s">
        <v>12</v>
      </c>
      <c r="L4" s="8" t="s">
        <v>39</v>
      </c>
      <c r="M4" s="8" t="s">
        <v>5</v>
      </c>
      <c r="N4" s="141" t="s">
        <v>13</v>
      </c>
      <c r="O4" s="1321" t="s">
        <v>6</v>
      </c>
      <c r="P4" s="1322"/>
      <c r="Q4" s="1319" t="s">
        <v>3</v>
      </c>
      <c r="R4" s="1323"/>
      <c r="S4" s="71" t="s">
        <v>59</v>
      </c>
    </row>
    <row r="5" spans="1:32" s="82" customFormat="1" ht="17.25" thickBot="1" x14ac:dyDescent="0.35">
      <c r="B5" s="122" t="s">
        <v>2</v>
      </c>
      <c r="C5" s="116"/>
      <c r="D5" s="116"/>
      <c r="E5" s="117"/>
      <c r="F5" s="118" t="s">
        <v>265</v>
      </c>
      <c r="G5" s="119"/>
      <c r="H5" s="119"/>
      <c r="I5" s="119"/>
      <c r="J5" s="119"/>
      <c r="K5" s="272"/>
      <c r="L5" s="120"/>
      <c r="M5" s="121"/>
      <c r="N5" s="135"/>
      <c r="O5" s="1447"/>
      <c r="P5" s="1448"/>
      <c r="Q5" s="1326"/>
      <c r="R5" s="1327"/>
      <c r="S5" s="115"/>
    </row>
    <row r="6" spans="1:32" s="369" customFormat="1" x14ac:dyDescent="0.3">
      <c r="B6" s="498"/>
      <c r="C6" s="155" t="s">
        <v>2</v>
      </c>
      <c r="D6" s="155"/>
      <c r="E6" s="151"/>
      <c r="F6" s="269" t="s">
        <v>307</v>
      </c>
      <c r="G6" s="184" t="s">
        <v>433</v>
      </c>
      <c r="H6" s="185" t="s">
        <v>131</v>
      </c>
      <c r="I6" s="185" t="s">
        <v>131</v>
      </c>
      <c r="J6" s="184">
        <v>1</v>
      </c>
      <c r="K6" s="169">
        <f>(8210+3030+1140+2160+440)*0.6*1.071*1400</f>
        <v>13476607.199999999</v>
      </c>
      <c r="L6" s="55">
        <v>24756000</v>
      </c>
      <c r="M6" s="164">
        <f>J6*K6</f>
        <v>13476607.199999999</v>
      </c>
      <c r="N6" s="158">
        <v>0</v>
      </c>
      <c r="O6" s="1328">
        <f t="shared" ref="O6:O15" si="0">J6*L6/(1-N6)</f>
        <v>24756000</v>
      </c>
      <c r="P6" s="1329"/>
      <c r="Q6" s="1330" t="s">
        <v>590</v>
      </c>
      <c r="R6" s="1331"/>
      <c r="S6" s="470"/>
    </row>
    <row r="7" spans="1:32" s="369" customFormat="1" x14ac:dyDescent="0.3">
      <c r="B7" s="62"/>
      <c r="C7" s="56"/>
      <c r="D7" s="63" t="s">
        <v>73</v>
      </c>
      <c r="E7" s="61"/>
      <c r="F7" s="174" t="s">
        <v>372</v>
      </c>
      <c r="G7" s="56">
        <v>720268</v>
      </c>
      <c r="H7" s="482" t="s">
        <v>131</v>
      </c>
      <c r="I7" s="482" t="s">
        <v>131</v>
      </c>
      <c r="J7" s="56">
        <v>2</v>
      </c>
      <c r="K7" s="169">
        <f>(1190)*0.606*1.071*1400</f>
        <v>1081277.3159999999</v>
      </c>
      <c r="L7" s="55">
        <v>1806000</v>
      </c>
      <c r="M7" s="475">
        <f t="shared" ref="M7:M10" si="1">J7*K7</f>
        <v>2162554.6319999998</v>
      </c>
      <c r="N7" s="503">
        <v>0</v>
      </c>
      <c r="O7" s="1472">
        <f t="shared" si="0"/>
        <v>3612000</v>
      </c>
      <c r="P7" s="1473"/>
      <c r="Q7" s="1562" t="s">
        <v>595</v>
      </c>
      <c r="R7" s="1563"/>
      <c r="S7" s="470"/>
      <c r="T7" s="370"/>
      <c r="U7" s="370"/>
    </row>
    <row r="8" spans="1:32" ht="16.149999999999999" customHeight="1" x14ac:dyDescent="0.3">
      <c r="B8" s="683"/>
      <c r="C8" s="679"/>
      <c r="D8" s="679"/>
      <c r="E8" s="685" t="s">
        <v>73</v>
      </c>
      <c r="F8" s="686" t="s">
        <v>281</v>
      </c>
      <c r="G8" s="679">
        <v>758933</v>
      </c>
      <c r="H8" s="687" t="s">
        <v>131</v>
      </c>
      <c r="I8" s="687" t="s">
        <v>131</v>
      </c>
      <c r="J8" s="679">
        <v>4</v>
      </c>
      <c r="K8" s="656">
        <f>(35)*0.643*1.071*1400</f>
        <v>33743.996999999996</v>
      </c>
      <c r="L8" s="703">
        <v>62000</v>
      </c>
      <c r="M8" s="688">
        <f t="shared" si="1"/>
        <v>134975.98799999998</v>
      </c>
      <c r="N8" s="689">
        <v>0</v>
      </c>
      <c r="O8" s="1560">
        <f t="shared" si="0"/>
        <v>248000</v>
      </c>
      <c r="P8" s="1561"/>
      <c r="Q8" s="1562" t="s">
        <v>596</v>
      </c>
      <c r="R8" s="1563"/>
      <c r="S8" s="470"/>
    </row>
    <row r="9" spans="1:32" ht="16.149999999999999" customHeight="1" x14ac:dyDescent="0.3">
      <c r="B9" s="683"/>
      <c r="C9" s="679"/>
      <c r="D9" s="679"/>
      <c r="E9" s="685" t="s">
        <v>73</v>
      </c>
      <c r="F9" s="686" t="s">
        <v>283</v>
      </c>
      <c r="G9" s="679">
        <v>758921</v>
      </c>
      <c r="H9" s="687" t="s">
        <v>131</v>
      </c>
      <c r="I9" s="687" t="s">
        <v>131</v>
      </c>
      <c r="J9" s="679">
        <v>4</v>
      </c>
      <c r="K9" s="656">
        <f>(30)*0.643*1.071*1400</f>
        <v>28923.425999999996</v>
      </c>
      <c r="L9" s="703">
        <v>54000</v>
      </c>
      <c r="M9" s="688">
        <f t="shared" si="1"/>
        <v>115693.70399999998</v>
      </c>
      <c r="N9" s="689">
        <v>0</v>
      </c>
      <c r="O9" s="1560">
        <f t="shared" si="0"/>
        <v>216000</v>
      </c>
      <c r="P9" s="1561"/>
      <c r="Q9" s="1562" t="s">
        <v>597</v>
      </c>
      <c r="R9" s="1563"/>
      <c r="S9" s="470"/>
    </row>
    <row r="10" spans="1:32" s="369" customFormat="1" x14ac:dyDescent="0.3">
      <c r="B10" s="683"/>
      <c r="C10" s="679"/>
      <c r="D10" s="684" t="s">
        <v>73</v>
      </c>
      <c r="E10" s="685"/>
      <c r="F10" s="686" t="s">
        <v>310</v>
      </c>
      <c r="G10" s="679">
        <v>701251</v>
      </c>
      <c r="H10" s="687" t="s">
        <v>131</v>
      </c>
      <c r="I10" s="687" t="s">
        <v>131</v>
      </c>
      <c r="J10" s="679">
        <v>1</v>
      </c>
      <c r="K10" s="656">
        <f>(1190)*0.606*1.071*1400</f>
        <v>1081277.3159999999</v>
      </c>
      <c r="L10" s="656">
        <v>1806000</v>
      </c>
      <c r="M10" s="688">
        <f t="shared" si="1"/>
        <v>1081277.3159999999</v>
      </c>
      <c r="N10" s="689">
        <v>0</v>
      </c>
      <c r="O10" s="1560">
        <f t="shared" si="0"/>
        <v>1806000</v>
      </c>
      <c r="P10" s="1561"/>
      <c r="Q10" s="1562" t="s">
        <v>599</v>
      </c>
      <c r="R10" s="1563"/>
      <c r="S10" s="470"/>
      <c r="T10" s="370"/>
      <c r="U10" s="370"/>
    </row>
    <row r="11" spans="1:32" ht="16.149999999999999" customHeight="1" x14ac:dyDescent="0.3">
      <c r="B11" s="62"/>
      <c r="C11" s="56"/>
      <c r="D11" s="56"/>
      <c r="E11" s="61" t="s">
        <v>73</v>
      </c>
      <c r="F11" s="269" t="s">
        <v>489</v>
      </c>
      <c r="G11" s="56">
        <v>702916</v>
      </c>
      <c r="H11" s="482" t="s">
        <v>131</v>
      </c>
      <c r="I11" s="482" t="s">
        <v>131</v>
      </c>
      <c r="J11" s="56">
        <v>1</v>
      </c>
      <c r="K11" s="169">
        <f>(6450)*0.6*1.071*1400</f>
        <v>5802677.9999999991</v>
      </c>
      <c r="L11" s="392">
        <v>8712000</v>
      </c>
      <c r="M11" s="475">
        <f>J11*K11</f>
        <v>5802677.9999999991</v>
      </c>
      <c r="N11" s="503">
        <v>0</v>
      </c>
      <c r="O11" s="1472">
        <f>J11*L11/(1-N11)</f>
        <v>8712000</v>
      </c>
      <c r="P11" s="1473"/>
      <c r="Q11" s="1474" t="s">
        <v>444</v>
      </c>
      <c r="R11" s="1475"/>
      <c r="S11" s="470"/>
    </row>
    <row r="12" spans="1:32" s="82" customFormat="1" x14ac:dyDescent="0.3">
      <c r="B12" s="662"/>
      <c r="C12" s="663"/>
      <c r="D12" s="664"/>
      <c r="E12" s="663"/>
      <c r="F12" s="665" t="s">
        <v>377</v>
      </c>
      <c r="G12" s="664">
        <v>758924</v>
      </c>
      <c r="H12" s="664" t="s">
        <v>40</v>
      </c>
      <c r="I12" s="666" t="s">
        <v>131</v>
      </c>
      <c r="J12" s="664">
        <v>0</v>
      </c>
      <c r="K12" s="667">
        <f>(60)*0.643*1.071*1400</f>
        <v>57846.851999999992</v>
      </c>
      <c r="L12" s="667">
        <v>109000</v>
      </c>
      <c r="M12" s="668">
        <f>J12*K12</f>
        <v>0</v>
      </c>
      <c r="N12" s="669">
        <v>0</v>
      </c>
      <c r="O12" s="733">
        <f>J12*L12/(1-N12)</f>
        <v>0</v>
      </c>
      <c r="P12" s="734"/>
      <c r="Q12" s="1558" t="s">
        <v>508</v>
      </c>
      <c r="R12" s="1559"/>
      <c r="S12" s="752"/>
    </row>
    <row r="13" spans="1:32" s="369" customFormat="1" x14ac:dyDescent="0.3">
      <c r="B13" s="62"/>
      <c r="C13" s="56"/>
      <c r="D13" s="63" t="s">
        <v>73</v>
      </c>
      <c r="E13" s="61"/>
      <c r="F13" s="174" t="s">
        <v>368</v>
      </c>
      <c r="G13" s="56">
        <v>701265</v>
      </c>
      <c r="H13" s="482" t="s">
        <v>131</v>
      </c>
      <c r="I13" s="482" t="s">
        <v>131</v>
      </c>
      <c r="J13" s="56">
        <v>2</v>
      </c>
      <c r="K13" s="169">
        <f>(1140)*0.606*1.071*1400</f>
        <v>1035845.4959999999</v>
      </c>
      <c r="L13" s="55">
        <v>1723000</v>
      </c>
      <c r="M13" s="475">
        <f t="shared" ref="M13" si="2">J13*K13</f>
        <v>2071690.9919999999</v>
      </c>
      <c r="N13" s="503">
        <v>0</v>
      </c>
      <c r="O13" s="1472">
        <f t="shared" si="0"/>
        <v>3446000</v>
      </c>
      <c r="P13" s="1473"/>
      <c r="Q13" s="1474" t="s">
        <v>292</v>
      </c>
      <c r="R13" s="1475"/>
      <c r="S13" s="470"/>
      <c r="T13" s="370"/>
      <c r="U13" s="370"/>
    </row>
    <row r="14" spans="1:32" s="369" customFormat="1" x14ac:dyDescent="0.3">
      <c r="B14" s="650"/>
      <c r="C14" s="651" t="s">
        <v>73</v>
      </c>
      <c r="D14" s="651"/>
      <c r="E14" s="652"/>
      <c r="F14" s="653" t="s">
        <v>399</v>
      </c>
      <c r="G14" s="654" t="s">
        <v>336</v>
      </c>
      <c r="H14" s="655" t="s">
        <v>337</v>
      </c>
      <c r="I14" s="655" t="s">
        <v>337</v>
      </c>
      <c r="J14" s="654">
        <v>1</v>
      </c>
      <c r="K14" s="657">
        <f>690000*8.7116</f>
        <v>6011004.0000000009</v>
      </c>
      <c r="L14" s="757">
        <v>11825000</v>
      </c>
      <c r="M14" s="658">
        <f>J14*K14</f>
        <v>6011004.0000000009</v>
      </c>
      <c r="N14" s="659">
        <v>0</v>
      </c>
      <c r="O14" s="1449">
        <f t="shared" si="0"/>
        <v>11825000</v>
      </c>
      <c r="P14" s="1450"/>
      <c r="Q14" s="1451" t="s">
        <v>586</v>
      </c>
      <c r="R14" s="1452"/>
      <c r="S14" s="204"/>
      <c r="T14" s="682" t="s">
        <v>585</v>
      </c>
      <c r="U14" s="562"/>
      <c r="V14" s="370"/>
      <c r="W14" s="370"/>
      <c r="X14" s="370"/>
      <c r="Y14" s="370"/>
      <c r="Z14" s="370"/>
      <c r="AA14" s="370"/>
      <c r="AB14" s="370"/>
      <c r="AC14" s="370"/>
      <c r="AD14" s="370"/>
      <c r="AE14" s="370"/>
      <c r="AF14" s="370"/>
    </row>
    <row r="15" spans="1:32" s="84" customFormat="1" x14ac:dyDescent="0.3">
      <c r="B15" s="650"/>
      <c r="C15" s="676" t="s">
        <v>73</v>
      </c>
      <c r="D15" s="676"/>
      <c r="E15" s="652"/>
      <c r="F15" s="677" t="s">
        <v>546</v>
      </c>
      <c r="G15" s="678" t="s">
        <v>425</v>
      </c>
      <c r="H15" s="651" t="s">
        <v>142</v>
      </c>
      <c r="I15" s="679" t="s">
        <v>64</v>
      </c>
      <c r="J15" s="651">
        <v>1</v>
      </c>
      <c r="K15" s="657">
        <f>L15*0.75</f>
        <v>1731750</v>
      </c>
      <c r="L15" s="657">
        <v>2309000</v>
      </c>
      <c r="M15" s="658">
        <f>J15*K15</f>
        <v>1731750</v>
      </c>
      <c r="N15" s="659">
        <v>0</v>
      </c>
      <c r="O15" s="1449">
        <f t="shared" si="0"/>
        <v>2309000</v>
      </c>
      <c r="P15" s="1450"/>
      <c r="Q15" s="1451" t="s">
        <v>403</v>
      </c>
      <c r="R15" s="1452"/>
      <c r="S15" s="470"/>
    </row>
    <row r="16" spans="1:32" s="528" customFormat="1" x14ac:dyDescent="0.3">
      <c r="B16" s="62"/>
      <c r="C16" s="63" t="s">
        <v>2</v>
      </c>
      <c r="D16" s="63"/>
      <c r="E16" s="61"/>
      <c r="F16" s="174" t="s">
        <v>459</v>
      </c>
      <c r="G16" s="507" t="s">
        <v>195</v>
      </c>
      <c r="H16" s="56" t="s">
        <v>142</v>
      </c>
      <c r="I16" s="56" t="s">
        <v>64</v>
      </c>
      <c r="J16" s="56">
        <v>1</v>
      </c>
      <c r="K16" s="55">
        <f>L16*0.75</f>
        <v>14394750</v>
      </c>
      <c r="L16" s="55">
        <f>19193000</f>
        <v>19193000</v>
      </c>
      <c r="M16" s="418">
        <f t="shared" ref="M16:M26" si="3">J16*K16</f>
        <v>14394750</v>
      </c>
      <c r="N16" s="503">
        <v>0</v>
      </c>
      <c r="O16" s="1472">
        <f>L16*J16</f>
        <v>19193000</v>
      </c>
      <c r="P16" s="1473"/>
      <c r="Q16" s="1484" t="s">
        <v>401</v>
      </c>
      <c r="R16" s="1485"/>
      <c r="S16" s="212"/>
      <c r="W16" s="528">
        <f>2^16</f>
        <v>65536</v>
      </c>
      <c r="Y16" s="528">
        <f>60/W16</f>
        <v>9.1552734375E-4</v>
      </c>
    </row>
    <row r="17" spans="1:25" s="528" customFormat="1" x14ac:dyDescent="0.3">
      <c r="B17" s="62"/>
      <c r="C17" s="63"/>
      <c r="D17" s="63" t="s">
        <v>2</v>
      </c>
      <c r="E17" s="61"/>
      <c r="F17" s="174" t="s">
        <v>460</v>
      </c>
      <c r="G17" s="507" t="s">
        <v>461</v>
      </c>
      <c r="H17" s="56" t="s">
        <v>142</v>
      </c>
      <c r="I17" s="56" t="s">
        <v>64</v>
      </c>
      <c r="J17" s="56">
        <v>1</v>
      </c>
      <c r="K17" s="55">
        <f>L17*0.75</f>
        <v>14008500</v>
      </c>
      <c r="L17" s="55">
        <v>18678000</v>
      </c>
      <c r="M17" s="418">
        <f t="shared" si="3"/>
        <v>14008500</v>
      </c>
      <c r="N17" s="503">
        <v>0</v>
      </c>
      <c r="O17" s="1472">
        <f>L17*J17</f>
        <v>18678000</v>
      </c>
      <c r="P17" s="1473"/>
      <c r="Q17" s="1486"/>
      <c r="R17" s="1487"/>
      <c r="S17" s="212"/>
      <c r="W17" s="528">
        <f>2^12</f>
        <v>4096</v>
      </c>
      <c r="Y17" s="528">
        <f>60/W17</f>
        <v>1.46484375E-2</v>
      </c>
    </row>
    <row r="18" spans="1:25" s="82" customFormat="1" x14ac:dyDescent="0.3">
      <c r="B18" s="494"/>
      <c r="C18" s="495"/>
      <c r="D18" s="403"/>
      <c r="E18" s="495"/>
      <c r="F18" s="404" t="s">
        <v>473</v>
      </c>
      <c r="G18" s="403" t="s">
        <v>474</v>
      </c>
      <c r="H18" s="403" t="s">
        <v>510</v>
      </c>
      <c r="I18" s="405"/>
      <c r="J18" s="403">
        <v>0</v>
      </c>
      <c r="K18" s="406">
        <f>L18*0.85</f>
        <v>1929500</v>
      </c>
      <c r="L18" s="406">
        <v>2270000</v>
      </c>
      <c r="M18" s="407">
        <f t="shared" si="3"/>
        <v>0</v>
      </c>
      <c r="N18" s="408">
        <v>0</v>
      </c>
      <c r="O18" s="741">
        <f t="shared" ref="O18:O27" si="4">J18*L18/(1-N18)</f>
        <v>0</v>
      </c>
      <c r="P18" s="742"/>
      <c r="Q18" s="750" t="s">
        <v>477</v>
      </c>
      <c r="R18" s="751"/>
      <c r="S18" s="752"/>
    </row>
    <row r="19" spans="1:25" s="82" customFormat="1" x14ac:dyDescent="0.3">
      <c r="B19" s="494"/>
      <c r="C19" s="495"/>
      <c r="D19" s="403"/>
      <c r="E19" s="495"/>
      <c r="F19" s="404" t="s">
        <v>476</v>
      </c>
      <c r="G19" s="403" t="s">
        <v>475</v>
      </c>
      <c r="H19" s="403" t="s">
        <v>510</v>
      </c>
      <c r="I19" s="405"/>
      <c r="J19" s="403">
        <v>0</v>
      </c>
      <c r="K19" s="406">
        <f t="shared" ref="K19" si="5">L19*0.85</f>
        <v>1164500</v>
      </c>
      <c r="L19" s="406">
        <v>1370000</v>
      </c>
      <c r="M19" s="407">
        <f t="shared" si="3"/>
        <v>0</v>
      </c>
      <c r="N19" s="408">
        <v>0</v>
      </c>
      <c r="O19" s="741">
        <f t="shared" si="4"/>
        <v>0</v>
      </c>
      <c r="P19" s="742"/>
      <c r="Q19" s="750"/>
      <c r="R19" s="751"/>
      <c r="S19" s="752"/>
    </row>
    <row r="20" spans="1:25" s="82" customFormat="1" x14ac:dyDescent="0.3">
      <c r="B20" s="494"/>
      <c r="C20" s="495"/>
      <c r="D20" s="403"/>
      <c r="E20" s="495"/>
      <c r="F20" s="404" t="s">
        <v>256</v>
      </c>
      <c r="G20" s="403" t="s">
        <v>336</v>
      </c>
      <c r="H20" s="403" t="s">
        <v>337</v>
      </c>
      <c r="I20" s="405"/>
      <c r="J20" s="403">
        <v>0</v>
      </c>
      <c r="K20" s="406"/>
      <c r="L20" s="406">
        <v>11140000</v>
      </c>
      <c r="M20" s="407">
        <f t="shared" si="3"/>
        <v>0</v>
      </c>
      <c r="N20" s="408">
        <v>0</v>
      </c>
      <c r="O20" s="741">
        <f t="shared" si="4"/>
        <v>0</v>
      </c>
      <c r="P20" s="742"/>
      <c r="Q20" s="1548" t="s">
        <v>481</v>
      </c>
      <c r="R20" s="1549"/>
      <c r="S20" s="752"/>
    </row>
    <row r="21" spans="1:25" s="413" customFormat="1" x14ac:dyDescent="0.3">
      <c r="B21" s="494"/>
      <c r="C21" s="495"/>
      <c r="D21" s="403"/>
      <c r="E21" s="495"/>
      <c r="F21" s="404" t="s">
        <v>256</v>
      </c>
      <c r="G21" s="403" t="s">
        <v>395</v>
      </c>
      <c r="H21" s="403" t="s">
        <v>394</v>
      </c>
      <c r="I21" s="405"/>
      <c r="J21" s="403">
        <v>0</v>
      </c>
      <c r="K21" s="406">
        <f t="shared" ref="K21:K23" si="6">L21*0.75</f>
        <v>7717500</v>
      </c>
      <c r="L21" s="406">
        <v>10290000</v>
      </c>
      <c r="M21" s="407">
        <f t="shared" si="3"/>
        <v>0</v>
      </c>
      <c r="N21" s="408">
        <v>0</v>
      </c>
      <c r="O21" s="741">
        <f t="shared" si="4"/>
        <v>0</v>
      </c>
      <c r="P21" s="742"/>
      <c r="Q21" s="1550"/>
      <c r="R21" s="1551"/>
      <c r="S21" s="470"/>
      <c r="U21" s="413">
        <f>1/10000</f>
        <v>1E-4</v>
      </c>
    </row>
    <row r="22" spans="1:25" s="394" customFormat="1" x14ac:dyDescent="0.3">
      <c r="A22" s="369"/>
      <c r="B22" s="583"/>
      <c r="C22" s="584"/>
      <c r="D22" s="584"/>
      <c r="E22" s="518"/>
      <c r="F22" s="519" t="s">
        <v>423</v>
      </c>
      <c r="G22" s="405" t="s">
        <v>273</v>
      </c>
      <c r="H22" s="405" t="s">
        <v>255</v>
      </c>
      <c r="I22" s="405"/>
      <c r="J22" s="405">
        <v>0</v>
      </c>
      <c r="K22" s="520">
        <f t="shared" si="6"/>
        <v>27652500</v>
      </c>
      <c r="L22" s="520">
        <v>36870000</v>
      </c>
      <c r="M22" s="407">
        <f t="shared" si="3"/>
        <v>0</v>
      </c>
      <c r="N22" s="521">
        <v>0</v>
      </c>
      <c r="O22" s="1546">
        <f t="shared" si="4"/>
        <v>0</v>
      </c>
      <c r="P22" s="1547"/>
      <c r="Q22" s="1548" t="s">
        <v>462</v>
      </c>
      <c r="R22" s="1549"/>
      <c r="S22" s="212"/>
    </row>
    <row r="23" spans="1:25" s="528" customFormat="1" x14ac:dyDescent="0.3">
      <c r="A23" s="84"/>
      <c r="B23" s="583"/>
      <c r="C23" s="584"/>
      <c r="D23" s="584"/>
      <c r="E23" s="518"/>
      <c r="F23" s="519" t="s">
        <v>424</v>
      </c>
      <c r="G23" s="405" t="s">
        <v>274</v>
      </c>
      <c r="H23" s="405" t="s">
        <v>255</v>
      </c>
      <c r="I23" s="405"/>
      <c r="J23" s="405">
        <v>0</v>
      </c>
      <c r="K23" s="520">
        <f t="shared" si="6"/>
        <v>23730000</v>
      </c>
      <c r="L23" s="520">
        <v>31640000</v>
      </c>
      <c r="M23" s="407">
        <f t="shared" si="3"/>
        <v>0</v>
      </c>
      <c r="N23" s="521">
        <v>0</v>
      </c>
      <c r="O23" s="1546">
        <f t="shared" si="4"/>
        <v>0</v>
      </c>
      <c r="P23" s="1547"/>
      <c r="Q23" s="1550" t="s">
        <v>401</v>
      </c>
      <c r="R23" s="1551"/>
      <c r="S23" s="212"/>
    </row>
    <row r="24" spans="1:25" s="82" customFormat="1" x14ac:dyDescent="0.3">
      <c r="B24" s="494"/>
      <c r="C24" s="495"/>
      <c r="D24" s="403"/>
      <c r="E24" s="495"/>
      <c r="F24" s="404" t="s">
        <v>435</v>
      </c>
      <c r="G24" s="403">
        <v>720254</v>
      </c>
      <c r="H24" s="403" t="s">
        <v>40</v>
      </c>
      <c r="I24" s="405" t="s">
        <v>40</v>
      </c>
      <c r="J24" s="403">
        <v>0</v>
      </c>
      <c r="K24" s="406">
        <f>(1950)*0.57*1.071*1400</f>
        <v>1666583.1</v>
      </c>
      <c r="L24" s="406">
        <v>2737000</v>
      </c>
      <c r="M24" s="407">
        <f t="shared" si="3"/>
        <v>0</v>
      </c>
      <c r="N24" s="408">
        <v>0</v>
      </c>
      <c r="O24" s="1546">
        <f t="shared" si="4"/>
        <v>0</v>
      </c>
      <c r="P24" s="1547"/>
      <c r="Q24" s="750" t="s">
        <v>464</v>
      </c>
      <c r="R24" s="751"/>
      <c r="S24" s="752"/>
      <c r="U24" s="624">
        <v>0.01</v>
      </c>
    </row>
    <row r="25" spans="1:25" s="82" customFormat="1" x14ac:dyDescent="0.3">
      <c r="B25" s="494"/>
      <c r="C25" s="495"/>
      <c r="D25" s="403"/>
      <c r="E25" s="495"/>
      <c r="F25" s="404" t="s">
        <v>466</v>
      </c>
      <c r="G25" s="403">
        <v>701901</v>
      </c>
      <c r="H25" s="403" t="s">
        <v>40</v>
      </c>
      <c r="I25" s="405" t="s">
        <v>40</v>
      </c>
      <c r="J25" s="403">
        <v>0</v>
      </c>
      <c r="K25" s="406">
        <f>(50)*0.642*1.071*1400</f>
        <v>48130.74</v>
      </c>
      <c r="L25" s="406">
        <v>104000</v>
      </c>
      <c r="M25" s="407">
        <f t="shared" si="3"/>
        <v>0</v>
      </c>
      <c r="N25" s="408">
        <v>0</v>
      </c>
      <c r="O25" s="1546">
        <f t="shared" si="4"/>
        <v>0</v>
      </c>
      <c r="P25" s="1547"/>
      <c r="Q25" s="750" t="s">
        <v>467</v>
      </c>
      <c r="R25" s="751"/>
      <c r="S25" s="752"/>
    </row>
    <row r="26" spans="1:25" s="82" customFormat="1" x14ac:dyDescent="0.3">
      <c r="B26" s="494"/>
      <c r="C26" s="495"/>
      <c r="D26" s="403"/>
      <c r="E26" s="495"/>
      <c r="F26" s="404" t="s">
        <v>283</v>
      </c>
      <c r="G26" s="403">
        <v>758921</v>
      </c>
      <c r="H26" s="403" t="s">
        <v>40</v>
      </c>
      <c r="I26" s="405" t="s">
        <v>131</v>
      </c>
      <c r="J26" s="403">
        <v>0</v>
      </c>
      <c r="K26" s="406">
        <f>(30)*0.643*1.071*1400</f>
        <v>28923.425999999996</v>
      </c>
      <c r="L26" s="406">
        <v>54000</v>
      </c>
      <c r="M26" s="407">
        <f t="shared" si="3"/>
        <v>0</v>
      </c>
      <c r="N26" s="408">
        <v>0</v>
      </c>
      <c r="O26" s="1546">
        <f t="shared" si="4"/>
        <v>0</v>
      </c>
      <c r="P26" s="1547"/>
      <c r="Q26" s="750" t="s">
        <v>465</v>
      </c>
      <c r="R26" s="751"/>
      <c r="S26" s="752"/>
      <c r="U26" s="82">
        <f>1/500</f>
        <v>2E-3</v>
      </c>
    </row>
    <row r="27" spans="1:25" s="82" customFormat="1" x14ac:dyDescent="0.3">
      <c r="B27" s="494"/>
      <c r="C27" s="495"/>
      <c r="D27" s="403"/>
      <c r="E27" s="495"/>
      <c r="F27" s="404" t="s">
        <v>632</v>
      </c>
      <c r="G27" s="403" t="s">
        <v>633</v>
      </c>
      <c r="H27" s="403" t="s">
        <v>40</v>
      </c>
      <c r="I27" s="405" t="s">
        <v>131</v>
      </c>
      <c r="J27" s="403">
        <v>0</v>
      </c>
      <c r="K27" s="406">
        <f>0*(8210+3030+1140+2160+440)*0.6*1.071*1400</f>
        <v>0</v>
      </c>
      <c r="L27" s="406">
        <f>8266000+1610000+614000</f>
        <v>10490000</v>
      </c>
      <c r="M27" s="407">
        <f>J27*K27</f>
        <v>0</v>
      </c>
      <c r="N27" s="408">
        <v>0</v>
      </c>
      <c r="O27" s="1546">
        <f t="shared" si="4"/>
        <v>0</v>
      </c>
      <c r="P27" s="1547"/>
      <c r="Q27" s="750" t="s">
        <v>341</v>
      </c>
      <c r="R27" s="751"/>
      <c r="S27" s="752"/>
    </row>
    <row r="28" spans="1:25" ht="16.149999999999999" customHeight="1" thickBot="1" x14ac:dyDescent="0.35">
      <c r="B28" s="581"/>
      <c r="C28" s="184"/>
      <c r="D28" s="184"/>
      <c r="E28" s="582"/>
      <c r="F28" s="156"/>
      <c r="G28" s="155"/>
      <c r="H28" s="155"/>
      <c r="I28" s="155"/>
      <c r="J28" s="184"/>
      <c r="K28" s="199"/>
      <c r="L28" s="55"/>
      <c r="M28" s="164"/>
      <c r="N28" s="158"/>
      <c r="O28" s="735"/>
      <c r="P28" s="736"/>
      <c r="Q28" s="1488"/>
      <c r="R28" s="1489"/>
      <c r="S28" s="470"/>
      <c r="U28" s="82">
        <f>1/1000</f>
        <v>1E-3</v>
      </c>
    </row>
    <row r="29" spans="1:25" s="369" customFormat="1" ht="17.25" thickBot="1" x14ac:dyDescent="0.35">
      <c r="B29" s="587" t="s">
        <v>2</v>
      </c>
      <c r="C29" s="588"/>
      <c r="D29" s="588"/>
      <c r="E29" s="589"/>
      <c r="F29" s="270" t="s">
        <v>266</v>
      </c>
      <c r="G29" s="590"/>
      <c r="H29" s="590"/>
      <c r="I29" s="590"/>
      <c r="J29" s="590"/>
      <c r="K29" s="590"/>
      <c r="L29" s="591"/>
      <c r="M29" s="592"/>
      <c r="N29" s="593"/>
      <c r="O29" s="1324"/>
      <c r="P29" s="1325"/>
      <c r="Q29" s="1326"/>
      <c r="R29" s="1327"/>
      <c r="S29" s="115"/>
    </row>
    <row r="30" spans="1:25" s="84" customFormat="1" x14ac:dyDescent="0.3">
      <c r="B30" s="500"/>
      <c r="C30" s="501" t="s">
        <v>2</v>
      </c>
      <c r="D30" s="144"/>
      <c r="E30" s="145"/>
      <c r="F30" s="146" t="s">
        <v>540</v>
      </c>
      <c r="G30" s="144" t="s">
        <v>278</v>
      </c>
      <c r="H30" s="144" t="s">
        <v>80</v>
      </c>
      <c r="I30" s="144" t="s">
        <v>240</v>
      </c>
      <c r="J30" s="144">
        <v>1</v>
      </c>
      <c r="K30" s="157">
        <f t="shared" ref="K30:K33" si="7">L30*0.95</f>
        <v>2422500</v>
      </c>
      <c r="L30" s="147">
        <v>2550000</v>
      </c>
      <c r="M30" s="163">
        <f>J30*K30</f>
        <v>2422500</v>
      </c>
      <c r="N30" s="148">
        <v>0</v>
      </c>
      <c r="O30" s="1480">
        <f t="shared" ref="O30:O33" si="8">J30*L30/(1-N30)</f>
        <v>2550000</v>
      </c>
      <c r="P30" s="1481"/>
      <c r="Q30" s="1482"/>
      <c r="R30" s="1483"/>
      <c r="S30" s="287"/>
      <c r="T30" s="273"/>
    </row>
    <row r="31" spans="1:25" s="84" customFormat="1" x14ac:dyDescent="0.3">
      <c r="B31" s="650"/>
      <c r="C31" s="676"/>
      <c r="D31" s="676" t="s">
        <v>2</v>
      </c>
      <c r="E31" s="652"/>
      <c r="F31" s="677" t="s">
        <v>538</v>
      </c>
      <c r="G31" s="651" t="s">
        <v>311</v>
      </c>
      <c r="H31" s="651" t="s">
        <v>80</v>
      </c>
      <c r="I31" s="651" t="s">
        <v>430</v>
      </c>
      <c r="J31" s="651">
        <v>1</v>
      </c>
      <c r="K31" s="675">
        <f t="shared" si="7"/>
        <v>2242000</v>
      </c>
      <c r="L31" s="675">
        <v>2360000</v>
      </c>
      <c r="M31" s="658">
        <f t="shared" ref="M31:M33" si="9">J31*K31</f>
        <v>2242000</v>
      </c>
      <c r="N31" s="659">
        <v>0</v>
      </c>
      <c r="O31" s="1449">
        <f t="shared" si="8"/>
        <v>2360000</v>
      </c>
      <c r="P31" s="1450"/>
      <c r="Q31" s="1451" t="s">
        <v>559</v>
      </c>
      <c r="R31" s="1452"/>
      <c r="S31" s="289"/>
      <c r="T31" s="606" t="s">
        <v>552</v>
      </c>
      <c r="U31"/>
    </row>
    <row r="32" spans="1:25" s="84" customFormat="1" x14ac:dyDescent="0.3">
      <c r="B32" s="498"/>
      <c r="C32" s="499"/>
      <c r="D32" s="499" t="s">
        <v>2</v>
      </c>
      <c r="E32" s="151"/>
      <c r="F32" s="156" t="s">
        <v>536</v>
      </c>
      <c r="G32" s="155" t="s">
        <v>316</v>
      </c>
      <c r="H32" s="155" t="s">
        <v>80</v>
      </c>
      <c r="I32" s="155" t="s">
        <v>430</v>
      </c>
      <c r="J32" s="155">
        <v>1</v>
      </c>
      <c r="K32" s="157">
        <f t="shared" si="7"/>
        <v>836000</v>
      </c>
      <c r="L32" s="157">
        <v>880000</v>
      </c>
      <c r="M32" s="164">
        <f t="shared" si="9"/>
        <v>836000</v>
      </c>
      <c r="N32" s="158">
        <v>0</v>
      </c>
      <c r="O32" s="1328">
        <f t="shared" si="8"/>
        <v>880000</v>
      </c>
      <c r="P32" s="1329"/>
      <c r="Q32" s="1330" t="s">
        <v>580</v>
      </c>
      <c r="R32" s="1331"/>
      <c r="S32" s="289"/>
      <c r="T32" s="82" t="s">
        <v>533</v>
      </c>
      <c r="U32"/>
    </row>
    <row r="33" spans="1:21" s="82" customFormat="1" x14ac:dyDescent="0.3">
      <c r="B33" s="680"/>
      <c r="C33" s="676"/>
      <c r="D33" s="676" t="s">
        <v>2</v>
      </c>
      <c r="E33" s="681"/>
      <c r="F33" s="677" t="s">
        <v>534</v>
      </c>
      <c r="G33" s="651" t="s">
        <v>554</v>
      </c>
      <c r="H33" s="651" t="s">
        <v>80</v>
      </c>
      <c r="I33" s="651" t="s">
        <v>430</v>
      </c>
      <c r="J33" s="654">
        <v>1</v>
      </c>
      <c r="K33" s="657">
        <f t="shared" si="7"/>
        <v>1396500</v>
      </c>
      <c r="L33" s="657">
        <v>1470000</v>
      </c>
      <c r="M33" s="658">
        <f t="shared" si="9"/>
        <v>1396500</v>
      </c>
      <c r="N33" s="659">
        <v>0</v>
      </c>
      <c r="O33" s="1449">
        <f t="shared" si="8"/>
        <v>1470000</v>
      </c>
      <c r="P33" s="1450"/>
      <c r="Q33" s="1451" t="s">
        <v>525</v>
      </c>
      <c r="R33" s="1452"/>
      <c r="S33" s="204"/>
      <c r="T33" s="625" t="s">
        <v>555</v>
      </c>
    </row>
    <row r="34" spans="1:21" ht="17.25" thickBot="1" x14ac:dyDescent="0.35">
      <c r="B34" s="581"/>
      <c r="C34" s="184"/>
      <c r="D34" s="184"/>
      <c r="E34" s="582"/>
      <c r="F34" s="156"/>
      <c r="G34" s="155"/>
      <c r="H34" s="155"/>
      <c r="I34" s="155"/>
      <c r="J34" s="184"/>
      <c r="K34" s="199"/>
      <c r="L34" s="55"/>
      <c r="M34" s="164"/>
      <c r="N34" s="158"/>
      <c r="O34" s="1498"/>
      <c r="P34" s="1499"/>
      <c r="Q34" s="1496"/>
      <c r="R34" s="1497"/>
      <c r="S34" s="204"/>
    </row>
    <row r="35" spans="1:21" ht="17.25" thickBot="1" x14ac:dyDescent="0.35">
      <c r="B35" s="587" t="s">
        <v>2</v>
      </c>
      <c r="C35" s="588"/>
      <c r="D35" s="588"/>
      <c r="E35" s="589"/>
      <c r="F35" s="270" t="s">
        <v>267</v>
      </c>
      <c r="G35" s="590"/>
      <c r="H35" s="590"/>
      <c r="I35" s="590"/>
      <c r="J35" s="590"/>
      <c r="K35" s="590"/>
      <c r="L35" s="591"/>
      <c r="M35" s="592"/>
      <c r="N35" s="593"/>
      <c r="O35" s="1324"/>
      <c r="P35" s="1325"/>
      <c r="Q35" s="1336"/>
      <c r="R35" s="1337"/>
      <c r="S35" s="115"/>
    </row>
    <row r="36" spans="1:21" x14ac:dyDescent="0.3">
      <c r="B36" s="500"/>
      <c r="C36" s="501" t="s">
        <v>2</v>
      </c>
      <c r="D36" s="144"/>
      <c r="E36" s="145"/>
      <c r="F36" s="146" t="s">
        <v>418</v>
      </c>
      <c r="G36" s="144"/>
      <c r="H36" s="176" t="s">
        <v>60</v>
      </c>
      <c r="I36" s="144"/>
      <c r="J36" s="144">
        <v>1</v>
      </c>
      <c r="K36" s="157">
        <v>4000000</v>
      </c>
      <c r="L36" s="157">
        <v>4000000</v>
      </c>
      <c r="M36" s="163">
        <f>J36*K36</f>
        <v>4000000</v>
      </c>
      <c r="N36" s="148">
        <v>0.3</v>
      </c>
      <c r="O36" s="1480">
        <f t="shared" ref="O36:O51" si="10">J36*L36*(1+N36)</f>
        <v>5200000</v>
      </c>
      <c r="P36" s="1481"/>
      <c r="Q36" s="1482"/>
      <c r="R36" s="1483"/>
      <c r="S36" s="287"/>
      <c r="T36" s="413" t="s">
        <v>628</v>
      </c>
      <c r="U36" s="728">
        <f>(2000000+(300000*4))*1.2</f>
        <v>3840000</v>
      </c>
    </row>
    <row r="37" spans="1:21" s="84" customFormat="1" x14ac:dyDescent="0.3">
      <c r="B37" s="594"/>
      <c r="C37" s="176"/>
      <c r="D37" s="176" t="s">
        <v>2</v>
      </c>
      <c r="E37" s="595"/>
      <c r="F37" s="156" t="s">
        <v>247</v>
      </c>
      <c r="G37" s="155" t="s">
        <v>248</v>
      </c>
      <c r="H37" s="155" t="s">
        <v>249</v>
      </c>
      <c r="I37" s="155" t="s">
        <v>249</v>
      </c>
      <c r="J37" s="155">
        <v>1</v>
      </c>
      <c r="K37" s="157">
        <v>530000</v>
      </c>
      <c r="L37" s="157">
        <v>530000</v>
      </c>
      <c r="M37" s="164">
        <f>J37*K37</f>
        <v>530000</v>
      </c>
      <c r="N37" s="158">
        <v>0.3</v>
      </c>
      <c r="O37" s="1328">
        <f t="shared" si="10"/>
        <v>689000</v>
      </c>
      <c r="P37" s="1329"/>
      <c r="Q37" s="737"/>
      <c r="R37" s="738"/>
      <c r="S37" s="152"/>
      <c r="T37" s="413"/>
      <c r="U37" s="728"/>
    </row>
    <row r="38" spans="1:21" s="84" customFormat="1" x14ac:dyDescent="0.3">
      <c r="B38" s="181"/>
      <c r="C38" s="182"/>
      <c r="D38" s="182" t="s">
        <v>2</v>
      </c>
      <c r="E38" s="183"/>
      <c r="F38" s="156" t="s">
        <v>250</v>
      </c>
      <c r="G38" s="155" t="s">
        <v>329</v>
      </c>
      <c r="H38" s="155" t="s">
        <v>330</v>
      </c>
      <c r="I38" s="155" t="s">
        <v>251</v>
      </c>
      <c r="J38" s="155">
        <v>1</v>
      </c>
      <c r="K38" s="157">
        <v>200000</v>
      </c>
      <c r="L38" s="157">
        <v>200000</v>
      </c>
      <c r="M38" s="164">
        <f>J38*K38</f>
        <v>200000</v>
      </c>
      <c r="N38" s="158">
        <v>0.3</v>
      </c>
      <c r="O38" s="1365">
        <f t="shared" si="10"/>
        <v>260000</v>
      </c>
      <c r="P38" s="1366"/>
      <c r="Q38" s="1330"/>
      <c r="R38" s="1331"/>
      <c r="S38" s="152"/>
      <c r="T38" s="413"/>
      <c r="U38" s="728"/>
    </row>
    <row r="39" spans="1:21" s="82" customFormat="1" x14ac:dyDescent="0.3">
      <c r="B39" s="181"/>
      <c r="C39" s="182"/>
      <c r="D39" s="182" t="s">
        <v>2</v>
      </c>
      <c r="E39" s="183"/>
      <c r="F39" s="156" t="s">
        <v>252</v>
      </c>
      <c r="G39" s="155" t="s">
        <v>253</v>
      </c>
      <c r="H39" s="155" t="s">
        <v>254</v>
      </c>
      <c r="I39" s="155" t="s">
        <v>254</v>
      </c>
      <c r="J39" s="186">
        <v>1</v>
      </c>
      <c r="K39" s="387">
        <v>3000000</v>
      </c>
      <c r="L39" s="387">
        <v>3000000</v>
      </c>
      <c r="M39" s="164">
        <f>J39*K39</f>
        <v>3000000</v>
      </c>
      <c r="N39" s="158">
        <v>0.3</v>
      </c>
      <c r="O39" s="1365">
        <f t="shared" si="10"/>
        <v>3900000</v>
      </c>
      <c r="P39" s="1366"/>
      <c r="Q39" s="737"/>
      <c r="R39" s="738"/>
      <c r="S39" s="204"/>
      <c r="T39" s="413"/>
      <c r="U39" s="728"/>
    </row>
    <row r="40" spans="1:21" s="82" customFormat="1" x14ac:dyDescent="0.3">
      <c r="B40" s="149"/>
      <c r="C40" s="150"/>
      <c r="D40" s="155" t="s">
        <v>2</v>
      </c>
      <c r="E40" s="151"/>
      <c r="F40" s="156" t="s">
        <v>245</v>
      </c>
      <c r="G40" s="155" t="s">
        <v>246</v>
      </c>
      <c r="H40" s="155" t="s">
        <v>183</v>
      </c>
      <c r="I40" s="155"/>
      <c r="J40" s="155">
        <v>1</v>
      </c>
      <c r="K40" s="157">
        <v>200000</v>
      </c>
      <c r="L40" s="157">
        <v>200000</v>
      </c>
      <c r="M40" s="164">
        <f t="shared" ref="M40" si="11">J40*K40</f>
        <v>200000</v>
      </c>
      <c r="N40" s="158">
        <v>0.3</v>
      </c>
      <c r="O40" s="1365">
        <f t="shared" si="10"/>
        <v>260000</v>
      </c>
      <c r="P40" s="1366"/>
      <c r="Q40" s="1330"/>
      <c r="R40" s="1331"/>
      <c r="S40" s="152"/>
      <c r="T40" s="413"/>
      <c r="U40" s="728"/>
    </row>
    <row r="41" spans="1:21" s="82" customFormat="1" x14ac:dyDescent="0.3">
      <c r="B41" s="365"/>
      <c r="C41" s="291"/>
      <c r="D41" s="291" t="s">
        <v>2</v>
      </c>
      <c r="E41" s="367"/>
      <c r="F41" s="156" t="s">
        <v>343</v>
      </c>
      <c r="G41" s="155" t="s">
        <v>334</v>
      </c>
      <c r="H41" s="155" t="s">
        <v>328</v>
      </c>
      <c r="I41" s="155"/>
      <c r="J41" s="186">
        <v>1</v>
      </c>
      <c r="K41" s="169">
        <v>450000</v>
      </c>
      <c r="L41" s="169">
        <v>500000</v>
      </c>
      <c r="M41" s="164">
        <f>J41*K41</f>
        <v>450000</v>
      </c>
      <c r="N41" s="158">
        <v>0</v>
      </c>
      <c r="O41" s="1365">
        <f t="shared" si="10"/>
        <v>500000</v>
      </c>
      <c r="P41" s="1366"/>
      <c r="Q41" s="1330" t="s">
        <v>522</v>
      </c>
      <c r="R41" s="1331"/>
      <c r="S41" s="204"/>
      <c r="T41" s="70"/>
      <c r="U41" s="716"/>
    </row>
    <row r="42" spans="1:21" s="82" customFormat="1" x14ac:dyDescent="0.3">
      <c r="B42" s="181"/>
      <c r="C42" s="182" t="s">
        <v>2</v>
      </c>
      <c r="D42" s="366"/>
      <c r="E42" s="183"/>
      <c r="F42" s="388" t="s">
        <v>268</v>
      </c>
      <c r="G42" s="182"/>
      <c r="H42" s="182"/>
      <c r="I42" s="155"/>
      <c r="J42" s="155">
        <v>1</v>
      </c>
      <c r="K42" s="157"/>
      <c r="L42" s="157"/>
      <c r="M42" s="164">
        <f t="shared" ref="M42:M46" si="12">J42*K42</f>
        <v>0</v>
      </c>
      <c r="N42" s="158">
        <v>0.3</v>
      </c>
      <c r="O42" s="1365">
        <f t="shared" si="10"/>
        <v>0</v>
      </c>
      <c r="P42" s="1366"/>
      <c r="Q42" s="737"/>
      <c r="R42" s="738"/>
      <c r="S42" s="152"/>
      <c r="T42" s="413"/>
      <c r="U42" s="728"/>
    </row>
    <row r="43" spans="1:21" s="84" customFormat="1" x14ac:dyDescent="0.3">
      <c r="B43" s="181"/>
      <c r="C43" s="182"/>
      <c r="D43" s="182" t="s">
        <v>2</v>
      </c>
      <c r="E43" s="183"/>
      <c r="F43" s="388" t="s">
        <v>284</v>
      </c>
      <c r="G43" s="182"/>
      <c r="H43" s="182" t="s">
        <v>60</v>
      </c>
      <c r="I43" s="155"/>
      <c r="J43" s="155">
        <v>1</v>
      </c>
      <c r="K43" s="157">
        <v>1000000</v>
      </c>
      <c r="L43" s="157">
        <v>1000000</v>
      </c>
      <c r="M43" s="164">
        <f>J43*K43</f>
        <v>1000000</v>
      </c>
      <c r="N43" s="158">
        <v>0.3</v>
      </c>
      <c r="O43" s="1365">
        <f t="shared" si="10"/>
        <v>1300000</v>
      </c>
      <c r="P43" s="1366"/>
      <c r="Q43" s="737"/>
      <c r="R43" s="738"/>
      <c r="S43" s="152"/>
      <c r="T43" s="413" t="s">
        <v>630</v>
      </c>
      <c r="U43" s="728">
        <f>(500000+(300000*1))*1.2</f>
        <v>960000</v>
      </c>
    </row>
    <row r="44" spans="1:21" s="413" customFormat="1" x14ac:dyDescent="0.3">
      <c r="A44" s="82"/>
      <c r="B44" s="181"/>
      <c r="C44" s="182"/>
      <c r="D44" s="366" t="s">
        <v>2</v>
      </c>
      <c r="E44" s="183"/>
      <c r="F44" s="388" t="s">
        <v>519</v>
      </c>
      <c r="G44" s="182" t="s">
        <v>520</v>
      </c>
      <c r="H44" s="182" t="s">
        <v>521</v>
      </c>
      <c r="I44" s="155"/>
      <c r="J44" s="155">
        <v>3</v>
      </c>
      <c r="K44" s="157">
        <v>20000</v>
      </c>
      <c r="L44" s="157">
        <v>20000</v>
      </c>
      <c r="M44" s="164">
        <f t="shared" ref="M44:M45" si="13">J44*K44</f>
        <v>60000</v>
      </c>
      <c r="N44" s="158">
        <v>0.3</v>
      </c>
      <c r="O44" s="1365">
        <f t="shared" si="10"/>
        <v>78000</v>
      </c>
      <c r="P44" s="1366"/>
      <c r="Q44" s="737"/>
      <c r="R44" s="738"/>
      <c r="S44" s="152"/>
      <c r="U44" s="728"/>
    </row>
    <row r="45" spans="1:21" s="413" customFormat="1" x14ac:dyDescent="0.3">
      <c r="A45" s="82"/>
      <c r="B45" s="671"/>
      <c r="C45" s="672"/>
      <c r="D45" s="654" t="s">
        <v>2</v>
      </c>
      <c r="E45" s="673"/>
      <c r="F45" s="674" t="s">
        <v>269</v>
      </c>
      <c r="G45" s="672" t="s">
        <v>270</v>
      </c>
      <c r="H45" s="672" t="s">
        <v>271</v>
      </c>
      <c r="I45" s="651"/>
      <c r="J45" s="651">
        <v>5</v>
      </c>
      <c r="K45" s="675">
        <v>120000</v>
      </c>
      <c r="L45" s="675">
        <v>120000</v>
      </c>
      <c r="M45" s="658">
        <f t="shared" si="13"/>
        <v>600000</v>
      </c>
      <c r="N45" s="659">
        <v>0.3</v>
      </c>
      <c r="O45" s="1449">
        <f t="shared" si="10"/>
        <v>780000</v>
      </c>
      <c r="P45" s="1450"/>
      <c r="Q45" s="737"/>
      <c r="R45" s="738"/>
      <c r="S45" s="152"/>
      <c r="U45" s="728"/>
    </row>
    <row r="46" spans="1:21" s="84" customFormat="1" x14ac:dyDescent="0.3">
      <c r="B46" s="181"/>
      <c r="C46" s="182"/>
      <c r="D46" s="182" t="s">
        <v>2</v>
      </c>
      <c r="E46" s="183"/>
      <c r="F46" s="388" t="s">
        <v>272</v>
      </c>
      <c r="G46" s="366" t="s">
        <v>625</v>
      </c>
      <c r="H46" s="366" t="s">
        <v>626</v>
      </c>
      <c r="I46" s="155"/>
      <c r="J46" s="155">
        <v>1</v>
      </c>
      <c r="K46" s="157">
        <v>250000</v>
      </c>
      <c r="L46" s="157">
        <v>250000</v>
      </c>
      <c r="M46" s="164">
        <f t="shared" si="12"/>
        <v>250000</v>
      </c>
      <c r="N46" s="158">
        <v>0.3</v>
      </c>
      <c r="O46" s="1365">
        <f t="shared" si="10"/>
        <v>325000</v>
      </c>
      <c r="P46" s="1366"/>
      <c r="Q46" s="1330" t="s">
        <v>572</v>
      </c>
      <c r="R46" s="1331"/>
      <c r="S46" s="152"/>
      <c r="T46" s="413"/>
      <c r="U46" s="728"/>
    </row>
    <row r="47" spans="1:21" s="82" customFormat="1" x14ac:dyDescent="0.3">
      <c r="B47" s="181"/>
      <c r="C47" s="182"/>
      <c r="D47" s="182" t="s">
        <v>2</v>
      </c>
      <c r="E47" s="183"/>
      <c r="F47" s="754" t="s">
        <v>355</v>
      </c>
      <c r="G47" s="366" t="s">
        <v>640</v>
      </c>
      <c r="H47" s="651" t="s">
        <v>636</v>
      </c>
      <c r="I47" s="651" t="s">
        <v>636</v>
      </c>
      <c r="J47" s="155">
        <v>1</v>
      </c>
      <c r="K47" s="157">
        <v>65000</v>
      </c>
      <c r="L47" s="157">
        <v>65000</v>
      </c>
      <c r="M47" s="164">
        <f>J47*K47</f>
        <v>65000</v>
      </c>
      <c r="N47" s="158">
        <v>0.3</v>
      </c>
      <c r="O47" s="1365">
        <f t="shared" si="10"/>
        <v>84500</v>
      </c>
      <c r="P47" s="1366"/>
      <c r="Q47" s="1330" t="s">
        <v>571</v>
      </c>
      <c r="R47" s="1331"/>
      <c r="S47" s="152"/>
      <c r="T47" s="413"/>
      <c r="U47" s="728"/>
    </row>
    <row r="48" spans="1:21" s="82" customFormat="1" x14ac:dyDescent="0.3">
      <c r="B48" s="181"/>
      <c r="C48" s="182"/>
      <c r="D48" s="182" t="s">
        <v>2</v>
      </c>
      <c r="E48" s="183"/>
      <c r="F48" s="754" t="s">
        <v>354</v>
      </c>
      <c r="G48" s="366" t="s">
        <v>640</v>
      </c>
      <c r="H48" s="651" t="s">
        <v>636</v>
      </c>
      <c r="I48" s="651" t="s">
        <v>636</v>
      </c>
      <c r="J48" s="155">
        <v>1</v>
      </c>
      <c r="K48" s="157">
        <v>65000</v>
      </c>
      <c r="L48" s="157">
        <v>65000</v>
      </c>
      <c r="M48" s="164">
        <f>J48*K48</f>
        <v>65000</v>
      </c>
      <c r="N48" s="158">
        <v>0.3</v>
      </c>
      <c r="O48" s="1365">
        <f t="shared" si="10"/>
        <v>84500</v>
      </c>
      <c r="P48" s="1366"/>
      <c r="Q48" s="1330" t="s">
        <v>561</v>
      </c>
      <c r="R48" s="1331"/>
      <c r="S48" s="152"/>
      <c r="T48" s="413"/>
      <c r="U48" s="728"/>
    </row>
    <row r="49" spans="1:21" s="82" customFormat="1" x14ac:dyDescent="0.3">
      <c r="B49" s="181"/>
      <c r="C49" s="182"/>
      <c r="D49" s="182" t="s">
        <v>2</v>
      </c>
      <c r="E49" s="183"/>
      <c r="F49" s="754" t="s">
        <v>357</v>
      </c>
      <c r="G49" s="366" t="s">
        <v>640</v>
      </c>
      <c r="H49" s="651" t="s">
        <v>636</v>
      </c>
      <c r="I49" s="651" t="s">
        <v>636</v>
      </c>
      <c r="J49" s="155">
        <v>1</v>
      </c>
      <c r="K49" s="157">
        <v>65000</v>
      </c>
      <c r="L49" s="157">
        <v>65000</v>
      </c>
      <c r="M49" s="157">
        <v>70000</v>
      </c>
      <c r="N49" s="158">
        <v>0.3</v>
      </c>
      <c r="O49" s="1365">
        <f t="shared" si="10"/>
        <v>84500</v>
      </c>
      <c r="P49" s="1366"/>
      <c r="Q49" s="1330" t="s">
        <v>361</v>
      </c>
      <c r="R49" s="1331"/>
      <c r="S49" s="152"/>
      <c r="T49" s="413"/>
      <c r="U49" s="728"/>
    </row>
    <row r="50" spans="1:21" s="413" customFormat="1" x14ac:dyDescent="0.3">
      <c r="A50" s="82"/>
      <c r="B50" s="671"/>
      <c r="C50" s="672"/>
      <c r="D50" s="672" t="s">
        <v>2</v>
      </c>
      <c r="E50" s="673"/>
      <c r="F50" s="755" t="s">
        <v>605</v>
      </c>
      <c r="G50" s="654"/>
      <c r="H50" s="651" t="s">
        <v>636</v>
      </c>
      <c r="I50" s="651" t="s">
        <v>636</v>
      </c>
      <c r="J50" s="651">
        <v>1</v>
      </c>
      <c r="K50" s="675">
        <v>10000</v>
      </c>
      <c r="L50" s="675">
        <v>10000</v>
      </c>
      <c r="M50" s="675">
        <f t="shared" ref="M50" si="14">J50*K50</f>
        <v>10000</v>
      </c>
      <c r="N50" s="659">
        <v>0.3</v>
      </c>
      <c r="O50" s="1449">
        <f t="shared" si="10"/>
        <v>13000</v>
      </c>
      <c r="P50" s="1450"/>
      <c r="Q50" s="1451" t="s">
        <v>589</v>
      </c>
      <c r="R50" s="1452"/>
      <c r="S50" s="152"/>
      <c r="U50" s="728"/>
    </row>
    <row r="51" spans="1:21" s="82" customFormat="1" x14ac:dyDescent="0.3">
      <c r="B51" s="181"/>
      <c r="C51" s="182" t="s">
        <v>2</v>
      </c>
      <c r="D51" s="366"/>
      <c r="E51" s="183"/>
      <c r="F51" s="388" t="s">
        <v>419</v>
      </c>
      <c r="G51" s="182"/>
      <c r="H51" s="182" t="s">
        <v>60</v>
      </c>
      <c r="I51" s="155"/>
      <c r="J51" s="155">
        <v>1</v>
      </c>
      <c r="K51" s="157">
        <v>3500000</v>
      </c>
      <c r="L51" s="157">
        <v>3500000</v>
      </c>
      <c r="M51" s="164">
        <f>J51*K51</f>
        <v>3500000</v>
      </c>
      <c r="N51" s="158">
        <v>0.3</v>
      </c>
      <c r="O51" s="1365">
        <f t="shared" si="10"/>
        <v>4550000</v>
      </c>
      <c r="P51" s="1366"/>
      <c r="Q51" s="737"/>
      <c r="R51" s="738"/>
      <c r="S51" s="152"/>
      <c r="T51" s="413" t="s">
        <v>629</v>
      </c>
      <c r="U51" s="728">
        <f>(2000000+(300000*3))*1.2</f>
        <v>3480000</v>
      </c>
    </row>
    <row r="52" spans="1:21" s="82" customFormat="1" ht="17.25" thickBot="1" x14ac:dyDescent="0.35">
      <c r="B52" s="365"/>
      <c r="C52" s="366"/>
      <c r="D52" s="366"/>
      <c r="E52" s="367"/>
      <c r="F52" s="156"/>
      <c r="G52" s="155"/>
      <c r="H52" s="155"/>
      <c r="I52" s="155"/>
      <c r="J52" s="186"/>
      <c r="K52" s="199"/>
      <c r="L52" s="55"/>
      <c r="M52" s="164"/>
      <c r="N52" s="158"/>
      <c r="O52" s="1556"/>
      <c r="P52" s="1557"/>
      <c r="Q52" s="737"/>
      <c r="R52" s="738"/>
      <c r="S52" s="204"/>
    </row>
    <row r="53" spans="1:21" s="82" customFormat="1" ht="18" thickBot="1" x14ac:dyDescent="0.35">
      <c r="B53" s="1338" t="s">
        <v>53</v>
      </c>
      <c r="C53" s="1339"/>
      <c r="D53" s="1339"/>
      <c r="E53" s="1339"/>
      <c r="F53" s="1339"/>
      <c r="G53" s="1339"/>
      <c r="H53" s="1339"/>
      <c r="I53" s="1339"/>
      <c r="J53" s="1339"/>
      <c r="K53" s="1339"/>
      <c r="L53" s="1340"/>
      <c r="M53" s="123">
        <f>SUM(M5:M52)</f>
        <v>81888481.832000002</v>
      </c>
      <c r="N53" s="136"/>
      <c r="O53" s="1341">
        <f>SUM(O5:P52)</f>
        <v>120169500</v>
      </c>
      <c r="P53" s="1342"/>
      <c r="Q53" s="1343"/>
      <c r="R53" s="1344"/>
      <c r="S53" s="130"/>
    </row>
    <row r="54" spans="1:21" s="82" customFormat="1" ht="17.25" thickBot="1" x14ac:dyDescent="0.35">
      <c r="B54" s="122" t="s">
        <v>2</v>
      </c>
      <c r="C54" s="116"/>
      <c r="D54" s="116"/>
      <c r="E54" s="117"/>
      <c r="F54" s="118" t="s">
        <v>242</v>
      </c>
      <c r="G54" s="119"/>
      <c r="H54" s="119"/>
      <c r="I54" s="119"/>
      <c r="J54" s="119"/>
      <c r="K54" s="119"/>
      <c r="L54" s="120"/>
      <c r="M54" s="121"/>
      <c r="N54" s="135"/>
      <c r="O54" s="1447"/>
      <c r="P54" s="1448"/>
      <c r="Q54" s="1326"/>
      <c r="R54" s="1327"/>
      <c r="S54" s="115"/>
    </row>
    <row r="55" spans="1:21" s="82" customFormat="1" x14ac:dyDescent="0.3">
      <c r="B55" s="64"/>
      <c r="C55" s="65" t="s">
        <v>73</v>
      </c>
      <c r="D55" s="80"/>
      <c r="E55" s="698"/>
      <c r="F55" s="699" t="s">
        <v>319</v>
      </c>
      <c r="G55" s="700" t="s">
        <v>94</v>
      </c>
      <c r="H55" s="700" t="s">
        <v>130</v>
      </c>
      <c r="I55" s="700" t="s">
        <v>131</v>
      </c>
      <c r="J55" s="701">
        <v>10</v>
      </c>
      <c r="K55" s="55">
        <v>307000</v>
      </c>
      <c r="L55" s="55">
        <v>307000</v>
      </c>
      <c r="M55" s="702">
        <f t="shared" ref="M55:M56" si="15">J55*K55</f>
        <v>3070000</v>
      </c>
      <c r="N55" s="148"/>
      <c r="O55" s="1328">
        <f t="shared" ref="O55:O56" si="16">L55*J55</f>
        <v>3070000</v>
      </c>
      <c r="P55" s="1329"/>
      <c r="Q55" s="1492"/>
      <c r="R55" s="1493"/>
      <c r="S55" s="207"/>
    </row>
    <row r="56" spans="1:21" s="84" customFormat="1" x14ac:dyDescent="0.3">
      <c r="B56" s="683"/>
      <c r="C56" s="684" t="s">
        <v>73</v>
      </c>
      <c r="D56" s="679"/>
      <c r="E56" s="690"/>
      <c r="F56" s="691" t="s">
        <v>320</v>
      </c>
      <c r="G56" s="692" t="s">
        <v>94</v>
      </c>
      <c r="H56" s="692" t="s">
        <v>130</v>
      </c>
      <c r="I56" s="692" t="s">
        <v>131</v>
      </c>
      <c r="J56" s="693">
        <v>35</v>
      </c>
      <c r="K56" s="657">
        <v>307000</v>
      </c>
      <c r="L56" s="657">
        <v>307000</v>
      </c>
      <c r="M56" s="694">
        <f t="shared" si="15"/>
        <v>10745000</v>
      </c>
      <c r="N56" s="659"/>
      <c r="O56" s="1449">
        <f t="shared" si="16"/>
        <v>10745000</v>
      </c>
      <c r="P56" s="1450"/>
      <c r="Q56" s="1494"/>
      <c r="R56" s="1495"/>
      <c r="S56" s="212"/>
    </row>
    <row r="57" spans="1:21" s="84" customFormat="1" ht="17.25" thickBot="1" x14ac:dyDescent="0.35">
      <c r="B57" s="213"/>
      <c r="C57" s="214"/>
      <c r="D57" s="215"/>
      <c r="E57" s="216"/>
      <c r="F57" s="229"/>
      <c r="G57" s="224"/>
      <c r="H57" s="224"/>
      <c r="I57" s="224"/>
      <c r="J57" s="373"/>
      <c r="K57" s="225"/>
      <c r="L57" s="225"/>
      <c r="M57" s="226"/>
      <c r="N57" s="162"/>
      <c r="O57" s="1365">
        <f t="shared" ref="O57" si="17">L57</f>
        <v>0</v>
      </c>
      <c r="P57" s="1366"/>
      <c r="Q57" s="1453"/>
      <c r="R57" s="1454"/>
      <c r="S57" s="217"/>
    </row>
    <row r="58" spans="1:21" s="84" customFormat="1" ht="17.25" thickBot="1" x14ac:dyDescent="0.35">
      <c r="B58" s="122" t="s">
        <v>2</v>
      </c>
      <c r="C58" s="116"/>
      <c r="D58" s="116"/>
      <c r="E58" s="117"/>
      <c r="F58" s="218" t="s">
        <v>243</v>
      </c>
      <c r="G58" s="219"/>
      <c r="H58" s="219"/>
      <c r="I58" s="219"/>
      <c r="J58" s="219"/>
      <c r="K58" s="220"/>
      <c r="L58" s="220"/>
      <c r="M58" s="221"/>
      <c r="N58" s="135"/>
      <c r="O58" s="1447"/>
      <c r="P58" s="1448"/>
      <c r="Q58" s="1447"/>
      <c r="R58" s="1448"/>
      <c r="S58" s="115"/>
    </row>
    <row r="59" spans="1:21" s="84" customFormat="1" x14ac:dyDescent="0.3">
      <c r="B59" s="64"/>
      <c r="C59" s="65" t="s">
        <v>2</v>
      </c>
      <c r="D59" s="65"/>
      <c r="E59" s="66"/>
      <c r="F59" s="88" t="s">
        <v>7</v>
      </c>
      <c r="G59" s="85"/>
      <c r="H59" s="223" t="s">
        <v>130</v>
      </c>
      <c r="I59" s="223" t="s">
        <v>131</v>
      </c>
      <c r="J59" s="80">
        <v>5</v>
      </c>
      <c r="K59" s="55">
        <v>307000</v>
      </c>
      <c r="L59" s="55">
        <v>307000</v>
      </c>
      <c r="M59" s="112">
        <f>K59*J59</f>
        <v>1535000</v>
      </c>
      <c r="N59" s="137"/>
      <c r="O59" s="1365">
        <f t="shared" ref="O59:O65" si="18">L59*J59</f>
        <v>1535000</v>
      </c>
      <c r="P59" s="1366"/>
      <c r="Q59" s="1359" t="s">
        <v>62</v>
      </c>
      <c r="R59" s="1360"/>
      <c r="S59" s="94"/>
    </row>
    <row r="60" spans="1:21" s="84" customFormat="1" x14ac:dyDescent="0.3">
      <c r="B60" s="62"/>
      <c r="C60" s="63" t="s">
        <v>2</v>
      </c>
      <c r="D60" s="63"/>
      <c r="E60" s="61"/>
      <c r="F60" s="89" t="s">
        <v>11</v>
      </c>
      <c r="G60" s="86"/>
      <c r="H60" s="223" t="s">
        <v>130</v>
      </c>
      <c r="I60" s="223" t="s">
        <v>131</v>
      </c>
      <c r="J60" s="56">
        <v>3</v>
      </c>
      <c r="K60" s="55">
        <v>307000</v>
      </c>
      <c r="L60" s="55">
        <v>307000</v>
      </c>
      <c r="M60" s="113">
        <f t="shared" ref="M60:M65" si="19">K60*J60</f>
        <v>921000</v>
      </c>
      <c r="N60" s="138"/>
      <c r="O60" s="1365">
        <f t="shared" si="18"/>
        <v>921000</v>
      </c>
      <c r="P60" s="1366"/>
      <c r="Q60" s="1361"/>
      <c r="R60" s="1362"/>
      <c r="S60" s="95"/>
    </row>
    <row r="61" spans="1:21" s="84" customFormat="1" x14ac:dyDescent="0.3">
      <c r="B61" s="62"/>
      <c r="C61" s="63" t="s">
        <v>2</v>
      </c>
      <c r="D61" s="63"/>
      <c r="E61" s="61"/>
      <c r="F61" s="89" t="s">
        <v>41</v>
      </c>
      <c r="G61" s="86"/>
      <c r="H61" s="223" t="s">
        <v>130</v>
      </c>
      <c r="I61" s="223" t="s">
        <v>131</v>
      </c>
      <c r="J61" s="56">
        <v>5</v>
      </c>
      <c r="K61" s="55">
        <v>307000</v>
      </c>
      <c r="L61" s="55">
        <v>307000</v>
      </c>
      <c r="M61" s="113">
        <f t="shared" si="19"/>
        <v>1535000</v>
      </c>
      <c r="N61" s="138"/>
      <c r="O61" s="1365">
        <f t="shared" si="18"/>
        <v>1535000</v>
      </c>
      <c r="P61" s="1366"/>
      <c r="Q61" s="1361"/>
      <c r="R61" s="1362"/>
      <c r="S61" s="95"/>
    </row>
    <row r="62" spans="1:21" x14ac:dyDescent="0.3">
      <c r="B62" s="62"/>
      <c r="C62" s="63" t="s">
        <v>2</v>
      </c>
      <c r="D62" s="63"/>
      <c r="E62" s="61"/>
      <c r="F62" s="89" t="s">
        <v>10</v>
      </c>
      <c r="G62" s="86"/>
      <c r="H62" s="223" t="s">
        <v>130</v>
      </c>
      <c r="I62" s="223" t="s">
        <v>131</v>
      </c>
      <c r="J62" s="56">
        <v>3</v>
      </c>
      <c r="K62" s="55">
        <v>307000</v>
      </c>
      <c r="L62" s="55">
        <v>307000</v>
      </c>
      <c r="M62" s="113">
        <f t="shared" si="19"/>
        <v>921000</v>
      </c>
      <c r="N62" s="138"/>
      <c r="O62" s="1365">
        <f t="shared" si="18"/>
        <v>921000</v>
      </c>
      <c r="P62" s="1366"/>
      <c r="Q62" s="1361"/>
      <c r="R62" s="1362"/>
      <c r="S62" s="95"/>
    </row>
    <row r="63" spans="1:21" x14ac:dyDescent="0.3">
      <c r="B63" s="62"/>
      <c r="C63" s="63" t="s">
        <v>2</v>
      </c>
      <c r="D63" s="63"/>
      <c r="E63" s="61"/>
      <c r="F63" s="89" t="s">
        <v>61</v>
      </c>
      <c r="G63" s="86"/>
      <c r="H63" s="223" t="s">
        <v>130</v>
      </c>
      <c r="I63" s="223" t="s">
        <v>131</v>
      </c>
      <c r="J63" s="56">
        <v>2</v>
      </c>
      <c r="K63" s="55">
        <v>307000</v>
      </c>
      <c r="L63" s="55">
        <v>307000</v>
      </c>
      <c r="M63" s="113">
        <f t="shared" si="19"/>
        <v>614000</v>
      </c>
      <c r="N63" s="138"/>
      <c r="O63" s="1365">
        <f t="shared" si="18"/>
        <v>614000</v>
      </c>
      <c r="P63" s="1366"/>
      <c r="Q63" s="1361"/>
      <c r="R63" s="1362"/>
      <c r="S63" s="95"/>
    </row>
    <row r="64" spans="1:21" x14ac:dyDescent="0.3">
      <c r="B64" s="67"/>
      <c r="C64" s="63" t="s">
        <v>2</v>
      </c>
      <c r="D64" s="68"/>
      <c r="E64" s="69"/>
      <c r="F64" s="90" t="s">
        <v>9</v>
      </c>
      <c r="G64" s="86"/>
      <c r="H64" s="223" t="s">
        <v>130</v>
      </c>
      <c r="I64" s="223" t="s">
        <v>131</v>
      </c>
      <c r="J64" s="56">
        <v>5</v>
      </c>
      <c r="K64" s="55">
        <v>307000</v>
      </c>
      <c r="L64" s="55">
        <v>307000</v>
      </c>
      <c r="M64" s="113">
        <f t="shared" si="19"/>
        <v>1535000</v>
      </c>
      <c r="N64" s="138"/>
      <c r="O64" s="1365">
        <f t="shared" si="18"/>
        <v>1535000</v>
      </c>
      <c r="P64" s="1366"/>
      <c r="Q64" s="1361"/>
      <c r="R64" s="1362"/>
      <c r="S64" s="95"/>
    </row>
    <row r="65" spans="2:19" ht="17.25" thickBot="1" x14ac:dyDescent="0.35">
      <c r="B65" s="57"/>
      <c r="C65" s="58" t="s">
        <v>2</v>
      </c>
      <c r="D65" s="58"/>
      <c r="E65" s="60"/>
      <c r="F65" s="91" t="s">
        <v>8</v>
      </c>
      <c r="G65" s="87"/>
      <c r="H65" s="223" t="s">
        <v>130</v>
      </c>
      <c r="I65" s="223" t="s">
        <v>131</v>
      </c>
      <c r="J65" s="59">
        <v>2</v>
      </c>
      <c r="K65" s="55">
        <v>307000</v>
      </c>
      <c r="L65" s="55">
        <v>307000</v>
      </c>
      <c r="M65" s="114">
        <f t="shared" si="19"/>
        <v>614000</v>
      </c>
      <c r="N65" s="139"/>
      <c r="O65" s="1365">
        <f t="shared" si="18"/>
        <v>614000</v>
      </c>
      <c r="P65" s="1366"/>
      <c r="Q65" s="1363"/>
      <c r="R65" s="1364"/>
      <c r="S65" s="96"/>
    </row>
    <row r="66" spans="2:19" ht="18" thickBot="1" x14ac:dyDescent="0.35">
      <c r="B66" s="1345" t="s">
        <v>46</v>
      </c>
      <c r="C66" s="1346"/>
      <c r="D66" s="1346"/>
      <c r="E66" s="1346"/>
      <c r="F66" s="1346"/>
      <c r="G66" s="1346"/>
      <c r="H66" s="1346"/>
      <c r="I66" s="1346"/>
      <c r="J66" s="1346"/>
      <c r="K66" s="1346"/>
      <c r="L66" s="1347"/>
      <c r="M66" s="124">
        <f>SUM(M54:M65)</f>
        <v>21490000</v>
      </c>
      <c r="N66" s="140"/>
      <c r="O66" s="1348">
        <f>SUM(O54:P65)</f>
        <v>21490000</v>
      </c>
      <c r="P66" s="1349"/>
      <c r="Q66" s="1350"/>
      <c r="R66" s="1350"/>
      <c r="S66" s="1351"/>
    </row>
    <row r="67" spans="2:19" ht="20.25" thickBot="1" x14ac:dyDescent="0.35">
      <c r="B67" s="1352" t="s">
        <v>52</v>
      </c>
      <c r="C67" s="1353"/>
      <c r="D67" s="1353"/>
      <c r="E67" s="1353"/>
      <c r="F67" s="1353"/>
      <c r="G67" s="1353"/>
      <c r="H67" s="1353"/>
      <c r="I67" s="1353"/>
      <c r="J67" s="1353"/>
      <c r="K67" s="1353"/>
      <c r="L67" s="1353"/>
      <c r="M67" s="125"/>
      <c r="N67" s="134">
        <v>0.03</v>
      </c>
      <c r="O67" s="1354">
        <f>ROUNDDOWN(O53*N67,-3)</f>
        <v>3605000</v>
      </c>
      <c r="P67" s="1355"/>
      <c r="Q67" s="1356"/>
      <c r="R67" s="1357"/>
      <c r="S67" s="1358"/>
    </row>
    <row r="68" spans="2:19" ht="20.25" thickBot="1" x14ac:dyDescent="0.35">
      <c r="B68" s="1352" t="s">
        <v>54</v>
      </c>
      <c r="C68" s="1353"/>
      <c r="D68" s="1353"/>
      <c r="E68" s="1353"/>
      <c r="F68" s="1353"/>
      <c r="G68" s="1353"/>
      <c r="H68" s="1353"/>
      <c r="I68" s="1353"/>
      <c r="J68" s="1353"/>
      <c r="K68" s="1353"/>
      <c r="L68" s="1353"/>
      <c r="M68" s="127"/>
      <c r="N68" s="128"/>
      <c r="O68" s="1354">
        <f>SUM(O67,O66,O53)</f>
        <v>145264500</v>
      </c>
      <c r="P68" s="1355"/>
      <c r="Q68" s="1374"/>
      <c r="R68" s="1375"/>
      <c r="S68" s="1376"/>
    </row>
    <row r="69" spans="2:19" ht="20.25" thickBot="1" x14ac:dyDescent="0.35">
      <c r="B69" s="1352" t="s">
        <v>51</v>
      </c>
      <c r="C69" s="1353"/>
      <c r="D69" s="1353"/>
      <c r="E69" s="1353"/>
      <c r="F69" s="1353"/>
      <c r="G69" s="1353"/>
      <c r="H69" s="1353"/>
      <c r="I69" s="1353"/>
      <c r="J69" s="1353"/>
      <c r="K69" s="1353"/>
      <c r="L69" s="1353"/>
      <c r="M69" s="129"/>
      <c r="N69" s="126">
        <v>0.1</v>
      </c>
      <c r="O69" s="1381">
        <f>ROUNDDOWN(O68*N69,-3)</f>
        <v>14526000</v>
      </c>
      <c r="P69" s="1382"/>
      <c r="Q69" s="1383"/>
      <c r="R69" s="1384"/>
      <c r="S69" s="1385"/>
    </row>
    <row r="70" spans="2:19" ht="21" thickBot="1" x14ac:dyDescent="0.35">
      <c r="B70" s="1367" t="s">
        <v>44</v>
      </c>
      <c r="C70" s="1368"/>
      <c r="D70" s="1368"/>
      <c r="E70" s="1368"/>
      <c r="F70" s="1368"/>
      <c r="G70" s="1368"/>
      <c r="H70" s="1368"/>
      <c r="I70" s="1368"/>
      <c r="J70" s="1368"/>
      <c r="K70" s="1368"/>
      <c r="L70" s="1368"/>
      <c r="M70" s="92"/>
      <c r="N70" s="111"/>
      <c r="O70" s="1369">
        <f>ROUNDDOWN(SUM(O68:P69), -6)</f>
        <v>159000000</v>
      </c>
      <c r="P70" s="1370"/>
      <c r="Q70" s="1371"/>
      <c r="R70" s="1372"/>
      <c r="S70" s="1373"/>
    </row>
    <row r="71" spans="2:19" ht="21" thickBot="1" x14ac:dyDescent="0.35">
      <c r="B71" s="104"/>
      <c r="C71" s="104"/>
      <c r="D71" s="104"/>
      <c r="E71" s="104"/>
      <c r="F71" s="105"/>
      <c r="G71" s="105"/>
      <c r="H71" s="105"/>
      <c r="I71" s="105"/>
      <c r="J71" s="105"/>
      <c r="K71" s="105"/>
      <c r="L71" s="105"/>
      <c r="M71" s="106"/>
      <c r="N71" s="107"/>
      <c r="O71" s="107"/>
      <c r="P71" s="107"/>
      <c r="Q71" s="108"/>
      <c r="R71" s="108"/>
      <c r="S71" s="108"/>
    </row>
    <row r="72" spans="2:19" ht="18" thickBot="1" x14ac:dyDescent="0.35">
      <c r="B72" s="1374" t="s">
        <v>50</v>
      </c>
      <c r="C72" s="1375"/>
      <c r="D72" s="1375"/>
      <c r="E72" s="1376"/>
      <c r="F72" s="109"/>
      <c r="G72" s="109"/>
      <c r="H72" s="109"/>
      <c r="I72" s="109"/>
      <c r="J72" s="109"/>
      <c r="K72" s="110"/>
      <c r="L72" s="110"/>
      <c r="M72" s="110"/>
      <c r="N72" s="77" t="s">
        <v>14</v>
      </c>
      <c r="O72" s="1377" t="s">
        <v>15</v>
      </c>
      <c r="P72" s="1378"/>
      <c r="Q72" s="1379" t="s">
        <v>17</v>
      </c>
      <c r="R72" s="1380"/>
      <c r="S72" s="166" t="s">
        <v>16</v>
      </c>
    </row>
    <row r="73" spans="2:19" x14ac:dyDescent="0.3">
      <c r="B73" s="102">
        <v>1</v>
      </c>
      <c r="C73" s="1400"/>
      <c r="D73" s="1401"/>
      <c r="E73" s="1401"/>
      <c r="F73" s="1401"/>
      <c r="G73" s="1401"/>
      <c r="H73" s="1401"/>
      <c r="I73" s="1401"/>
      <c r="J73" s="1402"/>
      <c r="N73" s="11">
        <v>0</v>
      </c>
      <c r="O73" s="1403">
        <f>$O$70/(1+N73)</f>
        <v>159000000</v>
      </c>
      <c r="P73" s="1404"/>
      <c r="Q73" s="1405">
        <f>O73-$M$53</f>
        <v>77111518.167999998</v>
      </c>
      <c r="R73" s="1406"/>
      <c r="S73" s="160">
        <f>Q73/O73</f>
        <v>0.48497810168553457</v>
      </c>
    </row>
    <row r="74" spans="2:19" x14ac:dyDescent="0.3">
      <c r="B74" s="100">
        <v>2</v>
      </c>
      <c r="C74" s="1458"/>
      <c r="D74" s="1456"/>
      <c r="E74" s="1456"/>
      <c r="F74" s="1456"/>
      <c r="G74" s="1456"/>
      <c r="H74" s="1456"/>
      <c r="I74" s="1456"/>
      <c r="J74" s="1457"/>
      <c r="N74" s="9">
        <v>0.1</v>
      </c>
      <c r="O74" s="1389">
        <f>$O$70/(1+N74)</f>
        <v>144545454.54545453</v>
      </c>
      <c r="P74" s="1390"/>
      <c r="Q74" s="1391">
        <f t="shared" ref="Q74:Q77" si="20">O74-$M$53</f>
        <v>62656972.71345453</v>
      </c>
      <c r="R74" s="1392"/>
      <c r="S74" s="161">
        <f t="shared" ref="S74:S77" si="21">Q74/O74</f>
        <v>0.43347591185408796</v>
      </c>
    </row>
    <row r="75" spans="2:19" x14ac:dyDescent="0.3">
      <c r="B75" s="100">
        <v>3</v>
      </c>
      <c r="C75" s="1455"/>
      <c r="D75" s="1456"/>
      <c r="E75" s="1456"/>
      <c r="F75" s="1456"/>
      <c r="G75" s="1456"/>
      <c r="H75" s="1456"/>
      <c r="I75" s="1456"/>
      <c r="J75" s="1457"/>
      <c r="N75" s="10">
        <v>0.15</v>
      </c>
      <c r="O75" s="1389">
        <f t="shared" ref="O75:O76" si="22">$O$70/(1+N75)</f>
        <v>138260869.56521741</v>
      </c>
      <c r="P75" s="1390"/>
      <c r="Q75" s="1391">
        <f t="shared" si="20"/>
        <v>56372387.733217403</v>
      </c>
      <c r="R75" s="1392"/>
      <c r="S75" s="161">
        <f t="shared" si="21"/>
        <v>0.40772481693836482</v>
      </c>
    </row>
    <row r="76" spans="2:19" ht="18" customHeight="1" x14ac:dyDescent="0.3">
      <c r="B76" s="100">
        <v>4</v>
      </c>
      <c r="C76" s="1455"/>
      <c r="D76" s="1456"/>
      <c r="E76" s="1456"/>
      <c r="F76" s="1456"/>
      <c r="G76" s="1456"/>
      <c r="H76" s="1456"/>
      <c r="I76" s="1456"/>
      <c r="J76" s="1457"/>
      <c r="N76" s="10">
        <v>0.2</v>
      </c>
      <c r="O76" s="1389">
        <f t="shared" si="22"/>
        <v>132500000</v>
      </c>
      <c r="P76" s="1390"/>
      <c r="Q76" s="1391">
        <f t="shared" si="20"/>
        <v>50611518.167999998</v>
      </c>
      <c r="R76" s="1392"/>
      <c r="S76" s="161">
        <f t="shared" si="21"/>
        <v>0.38197372202264152</v>
      </c>
    </row>
    <row r="77" spans="2:19" ht="18" customHeight="1" thickBot="1" x14ac:dyDescent="0.35">
      <c r="B77" s="100">
        <v>5</v>
      </c>
      <c r="C77" s="1393"/>
      <c r="D77" s="1394"/>
      <c r="E77" s="1394"/>
      <c r="F77" s="1394"/>
      <c r="G77" s="1394"/>
      <c r="H77" s="1394"/>
      <c r="I77" s="1394"/>
      <c r="J77" s="1395"/>
      <c r="N77" s="12" t="s">
        <v>45</v>
      </c>
      <c r="O77" s="1396">
        <v>0</v>
      </c>
      <c r="P77" s="1397"/>
      <c r="Q77" s="1398">
        <f t="shared" si="20"/>
        <v>-81888481.832000002</v>
      </c>
      <c r="R77" s="1399"/>
      <c r="S77" s="99" t="e">
        <f t="shared" si="21"/>
        <v>#DIV/0!</v>
      </c>
    </row>
    <row r="78" spans="2:19" ht="18" customHeight="1" thickBot="1" x14ac:dyDescent="0.35">
      <c r="B78" s="100">
        <v>6</v>
      </c>
      <c r="C78" s="1393"/>
      <c r="D78" s="1394"/>
      <c r="E78" s="1394"/>
      <c r="F78" s="1394"/>
      <c r="G78" s="1394"/>
      <c r="H78" s="1394"/>
      <c r="I78" s="1394"/>
      <c r="J78" s="1395"/>
    </row>
    <row r="79" spans="2:19" s="103" customFormat="1" ht="18" customHeight="1" thickBot="1" x14ac:dyDescent="0.35">
      <c r="B79" s="100">
        <v>7</v>
      </c>
      <c r="C79" s="747"/>
      <c r="D79" s="748"/>
      <c r="E79" s="748"/>
      <c r="F79" s="748"/>
      <c r="G79" s="748"/>
      <c r="H79" s="748"/>
      <c r="I79" s="748"/>
      <c r="J79" s="749"/>
      <c r="K79" s="1"/>
      <c r="L79" s="1"/>
      <c r="M79" s="1"/>
      <c r="N79" s="1410" t="s">
        <v>47</v>
      </c>
      <c r="O79" s="1411"/>
      <c r="P79" s="1412" t="s">
        <v>48</v>
      </c>
      <c r="Q79" s="1413"/>
      <c r="R79" s="1414" t="s">
        <v>49</v>
      </c>
      <c r="S79" s="1415"/>
    </row>
    <row r="80" spans="2:19" ht="18" customHeight="1" x14ac:dyDescent="0.3">
      <c r="B80" s="100">
        <v>8</v>
      </c>
      <c r="C80" s="1393"/>
      <c r="D80" s="1394"/>
      <c r="E80" s="1394"/>
      <c r="F80" s="1394"/>
      <c r="G80" s="1394"/>
      <c r="H80" s="1394"/>
      <c r="I80" s="1394"/>
      <c r="J80" s="1395"/>
      <c r="N80" s="1416"/>
      <c r="O80" s="1417"/>
      <c r="P80" s="1422"/>
      <c r="Q80" s="1423"/>
      <c r="R80" s="1428"/>
      <c r="S80" s="1429"/>
    </row>
    <row r="81" spans="1:19" ht="18" customHeight="1" x14ac:dyDescent="0.3">
      <c r="B81" s="100"/>
      <c r="C81" s="1434"/>
      <c r="D81" s="1435"/>
      <c r="E81" s="1435"/>
      <c r="F81" s="1435"/>
      <c r="G81" s="1435"/>
      <c r="H81" s="1435"/>
      <c r="I81" s="1435"/>
      <c r="J81" s="1436"/>
      <c r="N81" s="1418"/>
      <c r="O81" s="1419"/>
      <c r="P81" s="1424"/>
      <c r="Q81" s="1425"/>
      <c r="R81" s="1430"/>
      <c r="S81" s="1431"/>
    </row>
    <row r="82" spans="1:19" ht="18" customHeight="1" x14ac:dyDescent="0.3">
      <c r="B82" s="100"/>
      <c r="C82" s="1434"/>
      <c r="D82" s="1435"/>
      <c r="E82" s="1435"/>
      <c r="F82" s="1435"/>
      <c r="G82" s="1435"/>
      <c r="H82" s="1435"/>
      <c r="I82" s="1435"/>
      <c r="J82" s="1436"/>
      <c r="N82" s="1418"/>
      <c r="O82" s="1419"/>
      <c r="P82" s="1424"/>
      <c r="Q82" s="1425"/>
      <c r="R82" s="1430"/>
      <c r="S82" s="1431"/>
    </row>
    <row r="83" spans="1:19" ht="18" customHeight="1" thickBot="1" x14ac:dyDescent="0.35">
      <c r="B83" s="101"/>
      <c r="C83" s="1407"/>
      <c r="D83" s="1408"/>
      <c r="E83" s="1408"/>
      <c r="F83" s="1408"/>
      <c r="G83" s="1408"/>
      <c r="H83" s="1408"/>
      <c r="I83" s="1408"/>
      <c r="J83" s="1409"/>
      <c r="N83" s="1420"/>
      <c r="O83" s="1421"/>
      <c r="P83" s="1426"/>
      <c r="Q83" s="1427"/>
      <c r="R83" s="1432"/>
      <c r="S83" s="1433"/>
    </row>
    <row r="84" spans="1:19" ht="18" customHeight="1" x14ac:dyDescent="0.3"/>
    <row r="85" spans="1:19" ht="18" customHeight="1" x14ac:dyDescent="0.3"/>
    <row r="86" spans="1:19" ht="18" customHeight="1" x14ac:dyDescent="0.3"/>
    <row r="87" spans="1:19" s="3" customFormat="1" x14ac:dyDescent="0.3">
      <c r="A87"/>
      <c r="B87" s="2"/>
      <c r="C87" s="2"/>
      <c r="D87" s="2"/>
      <c r="E87" s="2"/>
      <c r="K87" s="1"/>
      <c r="L87" s="1"/>
      <c r="M87" s="1"/>
      <c r="N87" s="5"/>
      <c r="O87" s="1"/>
      <c r="P87" s="1"/>
      <c r="Q87"/>
      <c r="R87"/>
      <c r="S87" s="93"/>
    </row>
    <row r="88" spans="1:19" s="3" customFormat="1" x14ac:dyDescent="0.3">
      <c r="A88"/>
      <c r="B88" s="2"/>
      <c r="C88" s="2"/>
      <c r="D88" s="2"/>
      <c r="E88" s="2"/>
      <c r="K88" s="1"/>
      <c r="L88" s="1"/>
      <c r="M88" s="1"/>
      <c r="N88" s="5"/>
      <c r="O88" s="1"/>
      <c r="P88" s="1"/>
      <c r="Q88"/>
      <c r="R88"/>
      <c r="S88" s="93"/>
    </row>
    <row r="89" spans="1:19" s="3" customFormat="1" x14ac:dyDescent="0.3">
      <c r="A89"/>
      <c r="B89" s="2"/>
      <c r="C89" s="2"/>
      <c r="D89" s="2"/>
      <c r="E89" s="2"/>
      <c r="K89" s="1"/>
      <c r="L89" s="1"/>
      <c r="M89" s="1"/>
      <c r="N89" s="5"/>
      <c r="O89" s="1"/>
      <c r="P89" s="1"/>
      <c r="Q89"/>
      <c r="R89"/>
      <c r="S89" s="93"/>
    </row>
    <row r="90" spans="1:19" s="3" customFormat="1" x14ac:dyDescent="0.3">
      <c r="A90"/>
      <c r="B90" s="2"/>
      <c r="C90" s="2"/>
      <c r="D90" s="2"/>
      <c r="E90" s="2"/>
      <c r="K90" s="1"/>
      <c r="L90" s="1"/>
      <c r="M90" s="1"/>
      <c r="N90" s="5"/>
      <c r="O90" s="1"/>
      <c r="P90" s="1"/>
      <c r="Q90"/>
      <c r="R90"/>
      <c r="S90" s="93"/>
    </row>
    <row r="91" spans="1:19" s="3" customFormat="1" x14ac:dyDescent="0.3">
      <c r="A91"/>
      <c r="B91" s="2"/>
      <c r="C91" s="2"/>
      <c r="D91" s="2"/>
      <c r="E91" s="2"/>
      <c r="K91" s="1"/>
      <c r="L91" s="1"/>
      <c r="M91" s="1"/>
      <c r="N91" s="5"/>
      <c r="O91" s="1"/>
      <c r="P91" s="1"/>
      <c r="Q91"/>
      <c r="R91"/>
      <c r="S91" s="93"/>
    </row>
  </sheetData>
  <mergeCells count="143">
    <mergeCell ref="O6:P6"/>
    <mergeCell ref="Q6:R6"/>
    <mergeCell ref="O7:P7"/>
    <mergeCell ref="Q7:R7"/>
    <mergeCell ref="O8:P8"/>
    <mergeCell ref="Q8:R8"/>
    <mergeCell ref="A2:S2"/>
    <mergeCell ref="Q3:S3"/>
    <mergeCell ref="B4:E4"/>
    <mergeCell ref="O4:P4"/>
    <mergeCell ref="Q4:R4"/>
    <mergeCell ref="O5:P5"/>
    <mergeCell ref="Q5:R5"/>
    <mergeCell ref="Q12:R12"/>
    <mergeCell ref="O13:P13"/>
    <mergeCell ref="Q13:R13"/>
    <mergeCell ref="O14:P14"/>
    <mergeCell ref="Q14:R14"/>
    <mergeCell ref="O15:P15"/>
    <mergeCell ref="Q15:R15"/>
    <mergeCell ref="O9:P9"/>
    <mergeCell ref="Q9:R9"/>
    <mergeCell ref="O10:P10"/>
    <mergeCell ref="Q10:R10"/>
    <mergeCell ref="O11:P11"/>
    <mergeCell ref="Q11:R11"/>
    <mergeCell ref="O24:P24"/>
    <mergeCell ref="O25:P25"/>
    <mergeCell ref="O26:P26"/>
    <mergeCell ref="O27:P27"/>
    <mergeCell ref="Q28:R28"/>
    <mergeCell ref="O29:P29"/>
    <mergeCell ref="Q29:R29"/>
    <mergeCell ref="O16:P16"/>
    <mergeCell ref="Q16:R17"/>
    <mergeCell ref="O17:P17"/>
    <mergeCell ref="Q20:R21"/>
    <mergeCell ref="O22:P22"/>
    <mergeCell ref="Q22:R23"/>
    <mergeCell ref="O23:P23"/>
    <mergeCell ref="O33:P33"/>
    <mergeCell ref="Q33:R33"/>
    <mergeCell ref="O34:P34"/>
    <mergeCell ref="Q34:R34"/>
    <mergeCell ref="O35:P35"/>
    <mergeCell ref="Q35:R35"/>
    <mergeCell ref="O30:P30"/>
    <mergeCell ref="Q30:R30"/>
    <mergeCell ref="O31:P31"/>
    <mergeCell ref="Q31:R31"/>
    <mergeCell ref="O32:P32"/>
    <mergeCell ref="Q32:R32"/>
    <mergeCell ref="O40:P40"/>
    <mergeCell ref="Q40:R40"/>
    <mergeCell ref="O41:P41"/>
    <mergeCell ref="Q41:R41"/>
    <mergeCell ref="O42:P42"/>
    <mergeCell ref="O43:P43"/>
    <mergeCell ref="O36:P36"/>
    <mergeCell ref="Q36:R36"/>
    <mergeCell ref="O37:P37"/>
    <mergeCell ref="O38:P38"/>
    <mergeCell ref="Q38:R38"/>
    <mergeCell ref="O39:P39"/>
    <mergeCell ref="O48:P48"/>
    <mergeCell ref="Q48:R48"/>
    <mergeCell ref="O49:P49"/>
    <mergeCell ref="Q49:R49"/>
    <mergeCell ref="O50:P50"/>
    <mergeCell ref="Q50:R50"/>
    <mergeCell ref="O44:P44"/>
    <mergeCell ref="O45:P45"/>
    <mergeCell ref="O46:P46"/>
    <mergeCell ref="Q46:R46"/>
    <mergeCell ref="O47:P47"/>
    <mergeCell ref="Q47:R47"/>
    <mergeCell ref="O55:P55"/>
    <mergeCell ref="Q55:R55"/>
    <mergeCell ref="O56:P56"/>
    <mergeCell ref="Q56:R56"/>
    <mergeCell ref="O57:P57"/>
    <mergeCell ref="Q57:R57"/>
    <mergeCell ref="O51:P51"/>
    <mergeCell ref="O52:P52"/>
    <mergeCell ref="B53:L53"/>
    <mergeCell ref="O53:P53"/>
    <mergeCell ref="Q53:R53"/>
    <mergeCell ref="O54:P54"/>
    <mergeCell ref="Q54:R54"/>
    <mergeCell ref="B66:L66"/>
    <mergeCell ref="O66:P66"/>
    <mergeCell ref="Q66:S66"/>
    <mergeCell ref="B67:L67"/>
    <mergeCell ref="O67:P67"/>
    <mergeCell ref="Q67:S67"/>
    <mergeCell ref="O58:P58"/>
    <mergeCell ref="Q58:R58"/>
    <mergeCell ref="O59:P59"/>
    <mergeCell ref="Q59:R65"/>
    <mergeCell ref="O60:P60"/>
    <mergeCell ref="O61:P61"/>
    <mergeCell ref="O62:P62"/>
    <mergeCell ref="O63:P63"/>
    <mergeCell ref="O64:P64"/>
    <mergeCell ref="O65:P65"/>
    <mergeCell ref="B70:L70"/>
    <mergeCell ref="O70:P70"/>
    <mergeCell ref="Q70:S70"/>
    <mergeCell ref="B72:E72"/>
    <mergeCell ref="O72:P72"/>
    <mergeCell ref="Q72:R72"/>
    <mergeCell ref="B68:L68"/>
    <mergeCell ref="O68:P68"/>
    <mergeCell ref="Q68:S68"/>
    <mergeCell ref="B69:L69"/>
    <mergeCell ref="O69:P69"/>
    <mergeCell ref="Q69:S69"/>
    <mergeCell ref="C75:J75"/>
    <mergeCell ref="O75:P75"/>
    <mergeCell ref="Q75:R75"/>
    <mergeCell ref="C76:J76"/>
    <mergeCell ref="O76:P76"/>
    <mergeCell ref="Q76:R76"/>
    <mergeCell ref="C73:J73"/>
    <mergeCell ref="O73:P73"/>
    <mergeCell ref="Q73:R73"/>
    <mergeCell ref="C74:J74"/>
    <mergeCell ref="O74:P74"/>
    <mergeCell ref="Q74:R74"/>
    <mergeCell ref="C80:J80"/>
    <mergeCell ref="N80:O83"/>
    <mergeCell ref="P80:Q83"/>
    <mergeCell ref="R80:S83"/>
    <mergeCell ref="C81:J81"/>
    <mergeCell ref="C82:J82"/>
    <mergeCell ref="C83:J83"/>
    <mergeCell ref="C77:J77"/>
    <mergeCell ref="O77:P77"/>
    <mergeCell ref="Q77:R77"/>
    <mergeCell ref="C78:J78"/>
    <mergeCell ref="N79:O79"/>
    <mergeCell ref="P79:Q79"/>
    <mergeCell ref="R79:S79"/>
  </mergeCells>
  <phoneticPr fontId="2" type="noConversion"/>
  <pageMargins left="0.25" right="0.25" top="0.75" bottom="0.75" header="0.3" footer="0.3"/>
  <pageSetup paperSize="9" scale="44" fitToWidth="0" orientation="landscape" horizontalDpi="300" r:id="rId1"/>
  <headerFooter>
    <oddFooter>&amp;R&amp;D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D31F-CBF6-461E-8991-F69C1CFAC580}">
  <sheetPr>
    <pageSetUpPr fitToPage="1"/>
  </sheetPr>
  <dimension ref="A1:AF90"/>
  <sheetViews>
    <sheetView zoomScale="85" zoomScaleNormal="85" zoomScaleSheetLayoutView="100" zoomScalePageLayoutView="85" workbookViewId="0">
      <selection activeCell="O15" sqref="O15:P15"/>
    </sheetView>
  </sheetViews>
  <sheetFormatPr defaultRowHeight="16.5" x14ac:dyDescent="0.3"/>
  <cols>
    <col min="1" max="1" width="1.625" customWidth="1"/>
    <col min="2" max="5" width="3.375" style="2" customWidth="1"/>
    <col min="6" max="6" width="57.25" style="3" customWidth="1"/>
    <col min="7" max="7" width="25.625" style="3" bestFit="1" customWidth="1"/>
    <col min="8" max="9" width="16.625" style="3" customWidth="1"/>
    <col min="10" max="10" width="6.625" style="3" customWidth="1"/>
    <col min="11" max="13" width="16.625" style="1" customWidth="1"/>
    <col min="14" max="14" width="12.625" style="5" customWidth="1"/>
    <col min="15" max="15" width="9.625" style="1" customWidth="1"/>
    <col min="16" max="16" width="12.625" style="1" customWidth="1"/>
    <col min="17" max="18" width="22.375" customWidth="1"/>
    <col min="19" max="19" width="21.875" style="93" customWidth="1"/>
    <col min="21" max="21" width="11.5" bestFit="1" customWidth="1"/>
  </cols>
  <sheetData>
    <row r="1" spans="1:32" ht="9.9499999999999993" customHeight="1" x14ac:dyDescent="0.3"/>
    <row r="2" spans="1:32" ht="26.25" x14ac:dyDescent="0.3">
      <c r="A2" s="1445" t="s">
        <v>591</v>
      </c>
      <c r="B2" s="1445"/>
      <c r="C2" s="1445"/>
      <c r="D2" s="1445"/>
      <c r="E2" s="1445"/>
      <c r="F2" s="1445"/>
      <c r="G2" s="1445"/>
      <c r="H2" s="1445"/>
      <c r="I2" s="1445"/>
      <c r="J2" s="1445"/>
      <c r="K2" s="1445"/>
      <c r="L2" s="1445"/>
      <c r="M2" s="1445"/>
      <c r="N2" s="1445"/>
      <c r="O2" s="1445"/>
      <c r="P2" s="1445"/>
      <c r="Q2" s="1445"/>
      <c r="R2" s="1445"/>
      <c r="S2" s="1445"/>
    </row>
    <row r="3" spans="1:32" ht="17.25" thickBot="1" x14ac:dyDescent="0.35">
      <c r="Q3" s="1446">
        <v>45435</v>
      </c>
      <c r="R3" s="1446"/>
      <c r="S3" s="1446"/>
    </row>
    <row r="4" spans="1:32" ht="18" thickBot="1" x14ac:dyDescent="0.35">
      <c r="B4" s="1318" t="s">
        <v>491</v>
      </c>
      <c r="C4" s="1319"/>
      <c r="D4" s="1319"/>
      <c r="E4" s="1320"/>
      <c r="F4" s="6" t="s">
        <v>56</v>
      </c>
      <c r="G4" s="6" t="s">
        <v>55</v>
      </c>
      <c r="H4" s="6" t="s">
        <v>0</v>
      </c>
      <c r="I4" s="6" t="s">
        <v>43</v>
      </c>
      <c r="J4" s="6" t="s">
        <v>4</v>
      </c>
      <c r="K4" s="7" t="s">
        <v>12</v>
      </c>
      <c r="L4" s="8" t="s">
        <v>39</v>
      </c>
      <c r="M4" s="8" t="s">
        <v>5</v>
      </c>
      <c r="N4" s="141" t="s">
        <v>13</v>
      </c>
      <c r="O4" s="1321" t="s">
        <v>6</v>
      </c>
      <c r="P4" s="1322"/>
      <c r="Q4" s="1319" t="s">
        <v>3</v>
      </c>
      <c r="R4" s="1323"/>
      <c r="S4" s="71" t="s">
        <v>59</v>
      </c>
    </row>
    <row r="5" spans="1:32" s="82" customFormat="1" ht="17.25" thickBot="1" x14ac:dyDescent="0.35">
      <c r="B5" s="122" t="s">
        <v>2</v>
      </c>
      <c r="C5" s="116"/>
      <c r="D5" s="116"/>
      <c r="E5" s="117"/>
      <c r="F5" s="118" t="s">
        <v>265</v>
      </c>
      <c r="G5" s="119"/>
      <c r="H5" s="119"/>
      <c r="I5" s="119"/>
      <c r="J5" s="119"/>
      <c r="K5" s="272"/>
      <c r="L5" s="120"/>
      <c r="M5" s="121"/>
      <c r="N5" s="135"/>
      <c r="O5" s="1447"/>
      <c r="P5" s="1448"/>
      <c r="Q5" s="1326"/>
      <c r="R5" s="1327"/>
      <c r="S5" s="115"/>
    </row>
    <row r="6" spans="1:32" s="369" customFormat="1" x14ac:dyDescent="0.3">
      <c r="B6" s="498"/>
      <c r="C6" s="155" t="s">
        <v>2</v>
      </c>
      <c r="D6" s="155"/>
      <c r="E6" s="151"/>
      <c r="F6" s="269" t="s">
        <v>307</v>
      </c>
      <c r="G6" s="184" t="s">
        <v>433</v>
      </c>
      <c r="H6" s="185" t="s">
        <v>131</v>
      </c>
      <c r="I6" s="185" t="s">
        <v>131</v>
      </c>
      <c r="J6" s="184">
        <v>1</v>
      </c>
      <c r="K6" s="169">
        <f>(8210+3030+1140+2160+440)*0.6*1.071*1400</f>
        <v>13476607.199999999</v>
      </c>
      <c r="L6" s="55">
        <v>24756000</v>
      </c>
      <c r="M6" s="164">
        <f>J6*K6</f>
        <v>13476607.199999999</v>
      </c>
      <c r="N6" s="158">
        <v>0</v>
      </c>
      <c r="O6" s="1328">
        <f t="shared" ref="O6:O15" si="0">J6*L6/(1-N6)</f>
        <v>24756000</v>
      </c>
      <c r="P6" s="1329"/>
      <c r="Q6" s="1330" t="s">
        <v>590</v>
      </c>
      <c r="R6" s="1331"/>
      <c r="S6" s="470"/>
    </row>
    <row r="7" spans="1:32" s="369" customFormat="1" x14ac:dyDescent="0.3">
      <c r="B7" s="62"/>
      <c r="C7" s="56"/>
      <c r="D7" s="63" t="s">
        <v>73</v>
      </c>
      <c r="E7" s="61"/>
      <c r="F7" s="174" t="s">
        <v>372</v>
      </c>
      <c r="G7" s="56">
        <v>720268</v>
      </c>
      <c r="H7" s="482" t="s">
        <v>131</v>
      </c>
      <c r="I7" s="482" t="s">
        <v>131</v>
      </c>
      <c r="J7" s="56">
        <v>2</v>
      </c>
      <c r="K7" s="169">
        <f>(1190)*0.606*1.071*1400</f>
        <v>1081277.3159999999</v>
      </c>
      <c r="L7" s="55">
        <v>1806000</v>
      </c>
      <c r="M7" s="475">
        <f t="shared" ref="M7:M10" si="1">J7*K7</f>
        <v>2162554.6319999998</v>
      </c>
      <c r="N7" s="503">
        <v>0</v>
      </c>
      <c r="O7" s="1472">
        <f t="shared" si="0"/>
        <v>3612000</v>
      </c>
      <c r="P7" s="1473"/>
      <c r="Q7" s="1562" t="s">
        <v>595</v>
      </c>
      <c r="R7" s="1563"/>
      <c r="S7" s="470"/>
      <c r="T7" s="370"/>
      <c r="U7" s="370"/>
    </row>
    <row r="8" spans="1:32" ht="16.149999999999999" customHeight="1" x14ac:dyDescent="0.3">
      <c r="B8" s="683"/>
      <c r="C8" s="679"/>
      <c r="D8" s="679"/>
      <c r="E8" s="685" t="s">
        <v>73</v>
      </c>
      <c r="F8" s="686" t="s">
        <v>281</v>
      </c>
      <c r="G8" s="679">
        <v>758933</v>
      </c>
      <c r="H8" s="687" t="s">
        <v>131</v>
      </c>
      <c r="I8" s="687" t="s">
        <v>131</v>
      </c>
      <c r="J8" s="679">
        <v>4</v>
      </c>
      <c r="K8" s="656">
        <f>(35)*0.643*1.071*1400</f>
        <v>33743.996999999996</v>
      </c>
      <c r="L8" s="703">
        <v>62000</v>
      </c>
      <c r="M8" s="688">
        <f t="shared" si="1"/>
        <v>134975.98799999998</v>
      </c>
      <c r="N8" s="689">
        <v>0</v>
      </c>
      <c r="O8" s="1560">
        <f t="shared" si="0"/>
        <v>248000</v>
      </c>
      <c r="P8" s="1561"/>
      <c r="Q8" s="1562" t="s">
        <v>596</v>
      </c>
      <c r="R8" s="1563"/>
      <c r="S8" s="470"/>
    </row>
    <row r="9" spans="1:32" ht="16.149999999999999" customHeight="1" x14ac:dyDescent="0.3">
      <c r="B9" s="683"/>
      <c r="C9" s="679"/>
      <c r="D9" s="679"/>
      <c r="E9" s="685" t="s">
        <v>73</v>
      </c>
      <c r="F9" s="686" t="s">
        <v>283</v>
      </c>
      <c r="G9" s="679">
        <v>758921</v>
      </c>
      <c r="H9" s="687" t="s">
        <v>131</v>
      </c>
      <c r="I9" s="687" t="s">
        <v>131</v>
      </c>
      <c r="J9" s="679">
        <v>4</v>
      </c>
      <c r="K9" s="656">
        <f>(30)*0.643*1.071*1400</f>
        <v>28923.425999999996</v>
      </c>
      <c r="L9" s="703">
        <v>54000</v>
      </c>
      <c r="M9" s="688">
        <f t="shared" si="1"/>
        <v>115693.70399999998</v>
      </c>
      <c r="N9" s="689">
        <v>0</v>
      </c>
      <c r="O9" s="1560">
        <f t="shared" si="0"/>
        <v>216000</v>
      </c>
      <c r="P9" s="1561"/>
      <c r="Q9" s="1562" t="s">
        <v>597</v>
      </c>
      <c r="R9" s="1563"/>
      <c r="S9" s="470"/>
    </row>
    <row r="10" spans="1:32" s="369" customFormat="1" x14ac:dyDescent="0.3">
      <c r="B10" s="683"/>
      <c r="C10" s="679"/>
      <c r="D10" s="684" t="s">
        <v>73</v>
      </c>
      <c r="E10" s="685"/>
      <c r="F10" s="686" t="s">
        <v>310</v>
      </c>
      <c r="G10" s="679">
        <v>701251</v>
      </c>
      <c r="H10" s="687" t="s">
        <v>131</v>
      </c>
      <c r="I10" s="687" t="s">
        <v>131</v>
      </c>
      <c r="J10" s="679">
        <v>1</v>
      </c>
      <c r="K10" s="656">
        <f>(1190)*0.606*1.071*1400</f>
        <v>1081277.3159999999</v>
      </c>
      <c r="L10" s="656">
        <v>1806000</v>
      </c>
      <c r="M10" s="688">
        <f t="shared" si="1"/>
        <v>1081277.3159999999</v>
      </c>
      <c r="N10" s="689">
        <v>0</v>
      </c>
      <c r="O10" s="1560">
        <f t="shared" si="0"/>
        <v>1806000</v>
      </c>
      <c r="P10" s="1561"/>
      <c r="Q10" s="1562" t="s">
        <v>599</v>
      </c>
      <c r="R10" s="1563"/>
      <c r="S10" s="470"/>
      <c r="T10" s="370"/>
      <c r="U10" s="370"/>
    </row>
    <row r="11" spans="1:32" ht="16.149999999999999" customHeight="1" x14ac:dyDescent="0.3">
      <c r="B11" s="62"/>
      <c r="C11" s="56"/>
      <c r="D11" s="56"/>
      <c r="E11" s="61" t="s">
        <v>73</v>
      </c>
      <c r="F11" s="269" t="s">
        <v>489</v>
      </c>
      <c r="G11" s="56">
        <v>702916</v>
      </c>
      <c r="H11" s="482" t="s">
        <v>131</v>
      </c>
      <c r="I11" s="482" t="s">
        <v>131</v>
      </c>
      <c r="J11" s="56">
        <v>1</v>
      </c>
      <c r="K11" s="169">
        <f>(6450)*0.6*1.071*1400</f>
        <v>5802677.9999999991</v>
      </c>
      <c r="L11" s="392">
        <v>8712000</v>
      </c>
      <c r="M11" s="475">
        <f>J11*K11</f>
        <v>5802677.9999999991</v>
      </c>
      <c r="N11" s="503">
        <v>0</v>
      </c>
      <c r="O11" s="1472">
        <f>J11*L11/(1-N11)</f>
        <v>8712000</v>
      </c>
      <c r="P11" s="1473"/>
      <c r="Q11" s="1474" t="s">
        <v>444</v>
      </c>
      <c r="R11" s="1475"/>
      <c r="S11" s="470"/>
    </row>
    <row r="12" spans="1:32" ht="16.149999999999999" customHeight="1" x14ac:dyDescent="0.3">
      <c r="B12" s="662"/>
      <c r="C12" s="663"/>
      <c r="D12" s="664"/>
      <c r="E12" s="663"/>
      <c r="F12" s="665" t="s">
        <v>377</v>
      </c>
      <c r="G12" s="664">
        <v>758924</v>
      </c>
      <c r="H12" s="664" t="s">
        <v>40</v>
      </c>
      <c r="I12" s="666" t="s">
        <v>131</v>
      </c>
      <c r="J12" s="664">
        <v>0</v>
      </c>
      <c r="K12" s="667">
        <f>(60)*0.643*1.071*1400</f>
        <v>57846.851999999992</v>
      </c>
      <c r="L12" s="667">
        <v>109000</v>
      </c>
      <c r="M12" s="668">
        <f>J12*K12</f>
        <v>0</v>
      </c>
      <c r="N12" s="669">
        <v>0</v>
      </c>
      <c r="O12" s="733">
        <f>J12*L12/(1-N12)</f>
        <v>0</v>
      </c>
      <c r="P12" s="734"/>
      <c r="Q12" s="1558" t="s">
        <v>508</v>
      </c>
      <c r="R12" s="1559"/>
      <c r="S12" s="470"/>
    </row>
    <row r="13" spans="1:32" s="369" customFormat="1" x14ac:dyDescent="0.3">
      <c r="B13" s="62"/>
      <c r="C13" s="56"/>
      <c r="D13" s="63" t="s">
        <v>73</v>
      </c>
      <c r="E13" s="61"/>
      <c r="F13" s="174" t="s">
        <v>368</v>
      </c>
      <c r="G13" s="56">
        <v>701265</v>
      </c>
      <c r="H13" s="482" t="s">
        <v>131</v>
      </c>
      <c r="I13" s="482" t="s">
        <v>131</v>
      </c>
      <c r="J13" s="56">
        <v>2</v>
      </c>
      <c r="K13" s="169">
        <f>(1140)*0.606*1.071*1400</f>
        <v>1035845.4959999999</v>
      </c>
      <c r="L13" s="55">
        <v>1723000</v>
      </c>
      <c r="M13" s="475">
        <f t="shared" ref="M13" si="2">J13*K13</f>
        <v>2071690.9919999999</v>
      </c>
      <c r="N13" s="503">
        <v>0</v>
      </c>
      <c r="O13" s="1472">
        <f t="shared" si="0"/>
        <v>3446000</v>
      </c>
      <c r="P13" s="1473"/>
      <c r="Q13" s="1474" t="s">
        <v>292</v>
      </c>
      <c r="R13" s="1475"/>
      <c r="S13" s="470"/>
      <c r="T13" s="370"/>
      <c r="U13" s="370"/>
    </row>
    <row r="14" spans="1:32" s="369" customFormat="1" x14ac:dyDescent="0.3">
      <c r="B14" s="650"/>
      <c r="C14" s="651" t="s">
        <v>73</v>
      </c>
      <c r="D14" s="651"/>
      <c r="E14" s="652"/>
      <c r="F14" s="653" t="s">
        <v>399</v>
      </c>
      <c r="G14" s="654" t="s">
        <v>336</v>
      </c>
      <c r="H14" s="655" t="s">
        <v>337</v>
      </c>
      <c r="I14" s="655" t="s">
        <v>337</v>
      </c>
      <c r="J14" s="654">
        <v>1</v>
      </c>
      <c r="K14" s="657">
        <f>690000*8.7116</f>
        <v>6011004.0000000009</v>
      </c>
      <c r="L14" s="757">
        <v>11825000</v>
      </c>
      <c r="M14" s="658">
        <f>J14*K14</f>
        <v>6011004.0000000009</v>
      </c>
      <c r="N14" s="659">
        <v>0</v>
      </c>
      <c r="O14" s="1449">
        <f t="shared" si="0"/>
        <v>11825000</v>
      </c>
      <c r="P14" s="1450"/>
      <c r="Q14" s="1451" t="s">
        <v>586</v>
      </c>
      <c r="R14" s="1452"/>
      <c r="S14" s="204"/>
      <c r="T14" s="682" t="s">
        <v>585</v>
      </c>
      <c r="U14" s="562"/>
      <c r="V14" s="370"/>
      <c r="W14" s="370"/>
      <c r="X14" s="370"/>
      <c r="Y14" s="370"/>
      <c r="Z14" s="370"/>
      <c r="AA14" s="370"/>
      <c r="AB14" s="370"/>
      <c r="AC14" s="370"/>
      <c r="AD14" s="370"/>
      <c r="AE14" s="370"/>
      <c r="AF14" s="370"/>
    </row>
    <row r="15" spans="1:32" s="84" customFormat="1" x14ac:dyDescent="0.3">
      <c r="B15" s="650"/>
      <c r="C15" s="676" t="s">
        <v>73</v>
      </c>
      <c r="D15" s="676"/>
      <c r="E15" s="652"/>
      <c r="F15" s="677" t="s">
        <v>546</v>
      </c>
      <c r="G15" s="678" t="s">
        <v>425</v>
      </c>
      <c r="H15" s="651" t="s">
        <v>142</v>
      </c>
      <c r="I15" s="679" t="s">
        <v>64</v>
      </c>
      <c r="J15" s="651">
        <v>1</v>
      </c>
      <c r="K15" s="657">
        <f>L15*0.75</f>
        <v>1731750</v>
      </c>
      <c r="L15" s="657">
        <v>2309000</v>
      </c>
      <c r="M15" s="658">
        <f>J15*K15</f>
        <v>1731750</v>
      </c>
      <c r="N15" s="659">
        <v>0</v>
      </c>
      <c r="O15" s="1449">
        <f t="shared" si="0"/>
        <v>2309000</v>
      </c>
      <c r="P15" s="1450"/>
      <c r="Q15" s="1451" t="s">
        <v>403</v>
      </c>
      <c r="R15" s="1452"/>
      <c r="S15" s="470"/>
    </row>
    <row r="16" spans="1:32" s="528" customFormat="1" x14ac:dyDescent="0.3">
      <c r="B16" s="62"/>
      <c r="C16" s="63" t="s">
        <v>2</v>
      </c>
      <c r="D16" s="63"/>
      <c r="E16" s="61"/>
      <c r="F16" s="174" t="s">
        <v>459</v>
      </c>
      <c r="G16" s="507" t="s">
        <v>195</v>
      </c>
      <c r="H16" s="56" t="s">
        <v>142</v>
      </c>
      <c r="I16" s="56" t="s">
        <v>64</v>
      </c>
      <c r="J16" s="56">
        <v>1</v>
      </c>
      <c r="K16" s="55">
        <f>L16*0.75</f>
        <v>14394750</v>
      </c>
      <c r="L16" s="55">
        <f>19193000</f>
        <v>19193000</v>
      </c>
      <c r="M16" s="418">
        <f t="shared" ref="M16:M26" si="3">J16*K16</f>
        <v>14394750</v>
      </c>
      <c r="N16" s="503">
        <v>0</v>
      </c>
      <c r="O16" s="1472">
        <f>L16*J16</f>
        <v>19193000</v>
      </c>
      <c r="P16" s="1473"/>
      <c r="Q16" s="1484" t="s">
        <v>401</v>
      </c>
      <c r="R16" s="1485"/>
      <c r="S16" s="212"/>
      <c r="W16" s="528">
        <f>2^16</f>
        <v>65536</v>
      </c>
      <c r="Y16" s="528">
        <f>60/W16</f>
        <v>9.1552734375E-4</v>
      </c>
    </row>
    <row r="17" spans="1:25" s="528" customFormat="1" x14ac:dyDescent="0.3">
      <c r="B17" s="62"/>
      <c r="C17" s="63"/>
      <c r="D17" s="63" t="s">
        <v>2</v>
      </c>
      <c r="E17" s="61"/>
      <c r="F17" s="174" t="s">
        <v>460</v>
      </c>
      <c r="G17" s="507" t="s">
        <v>461</v>
      </c>
      <c r="H17" s="56" t="s">
        <v>142</v>
      </c>
      <c r="I17" s="56" t="s">
        <v>64</v>
      </c>
      <c r="J17" s="56">
        <v>1</v>
      </c>
      <c r="K17" s="55">
        <f>L17*0.75</f>
        <v>14008500</v>
      </c>
      <c r="L17" s="55">
        <v>18678000</v>
      </c>
      <c r="M17" s="418">
        <f t="shared" si="3"/>
        <v>14008500</v>
      </c>
      <c r="N17" s="503">
        <v>0</v>
      </c>
      <c r="O17" s="1472">
        <f>L17*J17</f>
        <v>18678000</v>
      </c>
      <c r="P17" s="1473"/>
      <c r="Q17" s="1486"/>
      <c r="R17" s="1487"/>
      <c r="S17" s="212"/>
      <c r="W17" s="528">
        <f>2^12</f>
        <v>4096</v>
      </c>
      <c r="Y17" s="528">
        <f>60/W17</f>
        <v>1.46484375E-2</v>
      </c>
    </row>
    <row r="18" spans="1:25" s="82" customFormat="1" x14ac:dyDescent="0.3">
      <c r="B18" s="494"/>
      <c r="C18" s="495"/>
      <c r="D18" s="403"/>
      <c r="E18" s="495"/>
      <c r="F18" s="404" t="s">
        <v>473</v>
      </c>
      <c r="G18" s="403" t="s">
        <v>474</v>
      </c>
      <c r="H18" s="403" t="s">
        <v>510</v>
      </c>
      <c r="I18" s="405"/>
      <c r="J18" s="403">
        <v>0</v>
      </c>
      <c r="K18" s="406">
        <f>L18*0.85</f>
        <v>1929500</v>
      </c>
      <c r="L18" s="406">
        <v>2270000</v>
      </c>
      <c r="M18" s="407">
        <f t="shared" si="3"/>
        <v>0</v>
      </c>
      <c r="N18" s="408">
        <v>0</v>
      </c>
      <c r="O18" s="741">
        <f t="shared" ref="O18:O19" si="4">J18*L18/(1-N18)</f>
        <v>0</v>
      </c>
      <c r="P18" s="742"/>
      <c r="Q18" s="750" t="s">
        <v>477</v>
      </c>
      <c r="R18" s="751"/>
      <c r="S18" s="752"/>
    </row>
    <row r="19" spans="1:25" s="82" customFormat="1" x14ac:dyDescent="0.3">
      <c r="B19" s="494"/>
      <c r="C19" s="495"/>
      <c r="D19" s="403"/>
      <c r="E19" s="495"/>
      <c r="F19" s="404" t="s">
        <v>476</v>
      </c>
      <c r="G19" s="403" t="s">
        <v>475</v>
      </c>
      <c r="H19" s="403" t="s">
        <v>510</v>
      </c>
      <c r="I19" s="405"/>
      <c r="J19" s="403">
        <v>0</v>
      </c>
      <c r="K19" s="406">
        <f t="shared" ref="K19" si="5">L19*0.85</f>
        <v>1164500</v>
      </c>
      <c r="L19" s="406">
        <v>1370000</v>
      </c>
      <c r="M19" s="407">
        <f t="shared" si="3"/>
        <v>0</v>
      </c>
      <c r="N19" s="408">
        <v>0</v>
      </c>
      <c r="O19" s="741">
        <f t="shared" si="4"/>
        <v>0</v>
      </c>
      <c r="P19" s="742"/>
      <c r="Q19" s="750"/>
      <c r="R19" s="751"/>
      <c r="S19" s="752"/>
    </row>
    <row r="20" spans="1:25" s="82" customFormat="1" x14ac:dyDescent="0.3">
      <c r="B20" s="494"/>
      <c r="C20" s="495"/>
      <c r="D20" s="403"/>
      <c r="E20" s="495"/>
      <c r="F20" s="404" t="s">
        <v>256</v>
      </c>
      <c r="G20" s="403" t="s">
        <v>336</v>
      </c>
      <c r="H20" s="403" t="s">
        <v>337</v>
      </c>
      <c r="I20" s="405"/>
      <c r="J20" s="403">
        <v>0</v>
      </c>
      <c r="K20" s="406"/>
      <c r="L20" s="406">
        <v>11140000</v>
      </c>
      <c r="M20" s="407">
        <f t="shared" si="3"/>
        <v>0</v>
      </c>
      <c r="N20" s="408">
        <v>0</v>
      </c>
      <c r="O20" s="741">
        <f>J20*L20/(1-N20)</f>
        <v>0</v>
      </c>
      <c r="P20" s="742"/>
      <c r="Q20" s="1548" t="s">
        <v>481</v>
      </c>
      <c r="R20" s="1549"/>
      <c r="S20" s="752"/>
    </row>
    <row r="21" spans="1:25" s="413" customFormat="1" x14ac:dyDescent="0.3">
      <c r="B21" s="494"/>
      <c r="C21" s="495"/>
      <c r="D21" s="403"/>
      <c r="E21" s="495"/>
      <c r="F21" s="404" t="s">
        <v>256</v>
      </c>
      <c r="G21" s="403" t="s">
        <v>395</v>
      </c>
      <c r="H21" s="403" t="s">
        <v>394</v>
      </c>
      <c r="I21" s="405"/>
      <c r="J21" s="403">
        <v>0</v>
      </c>
      <c r="K21" s="406">
        <f t="shared" ref="K21:K23" si="6">L21*0.75</f>
        <v>7717500</v>
      </c>
      <c r="L21" s="406">
        <v>10290000</v>
      </c>
      <c r="M21" s="407">
        <f t="shared" si="3"/>
        <v>0</v>
      </c>
      <c r="N21" s="408">
        <v>0</v>
      </c>
      <c r="O21" s="741">
        <f>J21*L21/(1-N21)</f>
        <v>0</v>
      </c>
      <c r="P21" s="742"/>
      <c r="Q21" s="1550"/>
      <c r="R21" s="1551"/>
      <c r="S21" s="470"/>
      <c r="U21" s="413">
        <f>1/10000</f>
        <v>1E-4</v>
      </c>
    </row>
    <row r="22" spans="1:25" s="394" customFormat="1" x14ac:dyDescent="0.3">
      <c r="A22" s="369"/>
      <c r="B22" s="583"/>
      <c r="C22" s="584"/>
      <c r="D22" s="584"/>
      <c r="E22" s="518"/>
      <c r="F22" s="519" t="s">
        <v>423</v>
      </c>
      <c r="G22" s="405" t="s">
        <v>273</v>
      </c>
      <c r="H22" s="405" t="s">
        <v>255</v>
      </c>
      <c r="I22" s="405"/>
      <c r="J22" s="405">
        <v>0</v>
      </c>
      <c r="K22" s="520">
        <f t="shared" si="6"/>
        <v>27652500</v>
      </c>
      <c r="L22" s="520">
        <v>36870000</v>
      </c>
      <c r="M22" s="407">
        <f t="shared" si="3"/>
        <v>0</v>
      </c>
      <c r="N22" s="521">
        <v>0</v>
      </c>
      <c r="O22" s="1546">
        <f>J22*L22/(1-N22)</f>
        <v>0</v>
      </c>
      <c r="P22" s="1547"/>
      <c r="Q22" s="1548" t="s">
        <v>462</v>
      </c>
      <c r="R22" s="1549"/>
      <c r="S22" s="212"/>
    </row>
    <row r="23" spans="1:25" s="528" customFormat="1" x14ac:dyDescent="0.3">
      <c r="A23" s="84"/>
      <c r="B23" s="583"/>
      <c r="C23" s="584"/>
      <c r="D23" s="584"/>
      <c r="E23" s="518"/>
      <c r="F23" s="519" t="s">
        <v>424</v>
      </c>
      <c r="G23" s="405" t="s">
        <v>274</v>
      </c>
      <c r="H23" s="405" t="s">
        <v>255</v>
      </c>
      <c r="I23" s="405"/>
      <c r="J23" s="405">
        <v>0</v>
      </c>
      <c r="K23" s="520">
        <f t="shared" si="6"/>
        <v>23730000</v>
      </c>
      <c r="L23" s="520">
        <v>31640000</v>
      </c>
      <c r="M23" s="407">
        <f t="shared" si="3"/>
        <v>0</v>
      </c>
      <c r="N23" s="521">
        <v>0</v>
      </c>
      <c r="O23" s="1546">
        <f>J23*L23/(1-N23)</f>
        <v>0</v>
      </c>
      <c r="P23" s="1547"/>
      <c r="Q23" s="1550" t="s">
        <v>401</v>
      </c>
      <c r="R23" s="1551"/>
      <c r="S23" s="212"/>
    </row>
    <row r="24" spans="1:25" s="82" customFormat="1" x14ac:dyDescent="0.3">
      <c r="B24" s="494"/>
      <c r="C24" s="495"/>
      <c r="D24" s="403"/>
      <c r="E24" s="495"/>
      <c r="F24" s="404" t="s">
        <v>435</v>
      </c>
      <c r="G24" s="403">
        <v>720254</v>
      </c>
      <c r="H24" s="403" t="s">
        <v>40</v>
      </c>
      <c r="I24" s="405" t="s">
        <v>40</v>
      </c>
      <c r="J24" s="403">
        <v>0</v>
      </c>
      <c r="K24" s="406">
        <f>(1950)*0.57*1.071*1400</f>
        <v>1666583.1</v>
      </c>
      <c r="L24" s="406">
        <v>2737000</v>
      </c>
      <c r="M24" s="407">
        <f t="shared" si="3"/>
        <v>0</v>
      </c>
      <c r="N24" s="408">
        <v>0</v>
      </c>
      <c r="O24" s="741">
        <f t="shared" ref="O24:O26" si="7">J24*L24/(1-N24)</f>
        <v>0</v>
      </c>
      <c r="P24" s="742"/>
      <c r="Q24" s="750" t="s">
        <v>464</v>
      </c>
      <c r="R24" s="751"/>
      <c r="S24" s="752"/>
      <c r="U24" s="624">
        <v>0.01</v>
      </c>
    </row>
    <row r="25" spans="1:25" s="82" customFormat="1" x14ac:dyDescent="0.3">
      <c r="B25" s="494"/>
      <c r="C25" s="495"/>
      <c r="D25" s="403"/>
      <c r="E25" s="495"/>
      <c r="F25" s="404" t="s">
        <v>466</v>
      </c>
      <c r="G25" s="403">
        <v>701901</v>
      </c>
      <c r="H25" s="403" t="s">
        <v>40</v>
      </c>
      <c r="I25" s="405" t="s">
        <v>40</v>
      </c>
      <c r="J25" s="403">
        <v>0</v>
      </c>
      <c r="K25" s="406">
        <f>(50)*0.642*1.071*1400</f>
        <v>48130.74</v>
      </c>
      <c r="L25" s="406">
        <v>104000</v>
      </c>
      <c r="M25" s="407">
        <f t="shared" si="3"/>
        <v>0</v>
      </c>
      <c r="N25" s="408">
        <v>0</v>
      </c>
      <c r="O25" s="741">
        <f t="shared" si="7"/>
        <v>0</v>
      </c>
      <c r="P25" s="742"/>
      <c r="Q25" s="750" t="s">
        <v>467</v>
      </c>
      <c r="R25" s="751"/>
      <c r="S25" s="752"/>
    </row>
    <row r="26" spans="1:25" s="82" customFormat="1" x14ac:dyDescent="0.3">
      <c r="B26" s="494"/>
      <c r="C26" s="495"/>
      <c r="D26" s="403"/>
      <c r="E26" s="495"/>
      <c r="F26" s="404" t="s">
        <v>283</v>
      </c>
      <c r="G26" s="403">
        <v>758921</v>
      </c>
      <c r="H26" s="403" t="s">
        <v>40</v>
      </c>
      <c r="I26" s="405" t="s">
        <v>131</v>
      </c>
      <c r="J26" s="403">
        <v>0</v>
      </c>
      <c r="K26" s="406">
        <f>(30)*0.643*1.071*1400</f>
        <v>28923.425999999996</v>
      </c>
      <c r="L26" s="406">
        <v>54000</v>
      </c>
      <c r="M26" s="407">
        <f t="shared" si="3"/>
        <v>0</v>
      </c>
      <c r="N26" s="408">
        <v>0</v>
      </c>
      <c r="O26" s="741">
        <f t="shared" si="7"/>
        <v>0</v>
      </c>
      <c r="P26" s="742"/>
      <c r="Q26" s="750" t="s">
        <v>465</v>
      </c>
      <c r="R26" s="751"/>
      <c r="S26" s="752"/>
      <c r="U26" s="82">
        <f>1/500</f>
        <v>2E-3</v>
      </c>
    </row>
    <row r="27" spans="1:25" ht="16.149999999999999" customHeight="1" thickBot="1" x14ac:dyDescent="0.35">
      <c r="B27" s="581"/>
      <c r="C27" s="184"/>
      <c r="D27" s="184"/>
      <c r="E27" s="582"/>
      <c r="F27" s="156"/>
      <c r="G27" s="155"/>
      <c r="H27" s="155"/>
      <c r="I27" s="155"/>
      <c r="J27" s="184"/>
      <c r="K27" s="199"/>
      <c r="L27" s="55"/>
      <c r="M27" s="164"/>
      <c r="N27" s="158"/>
      <c r="O27" s="735"/>
      <c r="P27" s="736"/>
      <c r="Q27" s="1488"/>
      <c r="R27" s="1489"/>
      <c r="S27" s="470"/>
      <c r="U27" s="82">
        <f>1/1000</f>
        <v>1E-3</v>
      </c>
    </row>
    <row r="28" spans="1:25" s="369" customFormat="1" ht="17.25" thickBot="1" x14ac:dyDescent="0.35">
      <c r="B28" s="587" t="s">
        <v>2</v>
      </c>
      <c r="C28" s="588"/>
      <c r="D28" s="588"/>
      <c r="E28" s="589"/>
      <c r="F28" s="270" t="s">
        <v>266</v>
      </c>
      <c r="G28" s="590"/>
      <c r="H28" s="590"/>
      <c r="I28" s="590"/>
      <c r="J28" s="590"/>
      <c r="K28" s="590"/>
      <c r="L28" s="591"/>
      <c r="M28" s="592"/>
      <c r="N28" s="593"/>
      <c r="O28" s="1324"/>
      <c r="P28" s="1325"/>
      <c r="Q28" s="1326"/>
      <c r="R28" s="1327"/>
      <c r="S28" s="115"/>
    </row>
    <row r="29" spans="1:25" s="84" customFormat="1" x14ac:dyDescent="0.3">
      <c r="B29" s="500"/>
      <c r="C29" s="501" t="s">
        <v>2</v>
      </c>
      <c r="D29" s="144"/>
      <c r="E29" s="145"/>
      <c r="F29" s="146" t="s">
        <v>540</v>
      </c>
      <c r="G29" s="144" t="s">
        <v>278</v>
      </c>
      <c r="H29" s="144" t="s">
        <v>80</v>
      </c>
      <c r="I29" s="144" t="s">
        <v>240</v>
      </c>
      <c r="J29" s="144">
        <v>1</v>
      </c>
      <c r="K29" s="157">
        <f t="shared" ref="K29:K32" si="8">L29*0.95</f>
        <v>2422500</v>
      </c>
      <c r="L29" s="147">
        <v>2550000</v>
      </c>
      <c r="M29" s="163">
        <f>J29*K29</f>
        <v>2422500</v>
      </c>
      <c r="N29" s="148">
        <v>0</v>
      </c>
      <c r="O29" s="1480">
        <f t="shared" ref="O29:O32" si="9">J29*L29/(1-N29)</f>
        <v>2550000</v>
      </c>
      <c r="P29" s="1481"/>
      <c r="Q29" s="1482"/>
      <c r="R29" s="1483"/>
      <c r="S29" s="287"/>
      <c r="T29" s="273"/>
    </row>
    <row r="30" spans="1:25" s="84" customFormat="1" x14ac:dyDescent="0.3">
      <c r="B30" s="650"/>
      <c r="C30" s="676"/>
      <c r="D30" s="676" t="s">
        <v>2</v>
      </c>
      <c r="E30" s="652"/>
      <c r="F30" s="677" t="s">
        <v>538</v>
      </c>
      <c r="G30" s="651" t="s">
        <v>311</v>
      </c>
      <c r="H30" s="651" t="s">
        <v>80</v>
      </c>
      <c r="I30" s="651" t="s">
        <v>430</v>
      </c>
      <c r="J30" s="651">
        <v>1</v>
      </c>
      <c r="K30" s="675">
        <f t="shared" si="8"/>
        <v>2242000</v>
      </c>
      <c r="L30" s="675">
        <v>2360000</v>
      </c>
      <c r="M30" s="658">
        <f t="shared" ref="M30:M32" si="10">J30*K30</f>
        <v>2242000</v>
      </c>
      <c r="N30" s="659">
        <v>0</v>
      </c>
      <c r="O30" s="1449">
        <f t="shared" si="9"/>
        <v>2360000</v>
      </c>
      <c r="P30" s="1450"/>
      <c r="Q30" s="1451" t="s">
        <v>559</v>
      </c>
      <c r="R30" s="1452"/>
      <c r="S30" s="289"/>
      <c r="T30" s="606" t="s">
        <v>552</v>
      </c>
      <c r="U30"/>
    </row>
    <row r="31" spans="1:25" s="84" customFormat="1" x14ac:dyDescent="0.3">
      <c r="B31" s="498"/>
      <c r="C31" s="499"/>
      <c r="D31" s="499" t="s">
        <v>2</v>
      </c>
      <c r="E31" s="151"/>
      <c r="F31" s="156" t="s">
        <v>536</v>
      </c>
      <c r="G31" s="155" t="s">
        <v>316</v>
      </c>
      <c r="H31" s="155" t="s">
        <v>80</v>
      </c>
      <c r="I31" s="155" t="s">
        <v>430</v>
      </c>
      <c r="J31" s="155">
        <v>1</v>
      </c>
      <c r="K31" s="157">
        <f t="shared" si="8"/>
        <v>836000</v>
      </c>
      <c r="L31" s="157">
        <v>880000</v>
      </c>
      <c r="M31" s="164">
        <f t="shared" si="10"/>
        <v>836000</v>
      </c>
      <c r="N31" s="158">
        <v>0</v>
      </c>
      <c r="O31" s="1328">
        <f t="shared" si="9"/>
        <v>880000</v>
      </c>
      <c r="P31" s="1329"/>
      <c r="Q31" s="1330" t="s">
        <v>580</v>
      </c>
      <c r="R31" s="1331"/>
      <c r="S31" s="289"/>
      <c r="T31" s="82" t="s">
        <v>533</v>
      </c>
      <c r="U31"/>
    </row>
    <row r="32" spans="1:25" s="82" customFormat="1" x14ac:dyDescent="0.3">
      <c r="B32" s="680"/>
      <c r="C32" s="676"/>
      <c r="D32" s="676" t="s">
        <v>2</v>
      </c>
      <c r="E32" s="681"/>
      <c r="F32" s="677" t="s">
        <v>534</v>
      </c>
      <c r="G32" s="651" t="s">
        <v>554</v>
      </c>
      <c r="H32" s="651" t="s">
        <v>80</v>
      </c>
      <c r="I32" s="651" t="s">
        <v>430</v>
      </c>
      <c r="J32" s="654">
        <v>1</v>
      </c>
      <c r="K32" s="657">
        <f t="shared" si="8"/>
        <v>1396500</v>
      </c>
      <c r="L32" s="657">
        <v>1470000</v>
      </c>
      <c r="M32" s="658">
        <f t="shared" si="10"/>
        <v>1396500</v>
      </c>
      <c r="N32" s="659">
        <v>0</v>
      </c>
      <c r="O32" s="1449">
        <f t="shared" si="9"/>
        <v>1470000</v>
      </c>
      <c r="P32" s="1450"/>
      <c r="Q32" s="1451" t="s">
        <v>525</v>
      </c>
      <c r="R32" s="1452"/>
      <c r="S32" s="204"/>
      <c r="T32" s="625" t="s">
        <v>555</v>
      </c>
    </row>
    <row r="33" spans="1:21" ht="17.25" thickBot="1" x14ac:dyDescent="0.35">
      <c r="B33" s="581"/>
      <c r="C33" s="184"/>
      <c r="D33" s="184"/>
      <c r="E33" s="582"/>
      <c r="F33" s="156"/>
      <c r="G33" s="155"/>
      <c r="H33" s="155"/>
      <c r="I33" s="155"/>
      <c r="J33" s="184"/>
      <c r="K33" s="199"/>
      <c r="L33" s="55"/>
      <c r="M33" s="164"/>
      <c r="N33" s="158"/>
      <c r="O33" s="1498"/>
      <c r="P33" s="1499"/>
      <c r="Q33" s="1496"/>
      <c r="R33" s="1497"/>
      <c r="S33" s="204"/>
    </row>
    <row r="34" spans="1:21" ht="17.25" thickBot="1" x14ac:dyDescent="0.35">
      <c r="B34" s="587" t="s">
        <v>2</v>
      </c>
      <c r="C34" s="588"/>
      <c r="D34" s="588"/>
      <c r="E34" s="589"/>
      <c r="F34" s="270" t="s">
        <v>267</v>
      </c>
      <c r="G34" s="590"/>
      <c r="H34" s="590"/>
      <c r="I34" s="590"/>
      <c r="J34" s="590"/>
      <c r="K34" s="590"/>
      <c r="L34" s="591"/>
      <c r="M34" s="592"/>
      <c r="N34" s="593"/>
      <c r="O34" s="1324"/>
      <c r="P34" s="1325"/>
      <c r="Q34" s="1336"/>
      <c r="R34" s="1337"/>
      <c r="S34" s="115"/>
    </row>
    <row r="35" spans="1:21" x14ac:dyDescent="0.3">
      <c r="B35" s="500"/>
      <c r="C35" s="501" t="s">
        <v>2</v>
      </c>
      <c r="D35" s="144"/>
      <c r="E35" s="145"/>
      <c r="F35" s="146" t="s">
        <v>418</v>
      </c>
      <c r="G35" s="144"/>
      <c r="H35" s="176" t="s">
        <v>60</v>
      </c>
      <c r="I35" s="144"/>
      <c r="J35" s="144">
        <v>1</v>
      </c>
      <c r="K35" s="157">
        <v>4000000</v>
      </c>
      <c r="L35" s="157">
        <v>4000000</v>
      </c>
      <c r="M35" s="163">
        <f>J35*K35</f>
        <v>4000000</v>
      </c>
      <c r="N35" s="148">
        <v>0.3</v>
      </c>
      <c r="O35" s="1480">
        <f t="shared" ref="O35:O50" si="11">J35*L35*(1+N35)</f>
        <v>5200000</v>
      </c>
      <c r="P35" s="1481"/>
      <c r="Q35" s="1482"/>
      <c r="R35" s="1483"/>
      <c r="S35" s="287"/>
      <c r="T35" s="413" t="s">
        <v>628</v>
      </c>
      <c r="U35" s="728">
        <f>(2000000+(300000*4))*1.2</f>
        <v>3840000</v>
      </c>
    </row>
    <row r="36" spans="1:21" s="84" customFormat="1" x14ac:dyDescent="0.3">
      <c r="B36" s="594"/>
      <c r="C36" s="176"/>
      <c r="D36" s="176" t="s">
        <v>2</v>
      </c>
      <c r="E36" s="595"/>
      <c r="F36" s="156" t="s">
        <v>247</v>
      </c>
      <c r="G36" s="155" t="s">
        <v>248</v>
      </c>
      <c r="H36" s="155" t="s">
        <v>249</v>
      </c>
      <c r="I36" s="155" t="s">
        <v>249</v>
      </c>
      <c r="J36" s="155">
        <v>1</v>
      </c>
      <c r="K36" s="157">
        <v>530000</v>
      </c>
      <c r="L36" s="157">
        <v>530000</v>
      </c>
      <c r="M36" s="164">
        <f>J36*K36</f>
        <v>530000</v>
      </c>
      <c r="N36" s="158">
        <v>0.3</v>
      </c>
      <c r="O36" s="1328">
        <f t="shared" si="11"/>
        <v>689000</v>
      </c>
      <c r="P36" s="1329"/>
      <c r="Q36" s="737"/>
      <c r="R36" s="738"/>
      <c r="S36" s="152"/>
      <c r="T36" s="413"/>
      <c r="U36" s="728"/>
    </row>
    <row r="37" spans="1:21" s="84" customFormat="1" x14ac:dyDescent="0.3">
      <c r="B37" s="181"/>
      <c r="C37" s="182"/>
      <c r="D37" s="182" t="s">
        <v>2</v>
      </c>
      <c r="E37" s="183"/>
      <c r="F37" s="156" t="s">
        <v>250</v>
      </c>
      <c r="G37" s="155" t="s">
        <v>329</v>
      </c>
      <c r="H37" s="155" t="s">
        <v>330</v>
      </c>
      <c r="I37" s="155" t="s">
        <v>251</v>
      </c>
      <c r="J37" s="155">
        <v>1</v>
      </c>
      <c r="K37" s="157">
        <v>200000</v>
      </c>
      <c r="L37" s="157">
        <v>200000</v>
      </c>
      <c r="M37" s="164">
        <f>J37*K37</f>
        <v>200000</v>
      </c>
      <c r="N37" s="158">
        <v>0.3</v>
      </c>
      <c r="O37" s="1365">
        <f t="shared" si="11"/>
        <v>260000</v>
      </c>
      <c r="P37" s="1366"/>
      <c r="Q37" s="1330"/>
      <c r="R37" s="1331"/>
      <c r="S37" s="152"/>
      <c r="T37" s="413"/>
      <c r="U37" s="728"/>
    </row>
    <row r="38" spans="1:21" s="82" customFormat="1" x14ac:dyDescent="0.3">
      <c r="B38" s="181"/>
      <c r="C38" s="182"/>
      <c r="D38" s="182" t="s">
        <v>2</v>
      </c>
      <c r="E38" s="183"/>
      <c r="F38" s="156" t="s">
        <v>252</v>
      </c>
      <c r="G38" s="155" t="s">
        <v>253</v>
      </c>
      <c r="H38" s="155" t="s">
        <v>254</v>
      </c>
      <c r="I38" s="155" t="s">
        <v>254</v>
      </c>
      <c r="J38" s="186">
        <v>1</v>
      </c>
      <c r="K38" s="387">
        <v>3000000</v>
      </c>
      <c r="L38" s="387">
        <v>3000000</v>
      </c>
      <c r="M38" s="164">
        <f>J38*K38</f>
        <v>3000000</v>
      </c>
      <c r="N38" s="158">
        <v>0.3</v>
      </c>
      <c r="O38" s="1365">
        <f t="shared" si="11"/>
        <v>3900000</v>
      </c>
      <c r="P38" s="1366"/>
      <c r="Q38" s="737"/>
      <c r="R38" s="738"/>
      <c r="S38" s="204"/>
      <c r="T38" s="413"/>
      <c r="U38" s="728"/>
    </row>
    <row r="39" spans="1:21" s="82" customFormat="1" x14ac:dyDescent="0.3">
      <c r="B39" s="149"/>
      <c r="C39" s="150"/>
      <c r="D39" s="155" t="s">
        <v>2</v>
      </c>
      <c r="E39" s="151"/>
      <c r="F39" s="156" t="s">
        <v>245</v>
      </c>
      <c r="G39" s="155" t="s">
        <v>246</v>
      </c>
      <c r="H39" s="155" t="s">
        <v>183</v>
      </c>
      <c r="I39" s="155"/>
      <c r="J39" s="155">
        <v>1</v>
      </c>
      <c r="K39" s="157">
        <v>200000</v>
      </c>
      <c r="L39" s="157">
        <v>200000</v>
      </c>
      <c r="M39" s="164">
        <f t="shared" ref="M39" si="12">J39*K39</f>
        <v>200000</v>
      </c>
      <c r="N39" s="158">
        <v>0.3</v>
      </c>
      <c r="O39" s="1365">
        <f t="shared" si="11"/>
        <v>260000</v>
      </c>
      <c r="P39" s="1366"/>
      <c r="Q39" s="1330"/>
      <c r="R39" s="1331"/>
      <c r="S39" s="152"/>
      <c r="T39" s="413"/>
      <c r="U39" s="728"/>
    </row>
    <row r="40" spans="1:21" s="82" customFormat="1" x14ac:dyDescent="0.3">
      <c r="B40" s="365"/>
      <c r="C40" s="291"/>
      <c r="D40" s="291" t="s">
        <v>2</v>
      </c>
      <c r="E40" s="367"/>
      <c r="F40" s="156" t="s">
        <v>343</v>
      </c>
      <c r="G40" s="155" t="s">
        <v>334</v>
      </c>
      <c r="H40" s="155" t="s">
        <v>328</v>
      </c>
      <c r="I40" s="155"/>
      <c r="J40" s="186">
        <v>1</v>
      </c>
      <c r="K40" s="169">
        <v>450000</v>
      </c>
      <c r="L40" s="169">
        <v>500000</v>
      </c>
      <c r="M40" s="164">
        <f>J40*K40</f>
        <v>450000</v>
      </c>
      <c r="N40" s="158">
        <v>0</v>
      </c>
      <c r="O40" s="1365">
        <f t="shared" si="11"/>
        <v>500000</v>
      </c>
      <c r="P40" s="1366"/>
      <c r="Q40" s="1330" t="s">
        <v>522</v>
      </c>
      <c r="R40" s="1331"/>
      <c r="S40" s="204"/>
      <c r="T40" s="70"/>
      <c r="U40" s="716"/>
    </row>
    <row r="41" spans="1:21" s="82" customFormat="1" x14ac:dyDescent="0.3">
      <c r="B41" s="181"/>
      <c r="C41" s="182" t="s">
        <v>2</v>
      </c>
      <c r="D41" s="366"/>
      <c r="E41" s="183"/>
      <c r="F41" s="388" t="s">
        <v>268</v>
      </c>
      <c r="G41" s="182"/>
      <c r="H41" s="182"/>
      <c r="I41" s="155"/>
      <c r="J41" s="155">
        <v>1</v>
      </c>
      <c r="K41" s="157"/>
      <c r="L41" s="157"/>
      <c r="M41" s="164">
        <f t="shared" ref="M41" si="13">J41*K41</f>
        <v>0</v>
      </c>
      <c r="N41" s="158">
        <v>0.3</v>
      </c>
      <c r="O41" s="1365">
        <f t="shared" si="11"/>
        <v>0</v>
      </c>
      <c r="P41" s="1366"/>
      <c r="Q41" s="737"/>
      <c r="R41" s="738"/>
      <c r="S41" s="152"/>
      <c r="T41" s="413"/>
      <c r="U41" s="728"/>
    </row>
    <row r="42" spans="1:21" s="84" customFormat="1" x14ac:dyDescent="0.3">
      <c r="B42" s="181"/>
      <c r="C42" s="182"/>
      <c r="D42" s="182" t="s">
        <v>2</v>
      </c>
      <c r="E42" s="183"/>
      <c r="F42" s="388" t="s">
        <v>284</v>
      </c>
      <c r="G42" s="182"/>
      <c r="H42" s="182" t="s">
        <v>60</v>
      </c>
      <c r="I42" s="155"/>
      <c r="J42" s="155">
        <v>1</v>
      </c>
      <c r="K42" s="157">
        <v>1000000</v>
      </c>
      <c r="L42" s="157">
        <v>1000000</v>
      </c>
      <c r="M42" s="164">
        <f>J42*K42</f>
        <v>1000000</v>
      </c>
      <c r="N42" s="158">
        <v>0.3</v>
      </c>
      <c r="O42" s="1365">
        <f t="shared" si="11"/>
        <v>1300000</v>
      </c>
      <c r="P42" s="1366"/>
      <c r="Q42" s="737"/>
      <c r="R42" s="738"/>
      <c r="S42" s="152"/>
      <c r="T42" s="413" t="s">
        <v>630</v>
      </c>
      <c r="U42" s="728">
        <f>(500000+(300000*1))*1.2</f>
        <v>960000</v>
      </c>
    </row>
    <row r="43" spans="1:21" s="413" customFormat="1" x14ac:dyDescent="0.3">
      <c r="A43" s="82"/>
      <c r="B43" s="181"/>
      <c r="C43" s="182"/>
      <c r="D43" s="366" t="s">
        <v>2</v>
      </c>
      <c r="E43" s="183"/>
      <c r="F43" s="388" t="s">
        <v>519</v>
      </c>
      <c r="G43" s="182" t="s">
        <v>520</v>
      </c>
      <c r="H43" s="182" t="s">
        <v>521</v>
      </c>
      <c r="I43" s="155"/>
      <c r="J43" s="155">
        <v>3</v>
      </c>
      <c r="K43" s="157">
        <v>20000</v>
      </c>
      <c r="L43" s="157">
        <v>20000</v>
      </c>
      <c r="M43" s="164">
        <f t="shared" ref="M43:M45" si="14">J43*K43</f>
        <v>60000</v>
      </c>
      <c r="N43" s="158">
        <v>0.3</v>
      </c>
      <c r="O43" s="1365">
        <f t="shared" si="11"/>
        <v>78000</v>
      </c>
      <c r="P43" s="1366"/>
      <c r="Q43" s="737"/>
      <c r="R43" s="738"/>
      <c r="S43" s="152"/>
      <c r="U43" s="728"/>
    </row>
    <row r="44" spans="1:21" s="413" customFormat="1" x14ac:dyDescent="0.3">
      <c r="A44" s="82"/>
      <c r="B44" s="671"/>
      <c r="C44" s="672"/>
      <c r="D44" s="654" t="s">
        <v>2</v>
      </c>
      <c r="E44" s="673"/>
      <c r="F44" s="674" t="s">
        <v>269</v>
      </c>
      <c r="G44" s="672" t="s">
        <v>270</v>
      </c>
      <c r="H44" s="672" t="s">
        <v>271</v>
      </c>
      <c r="I44" s="651"/>
      <c r="J44" s="651">
        <v>5</v>
      </c>
      <c r="K44" s="675">
        <v>120000</v>
      </c>
      <c r="L44" s="675">
        <v>120000</v>
      </c>
      <c r="M44" s="658">
        <f t="shared" si="14"/>
        <v>600000</v>
      </c>
      <c r="N44" s="659">
        <v>0.3</v>
      </c>
      <c r="O44" s="1449">
        <f t="shared" si="11"/>
        <v>780000</v>
      </c>
      <c r="P44" s="1450"/>
      <c r="Q44" s="737"/>
      <c r="R44" s="738"/>
      <c r="S44" s="152"/>
      <c r="U44" s="728"/>
    </row>
    <row r="45" spans="1:21" s="84" customFormat="1" x14ac:dyDescent="0.3">
      <c r="B45" s="181"/>
      <c r="C45" s="182"/>
      <c r="D45" s="182" t="s">
        <v>2</v>
      </c>
      <c r="E45" s="183"/>
      <c r="F45" s="388" t="s">
        <v>272</v>
      </c>
      <c r="G45" s="366" t="s">
        <v>625</v>
      </c>
      <c r="H45" s="366" t="s">
        <v>626</v>
      </c>
      <c r="I45" s="155"/>
      <c r="J45" s="155">
        <v>1</v>
      </c>
      <c r="K45" s="157">
        <v>250000</v>
      </c>
      <c r="L45" s="157">
        <v>250000</v>
      </c>
      <c r="M45" s="164">
        <f t="shared" si="14"/>
        <v>250000</v>
      </c>
      <c r="N45" s="158">
        <v>0.3</v>
      </c>
      <c r="O45" s="1365">
        <f t="shared" si="11"/>
        <v>325000</v>
      </c>
      <c r="P45" s="1366"/>
      <c r="Q45" s="1330" t="s">
        <v>572</v>
      </c>
      <c r="R45" s="1331"/>
      <c r="S45" s="152"/>
      <c r="T45" s="413"/>
      <c r="U45" s="728"/>
    </row>
    <row r="46" spans="1:21" s="82" customFormat="1" x14ac:dyDescent="0.3">
      <c r="B46" s="181"/>
      <c r="C46" s="182"/>
      <c r="D46" s="182" t="s">
        <v>2</v>
      </c>
      <c r="E46" s="183"/>
      <c r="F46" s="754" t="s">
        <v>355</v>
      </c>
      <c r="G46" s="366" t="s">
        <v>640</v>
      </c>
      <c r="H46" s="651" t="s">
        <v>636</v>
      </c>
      <c r="I46" s="651" t="s">
        <v>636</v>
      </c>
      <c r="J46" s="155">
        <v>1</v>
      </c>
      <c r="K46" s="157">
        <v>65000</v>
      </c>
      <c r="L46" s="157">
        <v>65000</v>
      </c>
      <c r="M46" s="164">
        <f>J46*K46</f>
        <v>65000</v>
      </c>
      <c r="N46" s="158">
        <v>0.3</v>
      </c>
      <c r="O46" s="1365">
        <f t="shared" si="11"/>
        <v>84500</v>
      </c>
      <c r="P46" s="1366"/>
      <c r="Q46" s="1330" t="s">
        <v>571</v>
      </c>
      <c r="R46" s="1331"/>
      <c r="S46" s="152"/>
      <c r="T46" s="413"/>
      <c r="U46" s="728"/>
    </row>
    <row r="47" spans="1:21" s="82" customFormat="1" x14ac:dyDescent="0.3">
      <c r="B47" s="181"/>
      <c r="C47" s="182"/>
      <c r="D47" s="182" t="s">
        <v>2</v>
      </c>
      <c r="E47" s="183"/>
      <c r="F47" s="754" t="s">
        <v>354</v>
      </c>
      <c r="G47" s="366" t="s">
        <v>640</v>
      </c>
      <c r="H47" s="651" t="s">
        <v>636</v>
      </c>
      <c r="I47" s="651" t="s">
        <v>636</v>
      </c>
      <c r="J47" s="155">
        <v>1</v>
      </c>
      <c r="K47" s="157">
        <v>65000</v>
      </c>
      <c r="L47" s="157">
        <v>65000</v>
      </c>
      <c r="M47" s="164">
        <f>J47*K47</f>
        <v>65000</v>
      </c>
      <c r="N47" s="158">
        <v>0.3</v>
      </c>
      <c r="O47" s="1365">
        <f t="shared" si="11"/>
        <v>84500</v>
      </c>
      <c r="P47" s="1366"/>
      <c r="Q47" s="1330" t="s">
        <v>561</v>
      </c>
      <c r="R47" s="1331"/>
      <c r="S47" s="152"/>
      <c r="T47" s="413"/>
      <c r="U47" s="728"/>
    </row>
    <row r="48" spans="1:21" s="82" customFormat="1" x14ac:dyDescent="0.3">
      <c r="B48" s="181"/>
      <c r="C48" s="182"/>
      <c r="D48" s="182" t="s">
        <v>2</v>
      </c>
      <c r="E48" s="183"/>
      <c r="F48" s="754" t="s">
        <v>357</v>
      </c>
      <c r="G48" s="366" t="s">
        <v>640</v>
      </c>
      <c r="H48" s="651" t="s">
        <v>636</v>
      </c>
      <c r="I48" s="651" t="s">
        <v>636</v>
      </c>
      <c r="J48" s="155">
        <v>1</v>
      </c>
      <c r="K48" s="157">
        <v>65000</v>
      </c>
      <c r="L48" s="157">
        <v>65000</v>
      </c>
      <c r="M48" s="157">
        <v>70000</v>
      </c>
      <c r="N48" s="158">
        <v>0.3</v>
      </c>
      <c r="O48" s="1365">
        <f t="shared" si="11"/>
        <v>84500</v>
      </c>
      <c r="P48" s="1366"/>
      <c r="Q48" s="1330" t="s">
        <v>361</v>
      </c>
      <c r="R48" s="1331"/>
      <c r="S48" s="152"/>
      <c r="T48" s="413"/>
      <c r="U48" s="728"/>
    </row>
    <row r="49" spans="1:21" s="413" customFormat="1" x14ac:dyDescent="0.3">
      <c r="A49" s="82"/>
      <c r="B49" s="671"/>
      <c r="C49" s="672"/>
      <c r="D49" s="672" t="s">
        <v>2</v>
      </c>
      <c r="E49" s="673"/>
      <c r="F49" s="755" t="s">
        <v>605</v>
      </c>
      <c r="G49" s="654"/>
      <c r="H49" s="651" t="s">
        <v>636</v>
      </c>
      <c r="I49" s="651" t="s">
        <v>636</v>
      </c>
      <c r="J49" s="651">
        <v>1</v>
      </c>
      <c r="K49" s="675">
        <v>10000</v>
      </c>
      <c r="L49" s="675">
        <v>10000</v>
      </c>
      <c r="M49" s="675">
        <f t="shared" ref="M49" si="15">J49*K49</f>
        <v>10000</v>
      </c>
      <c r="N49" s="659">
        <v>0.3</v>
      </c>
      <c r="O49" s="1449">
        <f t="shared" si="11"/>
        <v>13000</v>
      </c>
      <c r="P49" s="1450"/>
      <c r="Q49" s="1451" t="s">
        <v>589</v>
      </c>
      <c r="R49" s="1452"/>
      <c r="S49" s="152"/>
      <c r="U49" s="728"/>
    </row>
    <row r="50" spans="1:21" s="82" customFormat="1" x14ac:dyDescent="0.3">
      <c r="B50" s="181"/>
      <c r="C50" s="182" t="s">
        <v>2</v>
      </c>
      <c r="D50" s="366"/>
      <c r="E50" s="183"/>
      <c r="F50" s="388" t="s">
        <v>419</v>
      </c>
      <c r="G50" s="182"/>
      <c r="H50" s="182" t="s">
        <v>60</v>
      </c>
      <c r="I50" s="155"/>
      <c r="J50" s="155">
        <v>1</v>
      </c>
      <c r="K50" s="157">
        <v>3500000</v>
      </c>
      <c r="L50" s="157">
        <v>3500000</v>
      </c>
      <c r="M50" s="164">
        <f>J50*K50</f>
        <v>3500000</v>
      </c>
      <c r="N50" s="158">
        <v>0.3</v>
      </c>
      <c r="O50" s="1365">
        <f t="shared" si="11"/>
        <v>4550000</v>
      </c>
      <c r="P50" s="1366"/>
      <c r="Q50" s="737"/>
      <c r="R50" s="738"/>
      <c r="S50" s="152"/>
      <c r="T50" s="413" t="s">
        <v>629</v>
      </c>
      <c r="U50" s="728">
        <f>(2000000+(300000*3))*1.2</f>
        <v>3480000</v>
      </c>
    </row>
    <row r="51" spans="1:21" s="82" customFormat="1" ht="17.25" thickBot="1" x14ac:dyDescent="0.35">
      <c r="B51" s="365"/>
      <c r="C51" s="366"/>
      <c r="D51" s="366"/>
      <c r="E51" s="367"/>
      <c r="F51" s="156"/>
      <c r="G51" s="155"/>
      <c r="H51" s="155"/>
      <c r="I51" s="155"/>
      <c r="J51" s="186"/>
      <c r="K51" s="199"/>
      <c r="L51" s="55"/>
      <c r="M51" s="164"/>
      <c r="N51" s="158"/>
      <c r="O51" s="743"/>
      <c r="P51" s="744"/>
      <c r="Q51" s="737"/>
      <c r="R51" s="738"/>
      <c r="S51" s="204"/>
      <c r="T51" s="413"/>
      <c r="U51" s="728"/>
    </row>
    <row r="52" spans="1:21" s="82" customFormat="1" ht="18" thickBot="1" x14ac:dyDescent="0.35">
      <c r="B52" s="1338" t="s">
        <v>53</v>
      </c>
      <c r="C52" s="1339"/>
      <c r="D52" s="1339"/>
      <c r="E52" s="1339"/>
      <c r="F52" s="1339"/>
      <c r="G52" s="1339"/>
      <c r="H52" s="1339"/>
      <c r="I52" s="1339"/>
      <c r="J52" s="1339"/>
      <c r="K52" s="1339"/>
      <c r="L52" s="1340"/>
      <c r="M52" s="123">
        <f>SUM(M5:M51)</f>
        <v>81888481.832000002</v>
      </c>
      <c r="N52" s="136"/>
      <c r="O52" s="1341">
        <f>SUM(O5:P51)</f>
        <v>120169500</v>
      </c>
      <c r="P52" s="1342"/>
      <c r="Q52" s="1343"/>
      <c r="R52" s="1344"/>
      <c r="S52" s="130"/>
    </row>
    <row r="53" spans="1:21" s="82" customFormat="1" ht="17.25" thickBot="1" x14ac:dyDescent="0.35">
      <c r="B53" s="122" t="s">
        <v>2</v>
      </c>
      <c r="C53" s="116"/>
      <c r="D53" s="116"/>
      <c r="E53" s="117"/>
      <c r="F53" s="118" t="s">
        <v>242</v>
      </c>
      <c r="G53" s="119"/>
      <c r="H53" s="119"/>
      <c r="I53" s="119"/>
      <c r="J53" s="119"/>
      <c r="K53" s="119"/>
      <c r="L53" s="120"/>
      <c r="M53" s="121"/>
      <c r="N53" s="135"/>
      <c r="O53" s="1447"/>
      <c r="P53" s="1448"/>
      <c r="Q53" s="1326"/>
      <c r="R53" s="1327"/>
      <c r="S53" s="115"/>
    </row>
    <row r="54" spans="1:21" s="82" customFormat="1" x14ac:dyDescent="0.3">
      <c r="B54" s="64"/>
      <c r="C54" s="65" t="s">
        <v>73</v>
      </c>
      <c r="D54" s="80"/>
      <c r="E54" s="698"/>
      <c r="F54" s="699" t="s">
        <v>319</v>
      </c>
      <c r="G54" s="700" t="s">
        <v>94</v>
      </c>
      <c r="H54" s="700" t="s">
        <v>130</v>
      </c>
      <c r="I54" s="700" t="s">
        <v>131</v>
      </c>
      <c r="J54" s="701">
        <v>10</v>
      </c>
      <c r="K54" s="55">
        <v>307000</v>
      </c>
      <c r="L54" s="55">
        <v>307000</v>
      </c>
      <c r="M54" s="702">
        <f t="shared" ref="M54:M55" si="16">J54*K54</f>
        <v>3070000</v>
      </c>
      <c r="N54" s="148"/>
      <c r="O54" s="1328">
        <f t="shared" ref="O54:O55" si="17">L54*J54</f>
        <v>3070000</v>
      </c>
      <c r="P54" s="1329"/>
      <c r="Q54" s="1492"/>
      <c r="R54" s="1493"/>
      <c r="S54" s="207"/>
    </row>
    <row r="55" spans="1:21" s="84" customFormat="1" x14ac:dyDescent="0.3">
      <c r="B55" s="683"/>
      <c r="C55" s="684" t="s">
        <v>73</v>
      </c>
      <c r="D55" s="679"/>
      <c r="E55" s="690"/>
      <c r="F55" s="691" t="s">
        <v>320</v>
      </c>
      <c r="G55" s="692" t="s">
        <v>94</v>
      </c>
      <c r="H55" s="692" t="s">
        <v>130</v>
      </c>
      <c r="I55" s="692" t="s">
        <v>131</v>
      </c>
      <c r="J55" s="693">
        <v>35</v>
      </c>
      <c r="K55" s="657">
        <v>307000</v>
      </c>
      <c r="L55" s="657">
        <v>307000</v>
      </c>
      <c r="M55" s="694">
        <f t="shared" si="16"/>
        <v>10745000</v>
      </c>
      <c r="N55" s="659"/>
      <c r="O55" s="1449">
        <f t="shared" si="17"/>
        <v>10745000</v>
      </c>
      <c r="P55" s="1450"/>
      <c r="Q55" s="1494"/>
      <c r="R55" s="1495"/>
      <c r="S55" s="212"/>
    </row>
    <row r="56" spans="1:21" s="84" customFormat="1" ht="17.25" thickBot="1" x14ac:dyDescent="0.35">
      <c r="B56" s="213"/>
      <c r="C56" s="214"/>
      <c r="D56" s="215"/>
      <c r="E56" s="216"/>
      <c r="F56" s="229"/>
      <c r="G56" s="224"/>
      <c r="H56" s="224"/>
      <c r="I56" s="224"/>
      <c r="J56" s="373"/>
      <c r="K56" s="225"/>
      <c r="L56" s="225"/>
      <c r="M56" s="226"/>
      <c r="N56" s="162"/>
      <c r="O56" s="1365">
        <f t="shared" ref="O56" si="18">L56</f>
        <v>0</v>
      </c>
      <c r="P56" s="1366"/>
      <c r="Q56" s="1453"/>
      <c r="R56" s="1454"/>
      <c r="S56" s="217"/>
    </row>
    <row r="57" spans="1:21" s="84" customFormat="1" ht="17.25" thickBot="1" x14ac:dyDescent="0.35">
      <c r="B57" s="122" t="s">
        <v>2</v>
      </c>
      <c r="C57" s="116"/>
      <c r="D57" s="116"/>
      <c r="E57" s="117"/>
      <c r="F57" s="218" t="s">
        <v>243</v>
      </c>
      <c r="G57" s="219"/>
      <c r="H57" s="219"/>
      <c r="I57" s="219"/>
      <c r="J57" s="219"/>
      <c r="K57" s="220"/>
      <c r="L57" s="220"/>
      <c r="M57" s="221"/>
      <c r="N57" s="135"/>
      <c r="O57" s="1447"/>
      <c r="P57" s="1448"/>
      <c r="Q57" s="1447"/>
      <c r="R57" s="1448"/>
      <c r="S57" s="115"/>
    </row>
    <row r="58" spans="1:21" s="84" customFormat="1" x14ac:dyDescent="0.3">
      <c r="B58" s="64"/>
      <c r="C58" s="65" t="s">
        <v>2</v>
      </c>
      <c r="D58" s="65"/>
      <c r="E58" s="66"/>
      <c r="F58" s="88" t="s">
        <v>7</v>
      </c>
      <c r="G58" s="85"/>
      <c r="H58" s="223" t="s">
        <v>130</v>
      </c>
      <c r="I58" s="223" t="s">
        <v>131</v>
      </c>
      <c r="J58" s="80">
        <v>5</v>
      </c>
      <c r="K58" s="55">
        <v>307000</v>
      </c>
      <c r="L58" s="55">
        <v>307000</v>
      </c>
      <c r="M58" s="112">
        <f>K58*J58</f>
        <v>1535000</v>
      </c>
      <c r="N58" s="137"/>
      <c r="O58" s="1365">
        <f t="shared" ref="O58:O64" si="19">L58*J58</f>
        <v>1535000</v>
      </c>
      <c r="P58" s="1366"/>
      <c r="Q58" s="1359" t="s">
        <v>62</v>
      </c>
      <c r="R58" s="1360"/>
      <c r="S58" s="94"/>
    </row>
    <row r="59" spans="1:21" s="84" customFormat="1" x14ac:dyDescent="0.3">
      <c r="B59" s="62"/>
      <c r="C59" s="63" t="s">
        <v>2</v>
      </c>
      <c r="D59" s="63"/>
      <c r="E59" s="61"/>
      <c r="F59" s="89" t="s">
        <v>11</v>
      </c>
      <c r="G59" s="86"/>
      <c r="H59" s="223" t="s">
        <v>130</v>
      </c>
      <c r="I59" s="223" t="s">
        <v>131</v>
      </c>
      <c r="J59" s="56">
        <v>3</v>
      </c>
      <c r="K59" s="55">
        <v>307000</v>
      </c>
      <c r="L59" s="55">
        <v>307000</v>
      </c>
      <c r="M59" s="113">
        <f t="shared" ref="M59:M64" si="20">K59*J59</f>
        <v>921000</v>
      </c>
      <c r="N59" s="138"/>
      <c r="O59" s="1365">
        <f t="shared" si="19"/>
        <v>921000</v>
      </c>
      <c r="P59" s="1366"/>
      <c r="Q59" s="1361"/>
      <c r="R59" s="1362"/>
      <c r="S59" s="95"/>
    </row>
    <row r="60" spans="1:21" s="84" customFormat="1" x14ac:dyDescent="0.3">
      <c r="B60" s="62"/>
      <c r="C60" s="63" t="s">
        <v>2</v>
      </c>
      <c r="D60" s="63"/>
      <c r="E60" s="61"/>
      <c r="F60" s="89" t="s">
        <v>41</v>
      </c>
      <c r="G60" s="86"/>
      <c r="H60" s="223" t="s">
        <v>130</v>
      </c>
      <c r="I60" s="223" t="s">
        <v>131</v>
      </c>
      <c r="J60" s="56">
        <v>5</v>
      </c>
      <c r="K60" s="55">
        <v>307000</v>
      </c>
      <c r="L60" s="55">
        <v>307000</v>
      </c>
      <c r="M60" s="113">
        <f t="shared" si="20"/>
        <v>1535000</v>
      </c>
      <c r="N60" s="138"/>
      <c r="O60" s="1365">
        <f t="shared" si="19"/>
        <v>1535000</v>
      </c>
      <c r="P60" s="1366"/>
      <c r="Q60" s="1361"/>
      <c r="R60" s="1362"/>
      <c r="S60" s="95"/>
    </row>
    <row r="61" spans="1:21" x14ac:dyDescent="0.3">
      <c r="B61" s="62"/>
      <c r="C61" s="63" t="s">
        <v>2</v>
      </c>
      <c r="D61" s="63"/>
      <c r="E61" s="61"/>
      <c r="F61" s="89" t="s">
        <v>10</v>
      </c>
      <c r="G61" s="86"/>
      <c r="H61" s="223" t="s">
        <v>130</v>
      </c>
      <c r="I61" s="223" t="s">
        <v>131</v>
      </c>
      <c r="J61" s="56">
        <v>3</v>
      </c>
      <c r="K61" s="55">
        <v>307000</v>
      </c>
      <c r="L61" s="55">
        <v>307000</v>
      </c>
      <c r="M61" s="113">
        <f t="shared" si="20"/>
        <v>921000</v>
      </c>
      <c r="N61" s="138"/>
      <c r="O61" s="1365">
        <f t="shared" si="19"/>
        <v>921000</v>
      </c>
      <c r="P61" s="1366"/>
      <c r="Q61" s="1361"/>
      <c r="R61" s="1362"/>
      <c r="S61" s="95"/>
    </row>
    <row r="62" spans="1:21" x14ac:dyDescent="0.3">
      <c r="B62" s="62"/>
      <c r="C62" s="63" t="s">
        <v>2</v>
      </c>
      <c r="D62" s="63"/>
      <c r="E62" s="61"/>
      <c r="F62" s="89" t="s">
        <v>61</v>
      </c>
      <c r="G62" s="86"/>
      <c r="H62" s="223" t="s">
        <v>130</v>
      </c>
      <c r="I62" s="223" t="s">
        <v>131</v>
      </c>
      <c r="J62" s="56">
        <v>2</v>
      </c>
      <c r="K62" s="55">
        <v>307000</v>
      </c>
      <c r="L62" s="55">
        <v>307000</v>
      </c>
      <c r="M62" s="113">
        <f t="shared" si="20"/>
        <v>614000</v>
      </c>
      <c r="N62" s="138"/>
      <c r="O62" s="1365">
        <f t="shared" si="19"/>
        <v>614000</v>
      </c>
      <c r="P62" s="1366"/>
      <c r="Q62" s="1361"/>
      <c r="R62" s="1362"/>
      <c r="S62" s="95"/>
    </row>
    <row r="63" spans="1:21" x14ac:dyDescent="0.3">
      <c r="B63" s="67"/>
      <c r="C63" s="63" t="s">
        <v>2</v>
      </c>
      <c r="D63" s="68"/>
      <c r="E63" s="69"/>
      <c r="F63" s="90" t="s">
        <v>9</v>
      </c>
      <c r="G63" s="86"/>
      <c r="H63" s="223" t="s">
        <v>130</v>
      </c>
      <c r="I63" s="223" t="s">
        <v>131</v>
      </c>
      <c r="J63" s="56">
        <v>5</v>
      </c>
      <c r="K63" s="55">
        <v>307000</v>
      </c>
      <c r="L63" s="55">
        <v>307000</v>
      </c>
      <c r="M63" s="113">
        <f t="shared" si="20"/>
        <v>1535000</v>
      </c>
      <c r="N63" s="138"/>
      <c r="O63" s="1365">
        <f t="shared" si="19"/>
        <v>1535000</v>
      </c>
      <c r="P63" s="1366"/>
      <c r="Q63" s="1361"/>
      <c r="R63" s="1362"/>
      <c r="S63" s="95"/>
    </row>
    <row r="64" spans="1:21" ht="17.25" thickBot="1" x14ac:dyDescent="0.35">
      <c r="B64" s="57"/>
      <c r="C64" s="58" t="s">
        <v>2</v>
      </c>
      <c r="D64" s="58"/>
      <c r="E64" s="60"/>
      <c r="F64" s="91" t="s">
        <v>8</v>
      </c>
      <c r="G64" s="87"/>
      <c r="H64" s="223" t="s">
        <v>130</v>
      </c>
      <c r="I64" s="223" t="s">
        <v>131</v>
      </c>
      <c r="J64" s="59">
        <v>2</v>
      </c>
      <c r="K64" s="55">
        <v>307000</v>
      </c>
      <c r="L64" s="55">
        <v>307000</v>
      </c>
      <c r="M64" s="114">
        <f t="shared" si="20"/>
        <v>614000</v>
      </c>
      <c r="N64" s="139"/>
      <c r="O64" s="1365">
        <f t="shared" si="19"/>
        <v>614000</v>
      </c>
      <c r="P64" s="1366"/>
      <c r="Q64" s="1363"/>
      <c r="R64" s="1364"/>
      <c r="S64" s="96"/>
    </row>
    <row r="65" spans="2:19" ht="18" thickBot="1" x14ac:dyDescent="0.35">
      <c r="B65" s="1345" t="s">
        <v>46</v>
      </c>
      <c r="C65" s="1346"/>
      <c r="D65" s="1346"/>
      <c r="E65" s="1346"/>
      <c r="F65" s="1346"/>
      <c r="G65" s="1346"/>
      <c r="H65" s="1346"/>
      <c r="I65" s="1346"/>
      <c r="J65" s="1346"/>
      <c r="K65" s="1346"/>
      <c r="L65" s="1347"/>
      <c r="M65" s="124">
        <f>SUM(M53:M64)</f>
        <v>21490000</v>
      </c>
      <c r="N65" s="140"/>
      <c r="O65" s="1348">
        <f>SUM(O53:P64)</f>
        <v>21490000</v>
      </c>
      <c r="P65" s="1349"/>
      <c r="Q65" s="1350"/>
      <c r="R65" s="1350"/>
      <c r="S65" s="1351"/>
    </row>
    <row r="66" spans="2:19" ht="20.25" thickBot="1" x14ac:dyDescent="0.35">
      <c r="B66" s="1352" t="s">
        <v>52</v>
      </c>
      <c r="C66" s="1353"/>
      <c r="D66" s="1353"/>
      <c r="E66" s="1353"/>
      <c r="F66" s="1353"/>
      <c r="G66" s="1353"/>
      <c r="H66" s="1353"/>
      <c r="I66" s="1353"/>
      <c r="J66" s="1353"/>
      <c r="K66" s="1353"/>
      <c r="L66" s="1353"/>
      <c r="M66" s="125"/>
      <c r="N66" s="134">
        <v>0.03</v>
      </c>
      <c r="O66" s="1354">
        <f>ROUNDDOWN(O52*N66,-3)</f>
        <v>3605000</v>
      </c>
      <c r="P66" s="1355"/>
      <c r="Q66" s="1356"/>
      <c r="R66" s="1357"/>
      <c r="S66" s="1358"/>
    </row>
    <row r="67" spans="2:19" ht="20.25" thickBot="1" x14ac:dyDescent="0.35">
      <c r="B67" s="1352" t="s">
        <v>54</v>
      </c>
      <c r="C67" s="1353"/>
      <c r="D67" s="1353"/>
      <c r="E67" s="1353"/>
      <c r="F67" s="1353"/>
      <c r="G67" s="1353"/>
      <c r="H67" s="1353"/>
      <c r="I67" s="1353"/>
      <c r="J67" s="1353"/>
      <c r="K67" s="1353"/>
      <c r="L67" s="1353"/>
      <c r="M67" s="127"/>
      <c r="N67" s="128"/>
      <c r="O67" s="1354">
        <f>SUM(O66,O65,O52)</f>
        <v>145264500</v>
      </c>
      <c r="P67" s="1355"/>
      <c r="Q67" s="1374"/>
      <c r="R67" s="1375"/>
      <c r="S67" s="1376"/>
    </row>
    <row r="68" spans="2:19" ht="20.25" thickBot="1" x14ac:dyDescent="0.35">
      <c r="B68" s="1352" t="s">
        <v>51</v>
      </c>
      <c r="C68" s="1353"/>
      <c r="D68" s="1353"/>
      <c r="E68" s="1353"/>
      <c r="F68" s="1353"/>
      <c r="G68" s="1353"/>
      <c r="H68" s="1353"/>
      <c r="I68" s="1353"/>
      <c r="J68" s="1353"/>
      <c r="K68" s="1353"/>
      <c r="L68" s="1353"/>
      <c r="M68" s="129"/>
      <c r="N68" s="126">
        <v>0.1</v>
      </c>
      <c r="O68" s="1381">
        <f>ROUNDDOWN(O67*N68,-3)</f>
        <v>14526000</v>
      </c>
      <c r="P68" s="1382"/>
      <c r="Q68" s="1383"/>
      <c r="R68" s="1384"/>
      <c r="S68" s="1385"/>
    </row>
    <row r="69" spans="2:19" ht="21" thickBot="1" x14ac:dyDescent="0.35">
      <c r="B69" s="1367" t="s">
        <v>44</v>
      </c>
      <c r="C69" s="1368"/>
      <c r="D69" s="1368"/>
      <c r="E69" s="1368"/>
      <c r="F69" s="1368"/>
      <c r="G69" s="1368"/>
      <c r="H69" s="1368"/>
      <c r="I69" s="1368"/>
      <c r="J69" s="1368"/>
      <c r="K69" s="1368"/>
      <c r="L69" s="1368"/>
      <c r="M69" s="92"/>
      <c r="N69" s="111"/>
      <c r="O69" s="1369">
        <f>ROUNDDOWN(SUM(O67:P68), -6)</f>
        <v>159000000</v>
      </c>
      <c r="P69" s="1370"/>
      <c r="Q69" s="1371"/>
      <c r="R69" s="1372"/>
      <c r="S69" s="1373"/>
    </row>
    <row r="70" spans="2:19" ht="21" thickBot="1" x14ac:dyDescent="0.35">
      <c r="B70" s="104"/>
      <c r="C70" s="104"/>
      <c r="D70" s="104"/>
      <c r="E70" s="104"/>
      <c r="F70" s="105"/>
      <c r="G70" s="105"/>
      <c r="H70" s="105"/>
      <c r="I70" s="105"/>
      <c r="J70" s="105"/>
      <c r="K70" s="105"/>
      <c r="L70" s="105"/>
      <c r="M70" s="106"/>
      <c r="N70" s="107"/>
      <c r="O70" s="107"/>
      <c r="P70" s="107"/>
      <c r="Q70" s="108"/>
      <c r="R70" s="108"/>
      <c r="S70" s="108"/>
    </row>
    <row r="71" spans="2:19" ht="18" thickBot="1" x14ac:dyDescent="0.35">
      <c r="B71" s="1374" t="s">
        <v>50</v>
      </c>
      <c r="C71" s="1375"/>
      <c r="D71" s="1375"/>
      <c r="E71" s="1376"/>
      <c r="F71" s="109"/>
      <c r="G71" s="109"/>
      <c r="H71" s="109"/>
      <c r="I71" s="109"/>
      <c r="J71" s="109"/>
      <c r="K71" s="110"/>
      <c r="L71" s="110"/>
      <c r="M71" s="110"/>
      <c r="N71" s="77" t="s">
        <v>14</v>
      </c>
      <c r="O71" s="1377" t="s">
        <v>15</v>
      </c>
      <c r="P71" s="1378"/>
      <c r="Q71" s="1379" t="s">
        <v>17</v>
      </c>
      <c r="R71" s="1380"/>
      <c r="S71" s="166" t="s">
        <v>16</v>
      </c>
    </row>
    <row r="72" spans="2:19" x14ac:dyDescent="0.3">
      <c r="B72" s="102">
        <v>1</v>
      </c>
      <c r="C72" s="1400"/>
      <c r="D72" s="1401"/>
      <c r="E72" s="1401"/>
      <c r="F72" s="1401"/>
      <c r="G72" s="1401"/>
      <c r="H72" s="1401"/>
      <c r="I72" s="1401"/>
      <c r="J72" s="1402"/>
      <c r="N72" s="11">
        <v>0</v>
      </c>
      <c r="O72" s="1403">
        <f>$O$69/(1+N72)</f>
        <v>159000000</v>
      </c>
      <c r="P72" s="1404"/>
      <c r="Q72" s="1405">
        <f>O72-$M$52</f>
        <v>77111518.167999998</v>
      </c>
      <c r="R72" s="1406"/>
      <c r="S72" s="160">
        <f>Q72/O72</f>
        <v>0.48497810168553457</v>
      </c>
    </row>
    <row r="73" spans="2:19" x14ac:dyDescent="0.3">
      <c r="B73" s="100">
        <v>2</v>
      </c>
      <c r="C73" s="1458"/>
      <c r="D73" s="1456"/>
      <c r="E73" s="1456"/>
      <c r="F73" s="1456"/>
      <c r="G73" s="1456"/>
      <c r="H73" s="1456"/>
      <c r="I73" s="1456"/>
      <c r="J73" s="1457"/>
      <c r="N73" s="9">
        <v>0.1</v>
      </c>
      <c r="O73" s="1389">
        <f>$O$69/(1+N73)</f>
        <v>144545454.54545453</v>
      </c>
      <c r="P73" s="1390"/>
      <c r="Q73" s="1391">
        <f t="shared" ref="Q73:Q76" si="21">O73-$M$52</f>
        <v>62656972.71345453</v>
      </c>
      <c r="R73" s="1392"/>
      <c r="S73" s="161">
        <f t="shared" ref="S73:S76" si="22">Q73/O73</f>
        <v>0.43347591185408796</v>
      </c>
    </row>
    <row r="74" spans="2:19" x14ac:dyDescent="0.3">
      <c r="B74" s="100">
        <v>3</v>
      </c>
      <c r="C74" s="1455"/>
      <c r="D74" s="1456"/>
      <c r="E74" s="1456"/>
      <c r="F74" s="1456"/>
      <c r="G74" s="1456"/>
      <c r="H74" s="1456"/>
      <c r="I74" s="1456"/>
      <c r="J74" s="1457"/>
      <c r="N74" s="10">
        <v>0.15</v>
      </c>
      <c r="O74" s="1389">
        <f t="shared" ref="O74:O75" si="23">$O$69/(1+N74)</f>
        <v>138260869.56521741</v>
      </c>
      <c r="P74" s="1390"/>
      <c r="Q74" s="1391">
        <f t="shared" si="21"/>
        <v>56372387.733217403</v>
      </c>
      <c r="R74" s="1392"/>
      <c r="S74" s="161">
        <f t="shared" si="22"/>
        <v>0.40772481693836482</v>
      </c>
    </row>
    <row r="75" spans="2:19" ht="18" customHeight="1" x14ac:dyDescent="0.3">
      <c r="B75" s="100">
        <v>4</v>
      </c>
      <c r="C75" s="1455"/>
      <c r="D75" s="1456"/>
      <c r="E75" s="1456"/>
      <c r="F75" s="1456"/>
      <c r="G75" s="1456"/>
      <c r="H75" s="1456"/>
      <c r="I75" s="1456"/>
      <c r="J75" s="1457"/>
      <c r="N75" s="10">
        <v>0.2</v>
      </c>
      <c r="O75" s="1389">
        <f t="shared" si="23"/>
        <v>132500000</v>
      </c>
      <c r="P75" s="1390"/>
      <c r="Q75" s="1391">
        <f t="shared" si="21"/>
        <v>50611518.167999998</v>
      </c>
      <c r="R75" s="1392"/>
      <c r="S75" s="161">
        <f t="shared" si="22"/>
        <v>0.38197372202264152</v>
      </c>
    </row>
    <row r="76" spans="2:19" ht="18" customHeight="1" thickBot="1" x14ac:dyDescent="0.35">
      <c r="B76" s="100">
        <v>5</v>
      </c>
      <c r="C76" s="1393"/>
      <c r="D76" s="1394"/>
      <c r="E76" s="1394"/>
      <c r="F76" s="1394"/>
      <c r="G76" s="1394"/>
      <c r="H76" s="1394"/>
      <c r="I76" s="1394"/>
      <c r="J76" s="1395"/>
      <c r="N76" s="12" t="s">
        <v>45</v>
      </c>
      <c r="O76" s="1396">
        <v>0</v>
      </c>
      <c r="P76" s="1397"/>
      <c r="Q76" s="1398">
        <f t="shared" si="21"/>
        <v>-81888481.832000002</v>
      </c>
      <c r="R76" s="1399"/>
      <c r="S76" s="99" t="e">
        <f t="shared" si="22"/>
        <v>#DIV/0!</v>
      </c>
    </row>
    <row r="77" spans="2:19" ht="18" customHeight="1" thickBot="1" x14ac:dyDescent="0.35">
      <c r="B77" s="100">
        <v>6</v>
      </c>
      <c r="C77" s="1393"/>
      <c r="D77" s="1394"/>
      <c r="E77" s="1394"/>
      <c r="F77" s="1394"/>
      <c r="G77" s="1394"/>
      <c r="H77" s="1394"/>
      <c r="I77" s="1394"/>
      <c r="J77" s="1395"/>
    </row>
    <row r="78" spans="2:19" s="103" customFormat="1" ht="18" customHeight="1" thickBot="1" x14ac:dyDescent="0.35">
      <c r="B78" s="100">
        <v>7</v>
      </c>
      <c r="C78" s="747"/>
      <c r="D78" s="748"/>
      <c r="E78" s="748"/>
      <c r="F78" s="748"/>
      <c r="G78" s="748"/>
      <c r="H78" s="748"/>
      <c r="I78" s="748"/>
      <c r="J78" s="749"/>
      <c r="K78" s="1"/>
      <c r="L78" s="1"/>
      <c r="M78" s="1"/>
      <c r="N78" s="1410" t="s">
        <v>47</v>
      </c>
      <c r="O78" s="1411"/>
      <c r="P78" s="1412" t="s">
        <v>48</v>
      </c>
      <c r="Q78" s="1413"/>
      <c r="R78" s="1414" t="s">
        <v>49</v>
      </c>
      <c r="S78" s="1415"/>
    </row>
    <row r="79" spans="2:19" ht="18" customHeight="1" x14ac:dyDescent="0.3">
      <c r="B79" s="100">
        <v>8</v>
      </c>
      <c r="C79" s="1393"/>
      <c r="D79" s="1394"/>
      <c r="E79" s="1394"/>
      <c r="F79" s="1394"/>
      <c r="G79" s="1394"/>
      <c r="H79" s="1394"/>
      <c r="I79" s="1394"/>
      <c r="J79" s="1395"/>
      <c r="N79" s="1416"/>
      <c r="O79" s="1417"/>
      <c r="P79" s="1422"/>
      <c r="Q79" s="1423"/>
      <c r="R79" s="1428"/>
      <c r="S79" s="1429"/>
    </row>
    <row r="80" spans="2:19" ht="18" customHeight="1" x14ac:dyDescent="0.3">
      <c r="B80" s="100"/>
      <c r="C80" s="1434"/>
      <c r="D80" s="1435"/>
      <c r="E80" s="1435"/>
      <c r="F80" s="1435"/>
      <c r="G80" s="1435"/>
      <c r="H80" s="1435"/>
      <c r="I80" s="1435"/>
      <c r="J80" s="1436"/>
      <c r="N80" s="1418"/>
      <c r="O80" s="1419"/>
      <c r="P80" s="1424"/>
      <c r="Q80" s="1425"/>
      <c r="R80" s="1430"/>
      <c r="S80" s="1431"/>
    </row>
    <row r="81" spans="1:19" ht="18" customHeight="1" x14ac:dyDescent="0.3">
      <c r="B81" s="100"/>
      <c r="C81" s="1434"/>
      <c r="D81" s="1435"/>
      <c r="E81" s="1435"/>
      <c r="F81" s="1435"/>
      <c r="G81" s="1435"/>
      <c r="H81" s="1435"/>
      <c r="I81" s="1435"/>
      <c r="J81" s="1436"/>
      <c r="N81" s="1418"/>
      <c r="O81" s="1419"/>
      <c r="P81" s="1424"/>
      <c r="Q81" s="1425"/>
      <c r="R81" s="1430"/>
      <c r="S81" s="1431"/>
    </row>
    <row r="82" spans="1:19" ht="18" customHeight="1" thickBot="1" x14ac:dyDescent="0.35">
      <c r="B82" s="101"/>
      <c r="C82" s="1407"/>
      <c r="D82" s="1408"/>
      <c r="E82" s="1408"/>
      <c r="F82" s="1408"/>
      <c r="G82" s="1408"/>
      <c r="H82" s="1408"/>
      <c r="I82" s="1408"/>
      <c r="J82" s="1409"/>
      <c r="N82" s="1420"/>
      <c r="O82" s="1421"/>
      <c r="P82" s="1426"/>
      <c r="Q82" s="1427"/>
      <c r="R82" s="1432"/>
      <c r="S82" s="1433"/>
    </row>
    <row r="83" spans="1:19" ht="18" customHeight="1" x14ac:dyDescent="0.3"/>
    <row r="84" spans="1:19" ht="18" customHeight="1" x14ac:dyDescent="0.3"/>
    <row r="85" spans="1:19" ht="18" customHeight="1" x14ac:dyDescent="0.3"/>
    <row r="86" spans="1:19" s="3" customFormat="1" x14ac:dyDescent="0.3">
      <c r="A86"/>
      <c r="B86" s="2"/>
      <c r="C86" s="2"/>
      <c r="D86" s="2"/>
      <c r="E86" s="2"/>
      <c r="K86" s="1"/>
      <c r="L86" s="1"/>
      <c r="M86" s="1"/>
      <c r="N86" s="5"/>
      <c r="O86" s="1"/>
      <c r="P86" s="1"/>
      <c r="Q86"/>
      <c r="R86"/>
      <c r="S86" s="93"/>
    </row>
    <row r="87" spans="1:19" s="3" customFormat="1" x14ac:dyDescent="0.3">
      <c r="A87"/>
      <c r="B87" s="2"/>
      <c r="C87" s="2"/>
      <c r="D87" s="2"/>
      <c r="E87" s="2"/>
      <c r="K87" s="1"/>
      <c r="L87" s="1"/>
      <c r="M87" s="1"/>
      <c r="N87" s="5"/>
      <c r="O87" s="1"/>
      <c r="P87" s="1"/>
      <c r="Q87"/>
      <c r="R87"/>
      <c r="S87" s="93"/>
    </row>
    <row r="88" spans="1:19" s="3" customFormat="1" x14ac:dyDescent="0.3">
      <c r="A88"/>
      <c r="B88" s="2"/>
      <c r="C88" s="2"/>
      <c r="D88" s="2"/>
      <c r="E88" s="2"/>
      <c r="K88" s="1"/>
      <c r="L88" s="1"/>
      <c r="M88" s="1"/>
      <c r="N88" s="5"/>
      <c r="O88" s="1"/>
      <c r="P88" s="1"/>
      <c r="Q88"/>
      <c r="R88"/>
      <c r="S88" s="93"/>
    </row>
    <row r="89" spans="1:19" s="3" customFormat="1" x14ac:dyDescent="0.3">
      <c r="A89"/>
      <c r="B89" s="2"/>
      <c r="C89" s="2"/>
      <c r="D89" s="2"/>
      <c r="E89" s="2"/>
      <c r="K89" s="1"/>
      <c r="L89" s="1"/>
      <c r="M89" s="1"/>
      <c r="N89" s="5"/>
      <c r="O89" s="1"/>
      <c r="P89" s="1"/>
      <c r="Q89"/>
      <c r="R89"/>
      <c r="S89" s="93"/>
    </row>
    <row r="90" spans="1:19" s="3" customFormat="1" x14ac:dyDescent="0.3">
      <c r="A90"/>
      <c r="B90" s="2"/>
      <c r="C90" s="2"/>
      <c r="D90" s="2"/>
      <c r="E90" s="2"/>
      <c r="K90" s="1"/>
      <c r="L90" s="1"/>
      <c r="M90" s="1"/>
      <c r="N90" s="5"/>
      <c r="O90" s="1"/>
      <c r="P90" s="1"/>
      <c r="Q90"/>
      <c r="R90"/>
      <c r="S90" s="93"/>
    </row>
  </sheetData>
  <mergeCells count="138">
    <mergeCell ref="A2:S2"/>
    <mergeCell ref="Q3:S3"/>
    <mergeCell ref="B4:E4"/>
    <mergeCell ref="O4:P4"/>
    <mergeCell ref="Q4:R4"/>
    <mergeCell ref="O5:P5"/>
    <mergeCell ref="Q5:R5"/>
    <mergeCell ref="O9:P9"/>
    <mergeCell ref="Q9:R9"/>
    <mergeCell ref="O10:P10"/>
    <mergeCell ref="Q10:R10"/>
    <mergeCell ref="O11:P11"/>
    <mergeCell ref="Q11:R11"/>
    <mergeCell ref="O6:P6"/>
    <mergeCell ref="Q6:R6"/>
    <mergeCell ref="O7:P7"/>
    <mergeCell ref="Q7:R7"/>
    <mergeCell ref="O8:P8"/>
    <mergeCell ref="Q8:R8"/>
    <mergeCell ref="O16:P16"/>
    <mergeCell ref="Q16:R17"/>
    <mergeCell ref="O17:P17"/>
    <mergeCell ref="Q20:R21"/>
    <mergeCell ref="O22:P22"/>
    <mergeCell ref="Q22:R23"/>
    <mergeCell ref="O23:P23"/>
    <mergeCell ref="Q12:R12"/>
    <mergeCell ref="O13:P13"/>
    <mergeCell ref="Q13:R13"/>
    <mergeCell ref="O14:P14"/>
    <mergeCell ref="Q14:R14"/>
    <mergeCell ref="O15:P15"/>
    <mergeCell ref="Q15:R15"/>
    <mergeCell ref="O31:P31"/>
    <mergeCell ref="Q31:R31"/>
    <mergeCell ref="O32:P32"/>
    <mergeCell ref="Q32:R32"/>
    <mergeCell ref="O33:P33"/>
    <mergeCell ref="Q33:R33"/>
    <mergeCell ref="Q27:R27"/>
    <mergeCell ref="O28:P28"/>
    <mergeCell ref="Q28:R28"/>
    <mergeCell ref="O29:P29"/>
    <mergeCell ref="Q29:R29"/>
    <mergeCell ref="O30:P30"/>
    <mergeCell ref="Q30:R30"/>
    <mergeCell ref="O38:P38"/>
    <mergeCell ref="O39:P39"/>
    <mergeCell ref="Q39:R39"/>
    <mergeCell ref="O40:P40"/>
    <mergeCell ref="Q40:R40"/>
    <mergeCell ref="O41:P41"/>
    <mergeCell ref="O34:P34"/>
    <mergeCell ref="Q34:R34"/>
    <mergeCell ref="O35:P35"/>
    <mergeCell ref="Q35:R35"/>
    <mergeCell ref="O36:P36"/>
    <mergeCell ref="O37:P37"/>
    <mergeCell ref="Q37:R37"/>
    <mergeCell ref="O47:P47"/>
    <mergeCell ref="Q47:R47"/>
    <mergeCell ref="O48:P48"/>
    <mergeCell ref="Q48:R48"/>
    <mergeCell ref="O49:P49"/>
    <mergeCell ref="Q49:R49"/>
    <mergeCell ref="O42:P42"/>
    <mergeCell ref="O43:P43"/>
    <mergeCell ref="O44:P44"/>
    <mergeCell ref="O45:P45"/>
    <mergeCell ref="Q45:R45"/>
    <mergeCell ref="O46:P46"/>
    <mergeCell ref="Q46:R46"/>
    <mergeCell ref="O54:P54"/>
    <mergeCell ref="Q54:R54"/>
    <mergeCell ref="O55:P55"/>
    <mergeCell ref="Q55:R55"/>
    <mergeCell ref="O56:P56"/>
    <mergeCell ref="Q56:R56"/>
    <mergeCell ref="O50:P50"/>
    <mergeCell ref="B52:L52"/>
    <mergeCell ref="O52:P52"/>
    <mergeCell ref="Q52:R52"/>
    <mergeCell ref="O53:P53"/>
    <mergeCell ref="Q53:R53"/>
    <mergeCell ref="B65:L65"/>
    <mergeCell ref="O65:P65"/>
    <mergeCell ref="Q65:S65"/>
    <mergeCell ref="B66:L66"/>
    <mergeCell ref="O66:P66"/>
    <mergeCell ref="Q66:S66"/>
    <mergeCell ref="O57:P57"/>
    <mergeCell ref="Q57:R57"/>
    <mergeCell ref="O58:P58"/>
    <mergeCell ref="Q58:R64"/>
    <mergeCell ref="O59:P59"/>
    <mergeCell ref="O60:P60"/>
    <mergeCell ref="O61:P61"/>
    <mergeCell ref="O62:P62"/>
    <mergeCell ref="O63:P63"/>
    <mergeCell ref="O64:P64"/>
    <mergeCell ref="B69:L69"/>
    <mergeCell ref="O69:P69"/>
    <mergeCell ref="Q69:S69"/>
    <mergeCell ref="B71:E71"/>
    <mergeCell ref="O71:P71"/>
    <mergeCell ref="Q71:R71"/>
    <mergeCell ref="B67:L67"/>
    <mergeCell ref="O67:P67"/>
    <mergeCell ref="Q67:S67"/>
    <mergeCell ref="B68:L68"/>
    <mergeCell ref="O68:P68"/>
    <mergeCell ref="Q68:S68"/>
    <mergeCell ref="C74:J74"/>
    <mergeCell ref="O74:P74"/>
    <mergeCell ref="Q74:R74"/>
    <mergeCell ref="C75:J75"/>
    <mergeCell ref="O75:P75"/>
    <mergeCell ref="Q75:R75"/>
    <mergeCell ref="C72:J72"/>
    <mergeCell ref="O72:P72"/>
    <mergeCell ref="Q72:R72"/>
    <mergeCell ref="C73:J73"/>
    <mergeCell ref="O73:P73"/>
    <mergeCell ref="Q73:R73"/>
    <mergeCell ref="C79:J79"/>
    <mergeCell ref="N79:O82"/>
    <mergeCell ref="P79:Q82"/>
    <mergeCell ref="R79:S82"/>
    <mergeCell ref="C80:J80"/>
    <mergeCell ref="C81:J81"/>
    <mergeCell ref="C82:J82"/>
    <mergeCell ref="C76:J76"/>
    <mergeCell ref="O76:P76"/>
    <mergeCell ref="Q76:R76"/>
    <mergeCell ref="C77:J77"/>
    <mergeCell ref="N78:O78"/>
    <mergeCell ref="P78:Q78"/>
    <mergeCell ref="R78:S78"/>
  </mergeCells>
  <phoneticPr fontId="2" type="noConversion"/>
  <pageMargins left="0.25" right="0.25" top="0.75" bottom="0.75" header="0.3" footer="0.3"/>
  <pageSetup paperSize="9" scale="44" fitToWidth="0" orientation="landscape" horizontalDpi="300" r:id="rId1"/>
  <headerFooter>
    <oddFooter>&amp;R&amp;D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F15C-43F7-448B-97C4-EC919009F536}">
  <sheetPr>
    <pageSetUpPr fitToPage="1"/>
  </sheetPr>
  <dimension ref="A1:AF93"/>
  <sheetViews>
    <sheetView zoomScale="85" zoomScaleNormal="85" zoomScaleSheetLayoutView="100" zoomScalePageLayoutView="85" workbookViewId="0">
      <selection activeCell="H12" sqref="H12"/>
    </sheetView>
  </sheetViews>
  <sheetFormatPr defaultRowHeight="16.5" x14ac:dyDescent="0.3"/>
  <cols>
    <col min="1" max="1" width="1.625" customWidth="1"/>
    <col min="2" max="5" width="3.375" style="2" customWidth="1"/>
    <col min="6" max="6" width="57.25" style="3" customWidth="1"/>
    <col min="7" max="7" width="25.625" style="3" bestFit="1" customWidth="1"/>
    <col min="8" max="9" width="16.625" style="3" customWidth="1"/>
    <col min="10" max="10" width="6.625" style="3" customWidth="1"/>
    <col min="11" max="13" width="16.625" style="1" customWidth="1"/>
    <col min="14" max="14" width="12.625" style="5" customWidth="1"/>
    <col min="15" max="15" width="9.625" style="1" customWidth="1"/>
    <col min="16" max="16" width="12.625" style="1" customWidth="1"/>
    <col min="17" max="18" width="22.375" customWidth="1"/>
    <col min="19" max="19" width="21.875" style="93" customWidth="1"/>
    <col min="20" max="20" width="9" style="70"/>
    <col min="21" max="21" width="11.5" style="70" bestFit="1" customWidth="1"/>
    <col min="22" max="16384" width="9" style="70"/>
  </cols>
  <sheetData>
    <row r="1" spans="1:32" ht="9.9499999999999993" customHeight="1" x14ac:dyDescent="0.3"/>
    <row r="2" spans="1:32" ht="26.25" x14ac:dyDescent="0.3">
      <c r="A2" s="1445" t="s">
        <v>592</v>
      </c>
      <c r="B2" s="1445"/>
      <c r="C2" s="1445"/>
      <c r="D2" s="1445"/>
      <c r="E2" s="1445"/>
      <c r="F2" s="1445"/>
      <c r="G2" s="1445"/>
      <c r="H2" s="1445"/>
      <c r="I2" s="1445"/>
      <c r="J2" s="1445"/>
      <c r="K2" s="1445"/>
      <c r="L2" s="1445"/>
      <c r="M2" s="1445"/>
      <c r="N2" s="1445"/>
      <c r="O2" s="1445"/>
      <c r="P2" s="1445"/>
      <c r="Q2" s="1445"/>
      <c r="R2" s="1445"/>
      <c r="S2" s="1445"/>
    </row>
    <row r="3" spans="1:32" ht="17.25" thickBot="1" x14ac:dyDescent="0.35">
      <c r="Q3" s="1446">
        <v>45435</v>
      </c>
      <c r="R3" s="1446"/>
      <c r="S3" s="1446"/>
    </row>
    <row r="4" spans="1:32" ht="18" thickBot="1" x14ac:dyDescent="0.35">
      <c r="B4" s="1318" t="s">
        <v>491</v>
      </c>
      <c r="C4" s="1319"/>
      <c r="D4" s="1319"/>
      <c r="E4" s="1320"/>
      <c r="F4" s="6" t="s">
        <v>56</v>
      </c>
      <c r="G4" s="6" t="s">
        <v>55</v>
      </c>
      <c r="H4" s="6" t="s">
        <v>0</v>
      </c>
      <c r="I4" s="6" t="s">
        <v>43</v>
      </c>
      <c r="J4" s="6" t="s">
        <v>4</v>
      </c>
      <c r="K4" s="7" t="s">
        <v>12</v>
      </c>
      <c r="L4" s="8" t="s">
        <v>39</v>
      </c>
      <c r="M4" s="8" t="s">
        <v>5</v>
      </c>
      <c r="N4" s="141" t="s">
        <v>13</v>
      </c>
      <c r="O4" s="1321" t="s">
        <v>6</v>
      </c>
      <c r="P4" s="1322"/>
      <c r="Q4" s="1319" t="s">
        <v>3</v>
      </c>
      <c r="R4" s="1323"/>
      <c r="S4" s="71" t="s">
        <v>59</v>
      </c>
    </row>
    <row r="5" spans="1:32" s="413" customFormat="1" ht="17.25" thickBot="1" x14ac:dyDescent="0.35">
      <c r="A5" s="82"/>
      <c r="B5" s="122" t="s">
        <v>2</v>
      </c>
      <c r="C5" s="116"/>
      <c r="D5" s="116"/>
      <c r="E5" s="117"/>
      <c r="F5" s="118" t="s">
        <v>265</v>
      </c>
      <c r="G5" s="119"/>
      <c r="H5" s="119"/>
      <c r="I5" s="119"/>
      <c r="J5" s="119"/>
      <c r="K5" s="272"/>
      <c r="L5" s="120"/>
      <c r="M5" s="121"/>
      <c r="N5" s="135"/>
      <c r="O5" s="1447"/>
      <c r="P5" s="1448"/>
      <c r="Q5" s="1326"/>
      <c r="R5" s="1327"/>
      <c r="S5" s="115"/>
      <c r="T5" s="70"/>
      <c r="U5" s="70"/>
      <c r="V5" s="70"/>
      <c r="W5" s="70"/>
      <c r="X5" s="70"/>
      <c r="Y5" s="70"/>
      <c r="Z5" s="70"/>
      <c r="AA5" s="70"/>
      <c r="AB5" s="70"/>
      <c r="AC5" s="70"/>
    </row>
    <row r="6" spans="1:32" s="394" customFormat="1" x14ac:dyDescent="0.3">
      <c r="A6" s="369"/>
      <c r="B6" s="62"/>
      <c r="C6" s="56" t="s">
        <v>2</v>
      </c>
      <c r="D6" s="56"/>
      <c r="E6" s="61"/>
      <c r="F6" s="269" t="s">
        <v>307</v>
      </c>
      <c r="G6" s="184" t="s">
        <v>433</v>
      </c>
      <c r="H6" s="185" t="s">
        <v>131</v>
      </c>
      <c r="I6" s="185" t="s">
        <v>131</v>
      </c>
      <c r="J6" s="184">
        <v>1</v>
      </c>
      <c r="K6" s="169">
        <f>(8210+3030+1140+2160+440)*0.6*1.071*1400</f>
        <v>13476607.199999999</v>
      </c>
      <c r="L6" s="55">
        <v>24756000</v>
      </c>
      <c r="M6" s="164">
        <f>J6*K6</f>
        <v>13476607.199999999</v>
      </c>
      <c r="N6" s="503">
        <v>0</v>
      </c>
      <c r="O6" s="1472">
        <f t="shared" ref="O6:O11" si="0">J6*L6/(1-N6)</f>
        <v>24756000</v>
      </c>
      <c r="P6" s="1473"/>
      <c r="Q6" s="1330" t="s">
        <v>437</v>
      </c>
      <c r="R6" s="1331"/>
      <c r="S6" s="505"/>
      <c r="T6" s="400"/>
      <c r="U6" s="400"/>
      <c r="V6" s="400"/>
      <c r="W6" s="400"/>
      <c r="X6" s="400"/>
      <c r="Y6" s="400"/>
      <c r="Z6" s="400"/>
      <c r="AA6" s="400"/>
      <c r="AB6" s="400"/>
      <c r="AC6" s="400"/>
    </row>
    <row r="7" spans="1:32" s="369" customFormat="1" x14ac:dyDescent="0.3">
      <c r="B7" s="683"/>
      <c r="C7" s="679"/>
      <c r="D7" s="684" t="s">
        <v>73</v>
      </c>
      <c r="E7" s="685"/>
      <c r="F7" s="686" t="s">
        <v>372</v>
      </c>
      <c r="G7" s="679">
        <v>720268</v>
      </c>
      <c r="H7" s="687" t="s">
        <v>131</v>
      </c>
      <c r="I7" s="687" t="s">
        <v>131</v>
      </c>
      <c r="J7" s="679">
        <v>2</v>
      </c>
      <c r="K7" s="656">
        <f>(1190)*0.606*1.071*1400</f>
        <v>1081277.3159999999</v>
      </c>
      <c r="L7" s="657">
        <v>1806000</v>
      </c>
      <c r="M7" s="688">
        <f t="shared" ref="M7:M30" si="1">J7*K7</f>
        <v>2162554.6319999998</v>
      </c>
      <c r="N7" s="689">
        <v>0</v>
      </c>
      <c r="O7" s="1560">
        <f t="shared" si="0"/>
        <v>3612000</v>
      </c>
      <c r="P7" s="1561"/>
      <c r="Q7" s="1562" t="s">
        <v>595</v>
      </c>
      <c r="R7" s="1563"/>
      <c r="S7" s="470"/>
      <c r="T7" s="370"/>
      <c r="U7" s="370"/>
    </row>
    <row r="8" spans="1:32" ht="16.149999999999999" customHeight="1" x14ac:dyDescent="0.3">
      <c r="B8" s="683"/>
      <c r="C8" s="679"/>
      <c r="D8" s="679"/>
      <c r="E8" s="685" t="s">
        <v>73</v>
      </c>
      <c r="F8" s="686" t="s">
        <v>281</v>
      </c>
      <c r="G8" s="679">
        <v>758933</v>
      </c>
      <c r="H8" s="687" t="s">
        <v>131</v>
      </c>
      <c r="I8" s="687" t="s">
        <v>131</v>
      </c>
      <c r="J8" s="679">
        <v>4</v>
      </c>
      <c r="K8" s="656">
        <f>(35)*0.643*1.071*1400</f>
        <v>33743.996999999996</v>
      </c>
      <c r="L8" s="703">
        <v>62000</v>
      </c>
      <c r="M8" s="688">
        <f t="shared" si="1"/>
        <v>134975.98799999998</v>
      </c>
      <c r="N8" s="689">
        <v>0</v>
      </c>
      <c r="O8" s="1560">
        <f t="shared" si="0"/>
        <v>248000</v>
      </c>
      <c r="P8" s="1561"/>
      <c r="Q8" s="1562" t="s">
        <v>596</v>
      </c>
      <c r="R8" s="1563"/>
      <c r="S8" s="212"/>
    </row>
    <row r="9" spans="1:32" ht="16.149999999999999" customHeight="1" x14ac:dyDescent="0.3">
      <c r="B9" s="683"/>
      <c r="C9" s="679"/>
      <c r="D9" s="679"/>
      <c r="E9" s="685" t="s">
        <v>73</v>
      </c>
      <c r="F9" s="686" t="s">
        <v>283</v>
      </c>
      <c r="G9" s="679">
        <v>758921</v>
      </c>
      <c r="H9" s="687" t="s">
        <v>131</v>
      </c>
      <c r="I9" s="687" t="s">
        <v>131</v>
      </c>
      <c r="J9" s="679">
        <v>4</v>
      </c>
      <c r="K9" s="656">
        <f>(30)*0.643*1.071*1400</f>
        <v>28923.425999999996</v>
      </c>
      <c r="L9" s="703">
        <v>54000</v>
      </c>
      <c r="M9" s="688">
        <f t="shared" si="1"/>
        <v>115693.70399999998</v>
      </c>
      <c r="N9" s="689">
        <v>0</v>
      </c>
      <c r="O9" s="1560">
        <f t="shared" si="0"/>
        <v>216000</v>
      </c>
      <c r="P9" s="1561"/>
      <c r="Q9" s="1562" t="s">
        <v>597</v>
      </c>
      <c r="R9" s="1563"/>
      <c r="S9" s="212"/>
    </row>
    <row r="10" spans="1:32" s="413" customFormat="1" x14ac:dyDescent="0.3">
      <c r="A10" s="82"/>
      <c r="B10" s="662"/>
      <c r="C10" s="663"/>
      <c r="D10" s="664"/>
      <c r="E10" s="663"/>
      <c r="F10" s="665" t="s">
        <v>377</v>
      </c>
      <c r="G10" s="664">
        <v>758924</v>
      </c>
      <c r="H10" s="664" t="s">
        <v>40</v>
      </c>
      <c r="I10" s="666" t="s">
        <v>40</v>
      </c>
      <c r="J10" s="664">
        <v>0</v>
      </c>
      <c r="K10" s="667">
        <f>(60)*0.643*1.071*1400</f>
        <v>57846.851999999992</v>
      </c>
      <c r="L10" s="667">
        <v>109000</v>
      </c>
      <c r="M10" s="668">
        <f t="shared" si="1"/>
        <v>0</v>
      </c>
      <c r="N10" s="669">
        <v>0</v>
      </c>
      <c r="O10" s="733">
        <f t="shared" si="0"/>
        <v>0</v>
      </c>
      <c r="P10" s="734"/>
      <c r="Q10" s="1558" t="s">
        <v>623</v>
      </c>
      <c r="R10" s="1559"/>
      <c r="S10" s="212"/>
      <c r="T10" s="70"/>
      <c r="U10" s="70"/>
      <c r="V10" s="70"/>
      <c r="W10" s="70"/>
      <c r="X10" s="70"/>
      <c r="Y10" s="70"/>
      <c r="Z10" s="70"/>
      <c r="AA10" s="70"/>
    </row>
    <row r="11" spans="1:32" s="369" customFormat="1" x14ac:dyDescent="0.3">
      <c r="B11" s="683"/>
      <c r="C11" s="679"/>
      <c r="D11" s="684" t="s">
        <v>73</v>
      </c>
      <c r="E11" s="685"/>
      <c r="F11" s="686" t="s">
        <v>310</v>
      </c>
      <c r="G11" s="679">
        <v>701251</v>
      </c>
      <c r="H11" s="687" t="s">
        <v>131</v>
      </c>
      <c r="I11" s="687" t="s">
        <v>131</v>
      </c>
      <c r="J11" s="679">
        <v>2</v>
      </c>
      <c r="K11" s="656">
        <f>(1190)*0.606*1.071*1400</f>
        <v>1081277.3159999999</v>
      </c>
      <c r="L11" s="656">
        <v>1806000</v>
      </c>
      <c r="M11" s="688">
        <f t="shared" si="1"/>
        <v>2162554.6319999998</v>
      </c>
      <c r="N11" s="689">
        <v>0</v>
      </c>
      <c r="O11" s="1560">
        <f t="shared" si="0"/>
        <v>3612000</v>
      </c>
      <c r="P11" s="1561"/>
      <c r="Q11" s="1562" t="s">
        <v>598</v>
      </c>
      <c r="R11" s="1563"/>
      <c r="S11" s="470"/>
      <c r="T11" s="370"/>
      <c r="U11" s="370"/>
    </row>
    <row r="12" spans="1:32" s="394" customFormat="1" x14ac:dyDescent="0.3">
      <c r="A12" s="369"/>
      <c r="B12" s="62"/>
      <c r="C12" s="56"/>
      <c r="D12" s="63"/>
      <c r="E12" s="61" t="s">
        <v>73</v>
      </c>
      <c r="F12" s="504" t="s">
        <v>489</v>
      </c>
      <c r="G12" s="56">
        <v>702916</v>
      </c>
      <c r="H12" s="482" t="s">
        <v>131</v>
      </c>
      <c r="I12" s="482" t="s">
        <v>131</v>
      </c>
      <c r="J12" s="56">
        <v>1</v>
      </c>
      <c r="K12" s="169">
        <f>(6450)*0.6*1.071*1400</f>
        <v>5802677.9999999991</v>
      </c>
      <c r="L12" s="55">
        <v>8712000</v>
      </c>
      <c r="M12" s="418">
        <f>J12*K12</f>
        <v>5802677.9999999991</v>
      </c>
      <c r="N12" s="503">
        <v>0</v>
      </c>
      <c r="O12" s="1472">
        <f>J12*L12/(1-N12)</f>
        <v>8712000</v>
      </c>
      <c r="P12" s="1473"/>
      <c r="Q12" s="1474" t="s">
        <v>490</v>
      </c>
      <c r="R12" s="1475"/>
      <c r="S12" s="212"/>
      <c r="T12" s="400"/>
      <c r="U12" s="400"/>
      <c r="V12" s="400"/>
      <c r="W12" s="400"/>
      <c r="X12" s="400"/>
      <c r="Y12" s="400"/>
      <c r="Z12" s="400"/>
      <c r="AA12" s="400"/>
      <c r="AB12" s="400"/>
    </row>
    <row r="13" spans="1:32" s="394" customFormat="1" x14ac:dyDescent="0.3">
      <c r="A13" s="369"/>
      <c r="B13" s="62"/>
      <c r="C13" s="56"/>
      <c r="D13" s="63"/>
      <c r="E13" s="61" t="s">
        <v>73</v>
      </c>
      <c r="F13" s="504" t="s">
        <v>487</v>
      </c>
      <c r="G13" s="56">
        <v>701930</v>
      </c>
      <c r="H13" s="482" t="s">
        <v>40</v>
      </c>
      <c r="I13" s="482" t="s">
        <v>40</v>
      </c>
      <c r="J13" s="56">
        <v>1</v>
      </c>
      <c r="K13" s="169">
        <f>(3630)*0.704*1.071*1400</f>
        <v>3831746.6879999996</v>
      </c>
      <c r="L13" s="55">
        <v>5748000</v>
      </c>
      <c r="M13" s="418">
        <f>J13*K13</f>
        <v>3831746.6879999996</v>
      </c>
      <c r="N13" s="503">
        <v>0</v>
      </c>
      <c r="O13" s="1472">
        <f>J13*L13/(1-N13)</f>
        <v>5748000</v>
      </c>
      <c r="P13" s="1473"/>
      <c r="Q13" s="1474" t="s">
        <v>486</v>
      </c>
      <c r="R13" s="1475"/>
      <c r="S13" s="212"/>
      <c r="T13" s="400"/>
      <c r="U13" s="400"/>
      <c r="V13" s="400"/>
      <c r="W13" s="400"/>
      <c r="X13" s="400"/>
      <c r="Y13" s="400"/>
      <c r="Z13" s="400"/>
      <c r="AA13" s="400"/>
      <c r="AB13" s="400"/>
    </row>
    <row r="14" spans="1:32" ht="16.149999999999999" customHeight="1" x14ac:dyDescent="0.3">
      <c r="B14" s="62"/>
      <c r="C14" s="56"/>
      <c r="D14" s="63" t="s">
        <v>73</v>
      </c>
      <c r="E14" s="61"/>
      <c r="F14" s="174" t="s">
        <v>368</v>
      </c>
      <c r="G14" s="56">
        <v>701265</v>
      </c>
      <c r="H14" s="482" t="s">
        <v>131</v>
      </c>
      <c r="I14" s="482" t="s">
        <v>131</v>
      </c>
      <c r="J14" s="56">
        <v>3</v>
      </c>
      <c r="K14" s="169">
        <f>(1140)*0.606*1.071*1400</f>
        <v>1035845.4959999999</v>
      </c>
      <c r="L14" s="392">
        <v>1723000</v>
      </c>
      <c r="M14" s="475">
        <f>J14*K14</f>
        <v>3107536.4879999999</v>
      </c>
      <c r="N14" s="503">
        <v>0</v>
      </c>
      <c r="O14" s="1472">
        <f>J14*L14/(1-N14)</f>
        <v>5169000</v>
      </c>
      <c r="P14" s="1473"/>
      <c r="Q14" s="1474" t="s">
        <v>375</v>
      </c>
      <c r="R14" s="1475"/>
      <c r="S14" s="212"/>
    </row>
    <row r="15" spans="1:32" s="369" customFormat="1" x14ac:dyDescent="0.3">
      <c r="B15" s="650"/>
      <c r="C15" s="651" t="s">
        <v>73</v>
      </c>
      <c r="D15" s="651"/>
      <c r="E15" s="652"/>
      <c r="F15" s="653" t="s">
        <v>399</v>
      </c>
      <c r="G15" s="654" t="s">
        <v>336</v>
      </c>
      <c r="H15" s="655" t="s">
        <v>337</v>
      </c>
      <c r="I15" s="655" t="s">
        <v>337</v>
      </c>
      <c r="J15" s="654">
        <v>1</v>
      </c>
      <c r="K15" s="657">
        <f>690000*8.7116</f>
        <v>6011004.0000000009</v>
      </c>
      <c r="L15" s="757">
        <v>11825000</v>
      </c>
      <c r="M15" s="658">
        <f>J15*K15</f>
        <v>6011004.0000000009</v>
      </c>
      <c r="N15" s="659">
        <v>0</v>
      </c>
      <c r="O15" s="1449">
        <f t="shared" ref="O15:O16" si="2">J15*L15/(1-N15)</f>
        <v>11825000</v>
      </c>
      <c r="P15" s="1450"/>
      <c r="Q15" s="1451" t="s">
        <v>586</v>
      </c>
      <c r="R15" s="1452"/>
      <c r="S15" s="204"/>
      <c r="T15" s="682" t="s">
        <v>585</v>
      </c>
      <c r="U15" s="562"/>
      <c r="V15" s="370"/>
      <c r="W15" s="370"/>
      <c r="X15" s="370"/>
      <c r="Y15" s="370"/>
      <c r="Z15" s="370"/>
      <c r="AA15" s="370"/>
      <c r="AB15" s="370"/>
      <c r="AC15" s="370"/>
      <c r="AD15" s="370"/>
      <c r="AE15" s="370"/>
      <c r="AF15" s="370"/>
    </row>
    <row r="16" spans="1:32" s="413" customFormat="1" x14ac:dyDescent="0.3">
      <c r="A16" s="82"/>
      <c r="B16" s="662"/>
      <c r="C16" s="663"/>
      <c r="D16" s="664"/>
      <c r="E16" s="663"/>
      <c r="F16" s="665" t="s">
        <v>546</v>
      </c>
      <c r="G16" s="664" t="s">
        <v>425</v>
      </c>
      <c r="H16" s="664" t="s">
        <v>142</v>
      </c>
      <c r="I16" s="666" t="s">
        <v>64</v>
      </c>
      <c r="J16" s="664">
        <v>0</v>
      </c>
      <c r="K16" s="667">
        <f>L16*0.75</f>
        <v>1731750</v>
      </c>
      <c r="L16" s="667">
        <v>2309000</v>
      </c>
      <c r="M16" s="668">
        <f>J16*K16</f>
        <v>0</v>
      </c>
      <c r="N16" s="669">
        <v>0</v>
      </c>
      <c r="O16" s="733">
        <f t="shared" si="2"/>
        <v>0</v>
      </c>
      <c r="P16" s="734"/>
      <c r="Q16" s="1558"/>
      <c r="R16" s="1559"/>
      <c r="S16" s="212"/>
      <c r="T16" s="70"/>
      <c r="U16" s="70"/>
      <c r="V16" s="70"/>
      <c r="W16" s="70"/>
      <c r="X16" s="70"/>
      <c r="Y16" s="70"/>
      <c r="Z16" s="70"/>
      <c r="AA16" s="70"/>
    </row>
    <row r="17" spans="1:29" s="528" customFormat="1" x14ac:dyDescent="0.3">
      <c r="A17" s="512"/>
      <c r="B17" s="62"/>
      <c r="C17" s="63" t="s">
        <v>2</v>
      </c>
      <c r="D17" s="63"/>
      <c r="E17" s="61"/>
      <c r="F17" s="174" t="s">
        <v>459</v>
      </c>
      <c r="G17" s="507" t="s">
        <v>195</v>
      </c>
      <c r="H17" s="56" t="s">
        <v>142</v>
      </c>
      <c r="I17" s="56" t="s">
        <v>64</v>
      </c>
      <c r="J17" s="56">
        <v>1</v>
      </c>
      <c r="K17" s="55">
        <f>L17*0.75</f>
        <v>14394750</v>
      </c>
      <c r="L17" s="55">
        <f>19193000</f>
        <v>19193000</v>
      </c>
      <c r="M17" s="418">
        <f t="shared" si="1"/>
        <v>14394750</v>
      </c>
      <c r="N17" s="503">
        <v>0</v>
      </c>
      <c r="O17" s="1472">
        <f>L17*J17</f>
        <v>19193000</v>
      </c>
      <c r="P17" s="1473"/>
      <c r="Q17" s="1484" t="s">
        <v>410</v>
      </c>
      <c r="R17" s="1485"/>
      <c r="S17" s="212"/>
      <c r="T17" s="70"/>
      <c r="U17" s="70"/>
      <c r="V17" s="70"/>
      <c r="W17" s="70"/>
      <c r="X17" s="70"/>
      <c r="Y17" s="70"/>
      <c r="Z17" s="70"/>
      <c r="AA17" s="70"/>
      <c r="AB17" s="70"/>
    </row>
    <row r="18" spans="1:29" s="528" customFormat="1" x14ac:dyDescent="0.3">
      <c r="A18" s="512"/>
      <c r="B18" s="62"/>
      <c r="C18" s="63"/>
      <c r="D18" s="63" t="s">
        <v>2</v>
      </c>
      <c r="E18" s="61"/>
      <c r="F18" s="174" t="s">
        <v>460</v>
      </c>
      <c r="G18" s="507" t="s">
        <v>461</v>
      </c>
      <c r="H18" s="56" t="s">
        <v>142</v>
      </c>
      <c r="I18" s="56" t="s">
        <v>64</v>
      </c>
      <c r="J18" s="56">
        <f t="shared" ref="J18" si="3">1*2</f>
        <v>2</v>
      </c>
      <c r="K18" s="55">
        <f>L18*0.75</f>
        <v>14008500</v>
      </c>
      <c r="L18" s="55">
        <v>18678000</v>
      </c>
      <c r="M18" s="418">
        <f t="shared" si="1"/>
        <v>28017000</v>
      </c>
      <c r="N18" s="503">
        <v>0</v>
      </c>
      <c r="O18" s="1472">
        <f>L18*J18</f>
        <v>37356000</v>
      </c>
      <c r="P18" s="1473"/>
      <c r="Q18" s="1486"/>
      <c r="R18" s="1487"/>
      <c r="S18" s="212"/>
      <c r="T18" s="70"/>
      <c r="U18" s="70"/>
      <c r="V18" s="70"/>
      <c r="W18" s="70"/>
      <c r="X18" s="70"/>
      <c r="Y18" s="70"/>
      <c r="Z18" s="70"/>
      <c r="AA18" s="70"/>
      <c r="AB18" s="70"/>
    </row>
    <row r="19" spans="1:29" s="413" customFormat="1" x14ac:dyDescent="0.3">
      <c r="A19" s="82"/>
      <c r="B19" s="494"/>
      <c r="C19" s="495"/>
      <c r="D19" s="403"/>
      <c r="E19" s="495"/>
      <c r="F19" s="404" t="s">
        <v>256</v>
      </c>
      <c r="G19" s="403" t="s">
        <v>336</v>
      </c>
      <c r="H19" s="403" t="s">
        <v>337</v>
      </c>
      <c r="I19" s="405"/>
      <c r="J19" s="403">
        <v>0</v>
      </c>
      <c r="K19" s="406"/>
      <c r="L19" s="406">
        <v>11140000</v>
      </c>
      <c r="M19" s="407">
        <f t="shared" si="1"/>
        <v>0</v>
      </c>
      <c r="N19" s="408">
        <v>0</v>
      </c>
      <c r="O19" s="741">
        <f t="shared" ref="O19:O27" si="4">J19*L19/(1-N19)</f>
        <v>0</v>
      </c>
      <c r="P19" s="742"/>
      <c r="Q19" s="1548" t="s">
        <v>481</v>
      </c>
      <c r="R19" s="1549"/>
      <c r="S19" s="212"/>
      <c r="T19" s="70"/>
      <c r="U19" s="70"/>
      <c r="V19" s="70"/>
      <c r="W19" s="70"/>
      <c r="X19" s="70"/>
      <c r="Y19" s="70"/>
      <c r="Z19" s="70"/>
      <c r="AA19" s="70"/>
    </row>
    <row r="20" spans="1:29" s="413" customFormat="1" x14ac:dyDescent="0.3">
      <c r="A20" s="82"/>
      <c r="B20" s="494"/>
      <c r="C20" s="495"/>
      <c r="D20" s="403"/>
      <c r="E20" s="495"/>
      <c r="F20" s="404" t="s">
        <v>399</v>
      </c>
      <c r="G20" s="403" t="s">
        <v>395</v>
      </c>
      <c r="H20" s="403" t="s">
        <v>394</v>
      </c>
      <c r="I20" s="405"/>
      <c r="J20" s="403">
        <v>0</v>
      </c>
      <c r="K20" s="406">
        <f>L20*0.75</f>
        <v>7717500</v>
      </c>
      <c r="L20" s="406">
        <v>10290000</v>
      </c>
      <c r="M20" s="407">
        <f t="shared" si="1"/>
        <v>0</v>
      </c>
      <c r="N20" s="408">
        <v>0</v>
      </c>
      <c r="O20" s="741">
        <f t="shared" si="4"/>
        <v>0</v>
      </c>
      <c r="P20" s="742"/>
      <c r="Q20" s="1550"/>
      <c r="R20" s="1551"/>
      <c r="S20" s="753"/>
      <c r="T20" s="70"/>
      <c r="U20" s="70"/>
      <c r="V20" s="70"/>
      <c r="W20" s="70"/>
      <c r="X20" s="70"/>
      <c r="Y20" s="70"/>
      <c r="Z20" s="70"/>
      <c r="AA20" s="70"/>
    </row>
    <row r="21" spans="1:29" s="394" customFormat="1" x14ac:dyDescent="0.3">
      <c r="A21" s="369"/>
      <c r="B21" s="583"/>
      <c r="C21" s="584"/>
      <c r="D21" s="584"/>
      <c r="E21" s="518"/>
      <c r="F21" s="519" t="s">
        <v>423</v>
      </c>
      <c r="G21" s="405" t="s">
        <v>273</v>
      </c>
      <c r="H21" s="405" t="s">
        <v>255</v>
      </c>
      <c r="I21" s="405"/>
      <c r="J21" s="405">
        <v>0</v>
      </c>
      <c r="K21" s="520">
        <f t="shared" ref="K21:K22" si="5">L21*0.75</f>
        <v>27652500</v>
      </c>
      <c r="L21" s="520">
        <v>36870000</v>
      </c>
      <c r="M21" s="407">
        <f t="shared" si="1"/>
        <v>0</v>
      </c>
      <c r="N21" s="521">
        <v>0</v>
      </c>
      <c r="O21" s="1546">
        <f t="shared" si="4"/>
        <v>0</v>
      </c>
      <c r="P21" s="1547"/>
      <c r="Q21" s="1548" t="s">
        <v>462</v>
      </c>
      <c r="R21" s="1549"/>
      <c r="S21" s="212"/>
      <c r="T21" s="400"/>
      <c r="U21" s="400"/>
      <c r="V21" s="400"/>
      <c r="W21" s="400"/>
      <c r="X21" s="400"/>
      <c r="Y21" s="400"/>
      <c r="Z21" s="400"/>
      <c r="AA21" s="400"/>
    </row>
    <row r="22" spans="1:29" s="528" customFormat="1" x14ac:dyDescent="0.3">
      <c r="A22" s="84"/>
      <c r="B22" s="583"/>
      <c r="C22" s="584"/>
      <c r="D22" s="584"/>
      <c r="E22" s="518"/>
      <c r="F22" s="519" t="s">
        <v>424</v>
      </c>
      <c r="G22" s="405" t="s">
        <v>274</v>
      </c>
      <c r="H22" s="405" t="s">
        <v>255</v>
      </c>
      <c r="I22" s="405"/>
      <c r="J22" s="405">
        <v>0</v>
      </c>
      <c r="K22" s="520">
        <f t="shared" si="5"/>
        <v>23730000</v>
      </c>
      <c r="L22" s="520">
        <v>31640000</v>
      </c>
      <c r="M22" s="407">
        <f t="shared" si="1"/>
        <v>0</v>
      </c>
      <c r="N22" s="521">
        <v>0</v>
      </c>
      <c r="O22" s="1546">
        <f t="shared" si="4"/>
        <v>0</v>
      </c>
      <c r="P22" s="1547"/>
      <c r="Q22" s="1550"/>
      <c r="R22" s="1551"/>
      <c r="S22" s="212"/>
      <c r="T22" s="70"/>
      <c r="U22" s="70"/>
      <c r="V22" s="70"/>
      <c r="W22" s="70"/>
      <c r="X22" s="70"/>
      <c r="Y22" s="70"/>
      <c r="Z22" s="70"/>
      <c r="AA22" s="70"/>
      <c r="AB22" s="70"/>
      <c r="AC22" s="70"/>
    </row>
    <row r="23" spans="1:29" s="413" customFormat="1" x14ac:dyDescent="0.3">
      <c r="A23" s="82"/>
      <c r="B23" s="494"/>
      <c r="C23" s="495"/>
      <c r="D23" s="403"/>
      <c r="E23" s="495"/>
      <c r="F23" s="404" t="s">
        <v>452</v>
      </c>
      <c r="G23" s="403" t="s">
        <v>453</v>
      </c>
      <c r="H23" s="403" t="s">
        <v>40</v>
      </c>
      <c r="I23" s="405" t="s">
        <v>40</v>
      </c>
      <c r="J23" s="403">
        <v>0</v>
      </c>
      <c r="K23" s="406">
        <f>1347*0.4*1.071*1400</f>
        <v>807876.72</v>
      </c>
      <c r="L23" s="406">
        <v>1584000</v>
      </c>
      <c r="M23" s="407">
        <f>J23*K23</f>
        <v>0</v>
      </c>
      <c r="N23" s="408">
        <v>0</v>
      </c>
      <c r="O23" s="741">
        <f>J23*L23/(1-N23)</f>
        <v>0</v>
      </c>
      <c r="P23" s="742"/>
      <c r="Q23" s="1564" t="s">
        <v>451</v>
      </c>
      <c r="R23" s="1565"/>
      <c r="S23" s="212"/>
      <c r="T23" s="70"/>
      <c r="U23" s="70"/>
      <c r="V23" s="70"/>
      <c r="W23" s="70"/>
      <c r="X23" s="70"/>
      <c r="Y23" s="70"/>
      <c r="Z23" s="70"/>
      <c r="AA23" s="70"/>
    </row>
    <row r="24" spans="1:29" s="413" customFormat="1" x14ac:dyDescent="0.3">
      <c r="A24" s="82"/>
      <c r="B24" s="494"/>
      <c r="C24" s="495"/>
      <c r="D24" s="403"/>
      <c r="E24" s="495"/>
      <c r="F24" s="404" t="s">
        <v>454</v>
      </c>
      <c r="G24" s="403" t="s">
        <v>455</v>
      </c>
      <c r="H24" s="403" t="s">
        <v>40</v>
      </c>
      <c r="I24" s="405" t="s">
        <v>40</v>
      </c>
      <c r="J24" s="403">
        <v>0</v>
      </c>
      <c r="K24" s="406">
        <f>287*0.4*1.071*1400</f>
        <v>172131.12</v>
      </c>
      <c r="L24" s="406">
        <v>338000</v>
      </c>
      <c r="M24" s="407">
        <f>J24*K24</f>
        <v>0</v>
      </c>
      <c r="N24" s="408">
        <v>0</v>
      </c>
      <c r="O24" s="741">
        <f>J24*L24/(1-N24)</f>
        <v>0</v>
      </c>
      <c r="P24" s="742"/>
      <c r="Q24" s="1564" t="s">
        <v>451</v>
      </c>
      <c r="R24" s="1565"/>
      <c r="S24" s="212"/>
      <c r="T24" s="70"/>
      <c r="U24" s="70"/>
      <c r="V24" s="70"/>
      <c r="W24" s="70"/>
      <c r="X24" s="70"/>
      <c r="Y24" s="70"/>
      <c r="Z24" s="70"/>
      <c r="AA24" s="70"/>
    </row>
    <row r="25" spans="1:29" s="413" customFormat="1" x14ac:dyDescent="0.3">
      <c r="A25" s="82"/>
      <c r="B25" s="494"/>
      <c r="C25" s="495"/>
      <c r="D25" s="403"/>
      <c r="E25" s="495"/>
      <c r="F25" s="404" t="s">
        <v>456</v>
      </c>
      <c r="G25" s="403" t="s">
        <v>222</v>
      </c>
      <c r="H25" s="403" t="s">
        <v>40</v>
      </c>
      <c r="I25" s="405" t="s">
        <v>40</v>
      </c>
      <c r="J25" s="403">
        <v>0</v>
      </c>
      <c r="K25" s="406">
        <f>934*0.4*1.071*1400</f>
        <v>560175.84000000008</v>
      </c>
      <c r="L25" s="406">
        <v>1114000</v>
      </c>
      <c r="M25" s="407">
        <f>J25*K25</f>
        <v>0</v>
      </c>
      <c r="N25" s="408">
        <v>0</v>
      </c>
      <c r="O25" s="741">
        <f>J25*L25/(1-N25)</f>
        <v>0</v>
      </c>
      <c r="P25" s="742"/>
      <c r="Q25" s="1564" t="s">
        <v>451</v>
      </c>
      <c r="R25" s="1565"/>
      <c r="S25" s="212"/>
      <c r="T25" s="70"/>
      <c r="U25" s="70"/>
      <c r="V25" s="70"/>
      <c r="W25" s="70"/>
      <c r="X25" s="70"/>
      <c r="Y25" s="70"/>
      <c r="Z25" s="70"/>
      <c r="AA25" s="70"/>
    </row>
    <row r="26" spans="1:29" s="413" customFormat="1" x14ac:dyDescent="0.3">
      <c r="A26" s="82"/>
      <c r="B26" s="494"/>
      <c r="C26" s="495"/>
      <c r="D26" s="403"/>
      <c r="E26" s="495"/>
      <c r="F26" s="404" t="s">
        <v>457</v>
      </c>
      <c r="G26" s="403" t="s">
        <v>458</v>
      </c>
      <c r="H26" s="403" t="s">
        <v>40</v>
      </c>
      <c r="I26" s="405" t="s">
        <v>40</v>
      </c>
      <c r="J26" s="403">
        <v>0</v>
      </c>
      <c r="K26" s="406">
        <f>59*0.4*1.071*1400</f>
        <v>35385.840000000004</v>
      </c>
      <c r="L26" s="406">
        <v>97000</v>
      </c>
      <c r="M26" s="407">
        <f>J26*K26</f>
        <v>0</v>
      </c>
      <c r="N26" s="408">
        <v>0</v>
      </c>
      <c r="O26" s="741">
        <f>J26*L26/(1-N26)</f>
        <v>0</v>
      </c>
      <c r="P26" s="742"/>
      <c r="Q26" s="1564" t="s">
        <v>451</v>
      </c>
      <c r="R26" s="1565"/>
      <c r="S26" s="212"/>
      <c r="T26" s="70"/>
      <c r="U26" s="70"/>
      <c r="V26" s="70"/>
      <c r="W26" s="70"/>
      <c r="X26" s="70"/>
      <c r="Y26" s="70"/>
      <c r="Z26" s="70"/>
      <c r="AA26" s="70"/>
    </row>
    <row r="27" spans="1:29" s="394" customFormat="1" x14ac:dyDescent="0.3">
      <c r="B27" s="583"/>
      <c r="C27" s="405"/>
      <c r="D27" s="584"/>
      <c r="E27" s="518"/>
      <c r="F27" s="519" t="s">
        <v>449</v>
      </c>
      <c r="G27" s="405" t="s">
        <v>450</v>
      </c>
      <c r="H27" s="525" t="s">
        <v>40</v>
      </c>
      <c r="I27" s="525" t="s">
        <v>40</v>
      </c>
      <c r="J27" s="405">
        <v>0</v>
      </c>
      <c r="K27" s="406">
        <f>1417*0.45*1.071*1400</f>
        <v>956092.40999999992</v>
      </c>
      <c r="L27" s="520">
        <v>1385000</v>
      </c>
      <c r="M27" s="599">
        <f t="shared" si="1"/>
        <v>0</v>
      </c>
      <c r="N27" s="521">
        <v>0</v>
      </c>
      <c r="O27" s="1546">
        <f t="shared" si="4"/>
        <v>0</v>
      </c>
      <c r="P27" s="1547"/>
      <c r="Q27" s="1564" t="s">
        <v>451</v>
      </c>
      <c r="R27" s="1565"/>
      <c r="S27" s="212"/>
      <c r="T27" s="400"/>
      <c r="U27" s="400"/>
      <c r="V27" s="400"/>
      <c r="W27" s="400"/>
      <c r="X27" s="400"/>
      <c r="Y27" s="400"/>
      <c r="Z27" s="400"/>
      <c r="AA27" s="400"/>
      <c r="AB27" s="400"/>
      <c r="AC27" s="400"/>
    </row>
    <row r="28" spans="1:29" s="413" customFormat="1" x14ac:dyDescent="0.3">
      <c r="A28" s="82"/>
      <c r="B28" s="494"/>
      <c r="C28" s="495"/>
      <c r="D28" s="403"/>
      <c r="E28" s="495"/>
      <c r="F28" s="404" t="s">
        <v>435</v>
      </c>
      <c r="G28" s="403">
        <v>720254</v>
      </c>
      <c r="H28" s="403" t="s">
        <v>40</v>
      </c>
      <c r="I28" s="405" t="s">
        <v>40</v>
      </c>
      <c r="J28" s="403">
        <v>0</v>
      </c>
      <c r="K28" s="406">
        <f>(1950)*0.57*1.071*1400</f>
        <v>1666583.1</v>
      </c>
      <c r="L28" s="406">
        <v>2737000</v>
      </c>
      <c r="M28" s="407">
        <f t="shared" si="1"/>
        <v>0</v>
      </c>
      <c r="N28" s="408">
        <v>0</v>
      </c>
      <c r="O28" s="741">
        <f>J28*L28/(1-N28)</f>
        <v>0</v>
      </c>
      <c r="P28" s="742"/>
      <c r="Q28" s="1548" t="s">
        <v>448</v>
      </c>
      <c r="R28" s="1549"/>
      <c r="S28" s="212"/>
      <c r="T28" s="70"/>
      <c r="U28" s="70"/>
      <c r="V28" s="70"/>
      <c r="W28" s="70"/>
      <c r="X28" s="70"/>
      <c r="Y28" s="70"/>
      <c r="Z28" s="70"/>
      <c r="AA28" s="70"/>
    </row>
    <row r="29" spans="1:29" s="413" customFormat="1" x14ac:dyDescent="0.3">
      <c r="A29" s="82"/>
      <c r="B29" s="494"/>
      <c r="C29" s="495"/>
      <c r="D29" s="403"/>
      <c r="E29" s="495"/>
      <c r="F29" s="404" t="s">
        <v>466</v>
      </c>
      <c r="G29" s="403">
        <v>701901</v>
      </c>
      <c r="H29" s="403" t="s">
        <v>40</v>
      </c>
      <c r="I29" s="405" t="s">
        <v>40</v>
      </c>
      <c r="J29" s="403">
        <v>0</v>
      </c>
      <c r="K29" s="406">
        <f>(50)*0.642*1.071*1400</f>
        <v>48130.74</v>
      </c>
      <c r="L29" s="406">
        <v>104000</v>
      </c>
      <c r="M29" s="407">
        <f t="shared" si="1"/>
        <v>0</v>
      </c>
      <c r="N29" s="408">
        <v>0</v>
      </c>
      <c r="O29" s="741">
        <f>J29*L29/(1-N29)</f>
        <v>0</v>
      </c>
      <c r="P29" s="742"/>
      <c r="Q29" s="1550" t="s">
        <v>468</v>
      </c>
      <c r="R29" s="1551"/>
      <c r="S29" s="753"/>
      <c r="T29" s="70"/>
      <c r="U29" s="70"/>
      <c r="V29" s="70"/>
      <c r="W29" s="70"/>
      <c r="X29" s="70"/>
      <c r="Y29" s="70"/>
      <c r="Z29" s="70"/>
      <c r="AA29" s="70"/>
    </row>
    <row r="30" spans="1:29" s="394" customFormat="1" x14ac:dyDescent="0.3">
      <c r="A30" s="369"/>
      <c r="B30" s="583"/>
      <c r="C30" s="584"/>
      <c r="D30" s="584"/>
      <c r="E30" s="518"/>
      <c r="F30" s="519" t="s">
        <v>283</v>
      </c>
      <c r="G30" s="405">
        <v>758921</v>
      </c>
      <c r="H30" s="405" t="s">
        <v>40</v>
      </c>
      <c r="I30" s="405" t="s">
        <v>131</v>
      </c>
      <c r="J30" s="405">
        <v>0</v>
      </c>
      <c r="K30" s="520">
        <f>(30)*0.643*1.071*1400</f>
        <v>28923.425999999996</v>
      </c>
      <c r="L30" s="520">
        <v>54000</v>
      </c>
      <c r="M30" s="407">
        <f t="shared" si="1"/>
        <v>0</v>
      </c>
      <c r="N30" s="521">
        <v>0</v>
      </c>
      <c r="O30" s="1546">
        <f>J30*L30/(1-N30)</f>
        <v>0</v>
      </c>
      <c r="P30" s="1547"/>
      <c r="Q30" s="750" t="s">
        <v>469</v>
      </c>
      <c r="R30" s="751"/>
      <c r="S30" s="212"/>
      <c r="T30" s="400"/>
      <c r="U30" s="400"/>
      <c r="V30" s="400"/>
      <c r="W30" s="400"/>
      <c r="X30" s="400"/>
      <c r="Y30" s="400"/>
      <c r="Z30" s="400"/>
      <c r="AA30" s="400"/>
    </row>
    <row r="31" spans="1:29" s="528" customFormat="1" ht="17.25" thickBot="1" x14ac:dyDescent="0.35">
      <c r="A31" s="84"/>
      <c r="B31" s="581"/>
      <c r="C31" s="184"/>
      <c r="D31" s="184"/>
      <c r="E31" s="582"/>
      <c r="F31" s="156"/>
      <c r="G31" s="155"/>
      <c r="H31" s="155"/>
      <c r="I31" s="155"/>
      <c r="J31" s="184"/>
      <c r="K31" s="199"/>
      <c r="L31" s="55"/>
      <c r="M31" s="164"/>
      <c r="N31" s="158"/>
      <c r="O31" s="1498"/>
      <c r="P31" s="1499"/>
      <c r="Q31" s="745"/>
      <c r="R31" s="746"/>
      <c r="S31" s="204"/>
      <c r="T31" s="70"/>
      <c r="U31" s="70"/>
      <c r="V31" s="70"/>
      <c r="W31" s="70"/>
      <c r="X31" s="70"/>
      <c r="Y31" s="70"/>
      <c r="Z31" s="70"/>
      <c r="AA31" s="70"/>
      <c r="AB31" s="70"/>
      <c r="AC31" s="70"/>
    </row>
    <row r="32" spans="1:29" s="528" customFormat="1" ht="17.25" thickBot="1" x14ac:dyDescent="0.35">
      <c r="A32" s="84"/>
      <c r="B32" s="587" t="s">
        <v>2</v>
      </c>
      <c r="C32" s="588"/>
      <c r="D32" s="588"/>
      <c r="E32" s="589"/>
      <c r="F32" s="270" t="s">
        <v>266</v>
      </c>
      <c r="G32" s="590"/>
      <c r="H32" s="590"/>
      <c r="I32" s="590"/>
      <c r="J32" s="590"/>
      <c r="K32" s="590"/>
      <c r="L32" s="591"/>
      <c r="M32" s="592"/>
      <c r="N32" s="593"/>
      <c r="O32" s="1324"/>
      <c r="P32" s="1325"/>
      <c r="Q32" s="1326"/>
      <c r="R32" s="1327"/>
      <c r="S32" s="115"/>
      <c r="T32" s="70"/>
      <c r="U32" s="70"/>
      <c r="V32" s="70"/>
      <c r="W32" s="70"/>
      <c r="X32" s="70"/>
      <c r="Y32" s="70"/>
      <c r="Z32" s="70"/>
      <c r="AA32" s="70"/>
      <c r="AB32" s="70"/>
      <c r="AC32" s="70"/>
    </row>
    <row r="33" spans="1:31" s="413" customFormat="1" x14ac:dyDescent="0.3">
      <c r="A33" s="82"/>
      <c r="B33" s="500"/>
      <c r="C33" s="501" t="s">
        <v>2</v>
      </c>
      <c r="D33" s="144"/>
      <c r="E33" s="145"/>
      <c r="F33" s="146" t="s">
        <v>541</v>
      </c>
      <c r="G33" s="80" t="s">
        <v>278</v>
      </c>
      <c r="H33" s="80" t="s">
        <v>80</v>
      </c>
      <c r="I33" s="80" t="s">
        <v>240</v>
      </c>
      <c r="J33" s="80">
        <v>1</v>
      </c>
      <c r="K33" s="446">
        <f t="shared" ref="K33:K36" si="6">L33*0.95</f>
        <v>2422500</v>
      </c>
      <c r="L33" s="758">
        <v>2550000</v>
      </c>
      <c r="M33" s="756">
        <f>J33*K33</f>
        <v>2422500</v>
      </c>
      <c r="N33" s="148">
        <v>0</v>
      </c>
      <c r="O33" s="1328">
        <f t="shared" ref="O33:O36" si="7">J33*L33/(1-N33)</f>
        <v>2550000</v>
      </c>
      <c r="P33" s="1329"/>
      <c r="Q33" s="1482"/>
      <c r="R33" s="1483"/>
      <c r="S33" s="287"/>
      <c r="T33" s="273"/>
    </row>
    <row r="34" spans="1:31" s="82" customFormat="1" x14ac:dyDescent="0.3">
      <c r="A34" s="84"/>
      <c r="B34" s="615"/>
      <c r="C34" s="499"/>
      <c r="D34" s="499" t="s">
        <v>2</v>
      </c>
      <c r="E34" s="151"/>
      <c r="F34" s="156" t="s">
        <v>538</v>
      </c>
      <c r="G34" s="155" t="s">
        <v>311</v>
      </c>
      <c r="H34" s="155" t="s">
        <v>80</v>
      </c>
      <c r="I34" s="155" t="s">
        <v>430</v>
      </c>
      <c r="J34" s="155">
        <v>2</v>
      </c>
      <c r="K34" s="157">
        <f t="shared" si="6"/>
        <v>2242000</v>
      </c>
      <c r="L34" s="157">
        <v>2360000</v>
      </c>
      <c r="M34" s="164">
        <f t="shared" ref="M34:M36" si="8">J34*K34</f>
        <v>4484000</v>
      </c>
      <c r="N34" s="158">
        <v>0</v>
      </c>
      <c r="O34" s="1328">
        <f t="shared" si="7"/>
        <v>4720000</v>
      </c>
      <c r="P34" s="1329"/>
      <c r="Q34" s="1330" t="s">
        <v>560</v>
      </c>
      <c r="R34" s="1331"/>
      <c r="S34" s="289"/>
      <c r="T34" s="606" t="s">
        <v>552</v>
      </c>
      <c r="U34"/>
      <c r="V34"/>
      <c r="W34"/>
      <c r="X34"/>
      <c r="Y34"/>
      <c r="Z34"/>
      <c r="AA34"/>
      <c r="AB34"/>
      <c r="AC34"/>
      <c r="AD34"/>
      <c r="AE34"/>
    </row>
    <row r="35" spans="1:31" x14ac:dyDescent="0.3">
      <c r="B35" s="498"/>
      <c r="C35" s="499"/>
      <c r="D35" s="499" t="s">
        <v>2</v>
      </c>
      <c r="E35" s="151"/>
      <c r="F35" s="156" t="s">
        <v>536</v>
      </c>
      <c r="G35" s="155" t="s">
        <v>316</v>
      </c>
      <c r="H35" s="155" t="s">
        <v>80</v>
      </c>
      <c r="I35" s="155" t="s">
        <v>430</v>
      </c>
      <c r="J35" s="155">
        <v>1</v>
      </c>
      <c r="K35" s="157">
        <f t="shared" si="6"/>
        <v>836000</v>
      </c>
      <c r="L35" s="157">
        <v>880000</v>
      </c>
      <c r="M35" s="164">
        <f t="shared" si="8"/>
        <v>836000</v>
      </c>
      <c r="N35" s="158">
        <v>0</v>
      </c>
      <c r="O35" s="1328">
        <f t="shared" si="7"/>
        <v>880000</v>
      </c>
      <c r="P35" s="1329"/>
      <c r="Q35" s="1330" t="s">
        <v>579</v>
      </c>
      <c r="R35" s="1331"/>
      <c r="S35" s="204"/>
      <c r="T35" s="82" t="s">
        <v>533</v>
      </c>
    </row>
    <row r="36" spans="1:31" s="528" customFormat="1" x14ac:dyDescent="0.3">
      <c r="A36" s="84"/>
      <c r="B36" s="626"/>
      <c r="C36" s="499"/>
      <c r="D36" s="499" t="s">
        <v>2</v>
      </c>
      <c r="E36" s="582"/>
      <c r="F36" s="156" t="s">
        <v>534</v>
      </c>
      <c r="G36" s="155" t="s">
        <v>554</v>
      </c>
      <c r="H36" s="155" t="s">
        <v>80</v>
      </c>
      <c r="I36" s="155" t="s">
        <v>430</v>
      </c>
      <c r="J36" s="184">
        <v>1</v>
      </c>
      <c r="K36" s="55">
        <f t="shared" si="6"/>
        <v>1396500</v>
      </c>
      <c r="L36" s="55">
        <v>1470000</v>
      </c>
      <c r="M36" s="164">
        <f t="shared" si="8"/>
        <v>1396500</v>
      </c>
      <c r="N36" s="158">
        <v>0</v>
      </c>
      <c r="O36" s="1328">
        <f t="shared" si="7"/>
        <v>1470000</v>
      </c>
      <c r="P36" s="1329"/>
      <c r="Q36" s="1330" t="s">
        <v>593</v>
      </c>
      <c r="R36" s="1331"/>
      <c r="S36" s="204"/>
      <c r="T36" s="625" t="s">
        <v>555</v>
      </c>
      <c r="U36" s="70"/>
      <c r="V36" s="70"/>
      <c r="W36" s="70"/>
      <c r="X36" s="70"/>
      <c r="Y36" s="70"/>
      <c r="Z36" s="70"/>
      <c r="AA36" s="70"/>
    </row>
    <row r="37" spans="1:31" s="528" customFormat="1" ht="17.25" thickBot="1" x14ac:dyDescent="0.35">
      <c r="A37" s="84"/>
      <c r="B37" s="581"/>
      <c r="C37" s="184"/>
      <c r="D37" s="184"/>
      <c r="E37" s="582"/>
      <c r="F37" s="156"/>
      <c r="G37" s="155"/>
      <c r="H37" s="155"/>
      <c r="I37" s="155"/>
      <c r="J37" s="184"/>
      <c r="K37" s="199"/>
      <c r="L37" s="55"/>
      <c r="M37" s="164"/>
      <c r="N37" s="158"/>
      <c r="O37" s="735"/>
      <c r="P37" s="736"/>
      <c r="Q37" s="737"/>
      <c r="R37" s="738"/>
      <c r="S37" s="204"/>
      <c r="T37" s="70"/>
      <c r="U37" s="70"/>
      <c r="V37" s="70"/>
      <c r="W37" s="70"/>
      <c r="X37" s="70"/>
      <c r="Y37" s="70"/>
      <c r="Z37" s="70"/>
      <c r="AA37" s="70"/>
      <c r="AB37" s="70"/>
      <c r="AC37" s="70"/>
    </row>
    <row r="38" spans="1:31" s="528" customFormat="1" ht="17.25" thickBot="1" x14ac:dyDescent="0.35">
      <c r="A38" s="84"/>
      <c r="B38" s="587" t="s">
        <v>2</v>
      </c>
      <c r="C38" s="588"/>
      <c r="D38" s="588"/>
      <c r="E38" s="589"/>
      <c r="F38" s="270" t="s">
        <v>267</v>
      </c>
      <c r="G38" s="590"/>
      <c r="H38" s="590"/>
      <c r="I38" s="590"/>
      <c r="J38" s="590"/>
      <c r="K38" s="590"/>
      <c r="L38" s="591"/>
      <c r="M38" s="592"/>
      <c r="N38" s="593"/>
      <c r="O38" s="1324"/>
      <c r="P38" s="1325"/>
      <c r="Q38" s="1336"/>
      <c r="R38" s="1337"/>
      <c r="S38" s="115"/>
      <c r="T38" s="70"/>
      <c r="U38" s="70"/>
      <c r="V38" s="70"/>
      <c r="W38" s="70"/>
      <c r="X38" s="70"/>
      <c r="Y38" s="70"/>
      <c r="Z38" s="70"/>
      <c r="AA38" s="70"/>
      <c r="AB38" s="70"/>
      <c r="AC38" s="70"/>
    </row>
    <row r="39" spans="1:31" s="413" customFormat="1" x14ac:dyDescent="0.3">
      <c r="A39" s="82"/>
      <c r="B39" s="500"/>
      <c r="C39" s="501" t="s">
        <v>2</v>
      </c>
      <c r="D39" s="144"/>
      <c r="E39" s="145"/>
      <c r="F39" s="146" t="s">
        <v>418</v>
      </c>
      <c r="G39" s="144"/>
      <c r="H39" s="176" t="s">
        <v>60</v>
      </c>
      <c r="I39" s="144"/>
      <c r="J39" s="144">
        <v>1</v>
      </c>
      <c r="K39" s="157">
        <v>4000000</v>
      </c>
      <c r="L39" s="157">
        <v>4000000</v>
      </c>
      <c r="M39" s="163">
        <f>J39*K39</f>
        <v>4000000</v>
      </c>
      <c r="N39" s="148">
        <v>0.3</v>
      </c>
      <c r="O39" s="1480">
        <f t="shared" ref="O39:O56" si="9">J39*L39*(1+N39)</f>
        <v>5200000</v>
      </c>
      <c r="P39" s="1481"/>
      <c r="Q39" s="1482"/>
      <c r="R39" s="1483"/>
      <c r="S39" s="287"/>
      <c r="T39" s="413" t="s">
        <v>628</v>
      </c>
      <c r="U39" s="728">
        <f>(2000000+(300000*4))*1.2</f>
        <v>3840000</v>
      </c>
    </row>
    <row r="40" spans="1:31" s="413" customFormat="1" x14ac:dyDescent="0.3">
      <c r="A40" s="82"/>
      <c r="B40" s="498"/>
      <c r="C40" s="499"/>
      <c r="D40" s="155" t="s">
        <v>2</v>
      </c>
      <c r="E40" s="151"/>
      <c r="F40" s="156" t="s">
        <v>247</v>
      </c>
      <c r="G40" s="155" t="s">
        <v>248</v>
      </c>
      <c r="H40" s="155" t="s">
        <v>249</v>
      </c>
      <c r="I40" s="155" t="s">
        <v>249</v>
      </c>
      <c r="J40" s="155">
        <v>1</v>
      </c>
      <c r="K40" s="157">
        <v>530000</v>
      </c>
      <c r="L40" s="157">
        <v>530000</v>
      </c>
      <c r="M40" s="164">
        <f>J40*K40</f>
        <v>530000</v>
      </c>
      <c r="N40" s="158">
        <v>0.3</v>
      </c>
      <c r="O40" s="1328">
        <f t="shared" si="9"/>
        <v>689000</v>
      </c>
      <c r="P40" s="1329"/>
      <c r="Q40" s="737"/>
      <c r="R40" s="738"/>
      <c r="S40" s="152"/>
      <c r="U40" s="728"/>
    </row>
    <row r="41" spans="1:31" s="413" customFormat="1" x14ac:dyDescent="0.3">
      <c r="A41" s="82"/>
      <c r="B41" s="498"/>
      <c r="C41" s="499"/>
      <c r="D41" s="155" t="s">
        <v>2</v>
      </c>
      <c r="E41" s="151"/>
      <c r="F41" s="156" t="s">
        <v>250</v>
      </c>
      <c r="G41" s="155" t="s">
        <v>329</v>
      </c>
      <c r="H41" s="155" t="s">
        <v>330</v>
      </c>
      <c r="I41" s="155" t="s">
        <v>251</v>
      </c>
      <c r="J41" s="155">
        <v>1</v>
      </c>
      <c r="K41" s="157">
        <v>200000</v>
      </c>
      <c r="L41" s="157">
        <v>200000</v>
      </c>
      <c r="M41" s="164">
        <f>J41*K41</f>
        <v>200000</v>
      </c>
      <c r="N41" s="158">
        <v>0.3</v>
      </c>
      <c r="O41" s="1328">
        <f t="shared" si="9"/>
        <v>260000</v>
      </c>
      <c r="P41" s="1329"/>
      <c r="Q41" s="1330"/>
      <c r="R41" s="1331"/>
      <c r="S41" s="152"/>
      <c r="U41" s="728"/>
    </row>
    <row r="42" spans="1:31" s="413" customFormat="1" x14ac:dyDescent="0.3">
      <c r="A42" s="82"/>
      <c r="B42" s="498"/>
      <c r="C42" s="499"/>
      <c r="D42" s="155" t="s">
        <v>2</v>
      </c>
      <c r="E42" s="151"/>
      <c r="F42" s="156" t="s">
        <v>252</v>
      </c>
      <c r="G42" s="155" t="s">
        <v>253</v>
      </c>
      <c r="H42" s="155" t="s">
        <v>254</v>
      </c>
      <c r="I42" s="155" t="s">
        <v>254</v>
      </c>
      <c r="J42" s="184">
        <v>1</v>
      </c>
      <c r="K42" s="55">
        <v>3000000</v>
      </c>
      <c r="L42" s="55">
        <v>3000000</v>
      </c>
      <c r="M42" s="164">
        <f>J42*K42</f>
        <v>3000000</v>
      </c>
      <c r="N42" s="158">
        <v>0.3</v>
      </c>
      <c r="O42" s="1328">
        <f t="shared" si="9"/>
        <v>3900000</v>
      </c>
      <c r="P42" s="1329"/>
      <c r="Q42" s="737"/>
      <c r="R42" s="738"/>
      <c r="S42" s="204"/>
      <c r="U42" s="728"/>
    </row>
    <row r="43" spans="1:31" s="413" customFormat="1" x14ac:dyDescent="0.3">
      <c r="A43" s="82"/>
      <c r="B43" s="498"/>
      <c r="C43" s="499"/>
      <c r="D43" s="155" t="s">
        <v>2</v>
      </c>
      <c r="E43" s="151"/>
      <c r="F43" s="156" t="s">
        <v>245</v>
      </c>
      <c r="G43" s="155" t="s">
        <v>246</v>
      </c>
      <c r="H43" s="155" t="s">
        <v>183</v>
      </c>
      <c r="I43" s="155"/>
      <c r="J43" s="155">
        <v>1</v>
      </c>
      <c r="K43" s="157">
        <v>200000</v>
      </c>
      <c r="L43" s="157">
        <v>200000</v>
      </c>
      <c r="M43" s="164">
        <f t="shared" ref="M43" si="10">J43*K43</f>
        <v>200000</v>
      </c>
      <c r="N43" s="158">
        <v>0.3</v>
      </c>
      <c r="O43" s="1328">
        <f t="shared" si="9"/>
        <v>260000</v>
      </c>
      <c r="P43" s="1329"/>
      <c r="Q43" s="1330"/>
      <c r="R43" s="1331"/>
      <c r="S43" s="152"/>
      <c r="U43" s="728"/>
    </row>
    <row r="44" spans="1:31" s="528" customFormat="1" x14ac:dyDescent="0.3">
      <c r="A44" s="84"/>
      <c r="B44" s="581"/>
      <c r="C44" s="184"/>
      <c r="D44" s="184" t="s">
        <v>2</v>
      </c>
      <c r="E44" s="582"/>
      <c r="F44" s="156" t="s">
        <v>343</v>
      </c>
      <c r="G44" s="155" t="s">
        <v>334</v>
      </c>
      <c r="H44" s="155" t="s">
        <v>328</v>
      </c>
      <c r="I44" s="155"/>
      <c r="J44" s="184">
        <v>1</v>
      </c>
      <c r="K44" s="169">
        <v>450000</v>
      </c>
      <c r="L44" s="169">
        <v>500000</v>
      </c>
      <c r="M44" s="164">
        <f>J44*K44</f>
        <v>450000</v>
      </c>
      <c r="N44" s="158">
        <v>0</v>
      </c>
      <c r="O44" s="1328">
        <f t="shared" si="9"/>
        <v>500000</v>
      </c>
      <c r="P44" s="1329"/>
      <c r="Q44" s="1330" t="s">
        <v>522</v>
      </c>
      <c r="R44" s="1331"/>
      <c r="S44" s="204"/>
      <c r="T44" s="70"/>
      <c r="U44" s="716"/>
      <c r="V44" s="70"/>
      <c r="W44" s="70"/>
      <c r="X44" s="70"/>
      <c r="Y44" s="70"/>
      <c r="Z44" s="70"/>
      <c r="AA44" s="70"/>
    </row>
    <row r="45" spans="1:31" s="413" customFormat="1" x14ac:dyDescent="0.3">
      <c r="A45" s="82"/>
      <c r="B45" s="594"/>
      <c r="C45" s="184" t="s">
        <v>2</v>
      </c>
      <c r="D45" s="184"/>
      <c r="E45" s="595"/>
      <c r="F45" s="203" t="s">
        <v>268</v>
      </c>
      <c r="G45" s="176"/>
      <c r="H45" s="176"/>
      <c r="I45" s="155"/>
      <c r="J45" s="155">
        <v>1</v>
      </c>
      <c r="K45" s="157"/>
      <c r="L45" s="157"/>
      <c r="M45" s="164">
        <f t="shared" ref="M45:M50" si="11">J45*K45</f>
        <v>0</v>
      </c>
      <c r="N45" s="158">
        <v>0.3</v>
      </c>
      <c r="O45" s="735">
        <f t="shared" si="9"/>
        <v>0</v>
      </c>
      <c r="P45" s="736"/>
      <c r="Q45" s="737"/>
      <c r="R45" s="738"/>
      <c r="S45" s="152"/>
      <c r="U45" s="728"/>
    </row>
    <row r="46" spans="1:31" s="528" customFormat="1" x14ac:dyDescent="0.3">
      <c r="A46" s="84"/>
      <c r="B46" s="594"/>
      <c r="C46" s="176"/>
      <c r="D46" s="176" t="s">
        <v>2</v>
      </c>
      <c r="E46" s="595"/>
      <c r="F46" s="203" t="s">
        <v>284</v>
      </c>
      <c r="G46" s="176"/>
      <c r="H46" s="176" t="s">
        <v>60</v>
      </c>
      <c r="I46" s="155"/>
      <c r="J46" s="155">
        <v>1</v>
      </c>
      <c r="K46" s="157">
        <v>1000000</v>
      </c>
      <c r="L46" s="157">
        <v>1000000</v>
      </c>
      <c r="M46" s="164">
        <f>J46*K46</f>
        <v>1000000</v>
      </c>
      <c r="N46" s="158">
        <v>0.3</v>
      </c>
      <c r="O46" s="1328">
        <f t="shared" si="9"/>
        <v>1300000</v>
      </c>
      <c r="P46" s="1329"/>
      <c r="Q46" s="737"/>
      <c r="R46" s="738"/>
      <c r="S46" s="152"/>
      <c r="T46" s="413" t="s">
        <v>630</v>
      </c>
      <c r="U46" s="728">
        <f>(500000+(300000*1))*1.2</f>
        <v>960000</v>
      </c>
      <c r="V46" s="70"/>
      <c r="W46" s="70"/>
      <c r="X46" s="70"/>
      <c r="Y46" s="70"/>
      <c r="Z46" s="70"/>
      <c r="AA46" s="70"/>
    </row>
    <row r="47" spans="1:31" s="413" customFormat="1" x14ac:dyDescent="0.3">
      <c r="A47" s="82"/>
      <c r="B47" s="594"/>
      <c r="C47" s="176"/>
      <c r="D47" s="184" t="s">
        <v>2</v>
      </c>
      <c r="E47" s="595"/>
      <c r="F47" s="203" t="s">
        <v>519</v>
      </c>
      <c r="G47" s="176" t="s">
        <v>520</v>
      </c>
      <c r="H47" s="176" t="s">
        <v>521</v>
      </c>
      <c r="I47" s="155"/>
      <c r="J47" s="155">
        <v>6</v>
      </c>
      <c r="K47" s="157">
        <v>20000</v>
      </c>
      <c r="L47" s="157">
        <v>20000</v>
      </c>
      <c r="M47" s="164">
        <f t="shared" ref="M47" si="12">J47*K47</f>
        <v>120000</v>
      </c>
      <c r="N47" s="158">
        <v>0.3</v>
      </c>
      <c r="O47" s="1328">
        <f t="shared" si="9"/>
        <v>156000</v>
      </c>
      <c r="P47" s="1329"/>
      <c r="Q47" s="737"/>
      <c r="R47" s="738"/>
      <c r="S47" s="152"/>
      <c r="U47" s="728"/>
    </row>
    <row r="48" spans="1:31" s="413" customFormat="1" x14ac:dyDescent="0.3">
      <c r="A48" s="82"/>
      <c r="B48" s="594"/>
      <c r="C48" s="176"/>
      <c r="D48" s="184" t="s">
        <v>2</v>
      </c>
      <c r="E48" s="595"/>
      <c r="F48" s="203" t="s">
        <v>269</v>
      </c>
      <c r="G48" s="176" t="s">
        <v>270</v>
      </c>
      <c r="H48" s="176" t="s">
        <v>271</v>
      </c>
      <c r="I48" s="155"/>
      <c r="J48" s="155">
        <v>1</v>
      </c>
      <c r="K48" s="157">
        <v>120000</v>
      </c>
      <c r="L48" s="157">
        <v>120000</v>
      </c>
      <c r="M48" s="164">
        <f t="shared" si="11"/>
        <v>120000</v>
      </c>
      <c r="N48" s="158">
        <v>0.3</v>
      </c>
      <c r="O48" s="1328">
        <f t="shared" si="9"/>
        <v>156000</v>
      </c>
      <c r="P48" s="1329"/>
      <c r="Q48" s="1488"/>
      <c r="R48" s="1489"/>
      <c r="S48" s="152"/>
      <c r="U48" s="728"/>
    </row>
    <row r="49" spans="1:29" s="413" customFormat="1" x14ac:dyDescent="0.3">
      <c r="A49" s="82"/>
      <c r="B49" s="594"/>
      <c r="C49" s="176"/>
      <c r="D49" s="184" t="s">
        <v>2</v>
      </c>
      <c r="E49" s="595"/>
      <c r="F49" s="203" t="s">
        <v>516</v>
      </c>
      <c r="G49" s="176" t="s">
        <v>517</v>
      </c>
      <c r="H49" s="176" t="s">
        <v>518</v>
      </c>
      <c r="I49" s="155"/>
      <c r="J49" s="155">
        <v>7</v>
      </c>
      <c r="K49" s="157">
        <v>100000</v>
      </c>
      <c r="L49" s="157">
        <v>100000</v>
      </c>
      <c r="M49" s="164">
        <f t="shared" si="11"/>
        <v>700000</v>
      </c>
      <c r="N49" s="158">
        <v>0.3</v>
      </c>
      <c r="O49" s="1328">
        <f t="shared" si="9"/>
        <v>910000</v>
      </c>
      <c r="P49" s="1329"/>
      <c r="Q49" s="1488"/>
      <c r="R49" s="1489"/>
      <c r="S49" s="152"/>
      <c r="U49" s="728"/>
    </row>
    <row r="50" spans="1:29" s="413" customFormat="1" x14ac:dyDescent="0.3">
      <c r="A50" s="82"/>
      <c r="B50" s="181"/>
      <c r="C50" s="182"/>
      <c r="D50" s="182" t="s">
        <v>2</v>
      </c>
      <c r="E50" s="183"/>
      <c r="F50" s="388" t="s">
        <v>272</v>
      </c>
      <c r="G50" s="366" t="s">
        <v>625</v>
      </c>
      <c r="H50" s="366" t="s">
        <v>626</v>
      </c>
      <c r="I50" s="155"/>
      <c r="J50" s="155">
        <v>1</v>
      </c>
      <c r="K50" s="157">
        <v>250000</v>
      </c>
      <c r="L50" s="157">
        <v>250000</v>
      </c>
      <c r="M50" s="164">
        <f t="shared" si="11"/>
        <v>250000</v>
      </c>
      <c r="N50" s="158">
        <v>0.3</v>
      </c>
      <c r="O50" s="1328">
        <f t="shared" si="9"/>
        <v>325000</v>
      </c>
      <c r="P50" s="1329"/>
      <c r="Q50" s="1330" t="s">
        <v>572</v>
      </c>
      <c r="R50" s="1331"/>
      <c r="S50" s="152"/>
      <c r="U50" s="728"/>
    </row>
    <row r="51" spans="1:29" s="413" customFormat="1" x14ac:dyDescent="0.3">
      <c r="A51" s="82"/>
      <c r="B51" s="594"/>
      <c r="C51" s="176"/>
      <c r="D51" s="184" t="s">
        <v>2</v>
      </c>
      <c r="E51" s="595"/>
      <c r="F51" s="754" t="s">
        <v>355</v>
      </c>
      <c r="G51" s="366" t="s">
        <v>640</v>
      </c>
      <c r="H51" s="651" t="s">
        <v>636</v>
      </c>
      <c r="I51" s="651" t="s">
        <v>636</v>
      </c>
      <c r="J51" s="155">
        <v>1</v>
      </c>
      <c r="K51" s="157">
        <v>65000</v>
      </c>
      <c r="L51" s="157">
        <v>65000</v>
      </c>
      <c r="M51" s="164">
        <f>J51*K51</f>
        <v>65000</v>
      </c>
      <c r="N51" s="158">
        <v>0.3</v>
      </c>
      <c r="O51" s="1328">
        <f t="shared" si="9"/>
        <v>84500</v>
      </c>
      <c r="P51" s="1329"/>
      <c r="Q51" s="1330" t="s">
        <v>571</v>
      </c>
      <c r="R51" s="1331"/>
      <c r="S51" s="152"/>
      <c r="U51" s="728"/>
      <c r="V51" s="413" t="s">
        <v>346</v>
      </c>
      <c r="W51" s="413" t="s">
        <v>347</v>
      </c>
      <c r="X51" s="413" t="s">
        <v>344</v>
      </c>
    </row>
    <row r="52" spans="1:29" s="413" customFormat="1" x14ac:dyDescent="0.3">
      <c r="A52" s="82"/>
      <c r="B52" s="594"/>
      <c r="C52" s="176"/>
      <c r="D52" s="184" t="s">
        <v>2</v>
      </c>
      <c r="E52" s="595"/>
      <c r="F52" s="755" t="s">
        <v>641</v>
      </c>
      <c r="G52" s="654" t="s">
        <v>515</v>
      </c>
      <c r="H52" s="651" t="s">
        <v>636</v>
      </c>
      <c r="I52" s="651" t="s">
        <v>636</v>
      </c>
      <c r="J52" s="651">
        <v>1</v>
      </c>
      <c r="K52" s="675">
        <v>4500000</v>
      </c>
      <c r="L52" s="675">
        <v>4500000</v>
      </c>
      <c r="M52" s="164">
        <f t="shared" ref="M52:M53" si="13">J52*K52</f>
        <v>4500000</v>
      </c>
      <c r="N52" s="158">
        <v>0.3</v>
      </c>
      <c r="O52" s="1328">
        <f t="shared" si="9"/>
        <v>5850000</v>
      </c>
      <c r="P52" s="1329"/>
      <c r="Q52" s="1330" t="s">
        <v>573</v>
      </c>
      <c r="R52" s="1331"/>
      <c r="S52" s="473"/>
      <c r="U52" s="728"/>
      <c r="V52" s="413">
        <v>450</v>
      </c>
      <c r="W52" s="413">
        <v>40</v>
      </c>
      <c r="X52" s="413">
        <f>(V52^2)/W52</f>
        <v>5062.5</v>
      </c>
    </row>
    <row r="53" spans="1:29" s="413" customFormat="1" x14ac:dyDescent="0.3">
      <c r="A53" s="82"/>
      <c r="B53" s="594"/>
      <c r="C53" s="176"/>
      <c r="D53" s="184" t="s">
        <v>2</v>
      </c>
      <c r="E53" s="595"/>
      <c r="F53" s="755" t="s">
        <v>642</v>
      </c>
      <c r="G53" s="654" t="s">
        <v>514</v>
      </c>
      <c r="H53" s="651" t="s">
        <v>636</v>
      </c>
      <c r="I53" s="651" t="s">
        <v>636</v>
      </c>
      <c r="J53" s="651">
        <v>1</v>
      </c>
      <c r="K53" s="675"/>
      <c r="L53" s="675"/>
      <c r="M53" s="164">
        <f t="shared" si="13"/>
        <v>0</v>
      </c>
      <c r="N53" s="158">
        <v>0.3</v>
      </c>
      <c r="O53" s="1328">
        <f t="shared" si="9"/>
        <v>0</v>
      </c>
      <c r="P53" s="1329"/>
      <c r="Q53" s="1330" t="s">
        <v>574</v>
      </c>
      <c r="R53" s="1331"/>
      <c r="S53" s="473"/>
      <c r="U53" s="728"/>
      <c r="V53" s="413">
        <v>800</v>
      </c>
      <c r="W53" s="413">
        <v>40</v>
      </c>
      <c r="X53" s="413">
        <f>(V53^2)/W53</f>
        <v>16000</v>
      </c>
    </row>
    <row r="54" spans="1:29" s="413" customFormat="1" x14ac:dyDescent="0.3">
      <c r="A54" s="82"/>
      <c r="B54" s="594"/>
      <c r="C54" s="176"/>
      <c r="D54" s="176" t="s">
        <v>2</v>
      </c>
      <c r="E54" s="595"/>
      <c r="F54" s="754" t="s">
        <v>357</v>
      </c>
      <c r="G54" s="366" t="s">
        <v>640</v>
      </c>
      <c r="H54" s="651" t="s">
        <v>636</v>
      </c>
      <c r="I54" s="651" t="s">
        <v>636</v>
      </c>
      <c r="J54" s="155">
        <v>1</v>
      </c>
      <c r="K54" s="157">
        <v>65000</v>
      </c>
      <c r="L54" s="157">
        <v>65000</v>
      </c>
      <c r="M54" s="157">
        <v>70000</v>
      </c>
      <c r="N54" s="158">
        <v>0.3</v>
      </c>
      <c r="O54" s="1328">
        <f t="shared" si="9"/>
        <v>84500</v>
      </c>
      <c r="P54" s="1329"/>
      <c r="Q54" s="1330" t="s">
        <v>361</v>
      </c>
      <c r="R54" s="1331"/>
      <c r="S54" s="152"/>
      <c r="U54" s="728"/>
    </row>
    <row r="55" spans="1:29" s="413" customFormat="1" x14ac:dyDescent="0.3">
      <c r="A55" s="82"/>
      <c r="B55" s="671"/>
      <c r="C55" s="672"/>
      <c r="D55" s="672" t="s">
        <v>2</v>
      </c>
      <c r="E55" s="673"/>
      <c r="F55" s="755" t="s">
        <v>605</v>
      </c>
      <c r="G55" s="654"/>
      <c r="H55" s="651" t="s">
        <v>636</v>
      </c>
      <c r="I55" s="651" t="s">
        <v>636</v>
      </c>
      <c r="J55" s="651">
        <v>1</v>
      </c>
      <c r="K55" s="675">
        <v>10000</v>
      </c>
      <c r="L55" s="675">
        <v>10000</v>
      </c>
      <c r="M55" s="675">
        <f t="shared" ref="M55" si="14">J55*K55</f>
        <v>10000</v>
      </c>
      <c r="N55" s="659">
        <v>0.3</v>
      </c>
      <c r="O55" s="1449">
        <f t="shared" si="9"/>
        <v>13000</v>
      </c>
      <c r="P55" s="1450"/>
      <c r="Q55" s="1451" t="s">
        <v>589</v>
      </c>
      <c r="R55" s="1452"/>
      <c r="S55" s="152"/>
      <c r="U55" s="728"/>
    </row>
    <row r="56" spans="1:29" s="413" customFormat="1" x14ac:dyDescent="0.3">
      <c r="A56" s="82"/>
      <c r="B56" s="594"/>
      <c r="C56" s="176" t="s">
        <v>2</v>
      </c>
      <c r="D56" s="184"/>
      <c r="E56" s="595"/>
      <c r="F56" s="203" t="s">
        <v>419</v>
      </c>
      <c r="G56" s="176"/>
      <c r="H56" s="176" t="s">
        <v>60</v>
      </c>
      <c r="I56" s="155"/>
      <c r="J56" s="155">
        <v>1</v>
      </c>
      <c r="K56" s="157">
        <v>3500000</v>
      </c>
      <c r="L56" s="157">
        <v>3500000</v>
      </c>
      <c r="M56" s="164">
        <f>J56*K56</f>
        <v>3500000</v>
      </c>
      <c r="N56" s="158">
        <v>0.3</v>
      </c>
      <c r="O56" s="1328">
        <f t="shared" si="9"/>
        <v>4550000</v>
      </c>
      <c r="P56" s="1329"/>
      <c r="Q56" s="737"/>
      <c r="R56" s="738"/>
      <c r="S56" s="152"/>
      <c r="T56" s="413" t="s">
        <v>629</v>
      </c>
      <c r="U56" s="728">
        <f>(2000000+(300000*3))*1.2</f>
        <v>3480000</v>
      </c>
    </row>
    <row r="57" spans="1:29" s="528" customFormat="1" ht="17.25" thickBot="1" x14ac:dyDescent="0.35">
      <c r="A57" s="84"/>
      <c r="B57" s="365"/>
      <c r="C57" s="366"/>
      <c r="D57" s="366"/>
      <c r="E57" s="367"/>
      <c r="F57" s="156"/>
      <c r="G57" s="155"/>
      <c r="H57" s="155"/>
      <c r="I57" s="155"/>
      <c r="J57" s="186"/>
      <c r="K57" s="199"/>
      <c r="L57" s="55"/>
      <c r="M57" s="164"/>
      <c r="N57" s="158"/>
      <c r="O57" s="743"/>
      <c r="P57" s="744"/>
      <c r="Q57" s="737"/>
      <c r="R57" s="738"/>
      <c r="S57" s="204"/>
      <c r="T57" s="70"/>
      <c r="U57" s="70"/>
      <c r="V57" s="70"/>
      <c r="W57" s="70"/>
      <c r="X57" s="70"/>
      <c r="Y57" s="70"/>
      <c r="Z57" s="70"/>
      <c r="AA57" s="70"/>
      <c r="AB57" s="70"/>
      <c r="AC57" s="70"/>
    </row>
    <row r="58" spans="1:29" s="413" customFormat="1" ht="18" thickBot="1" x14ac:dyDescent="0.35">
      <c r="A58" s="82"/>
      <c r="B58" s="1338" t="s">
        <v>53</v>
      </c>
      <c r="C58" s="1339"/>
      <c r="D58" s="1339"/>
      <c r="E58" s="1339"/>
      <c r="F58" s="1339"/>
      <c r="G58" s="1339"/>
      <c r="H58" s="1339"/>
      <c r="I58" s="1339"/>
      <c r="J58" s="1339"/>
      <c r="K58" s="1339"/>
      <c r="L58" s="1340"/>
      <c r="M58" s="123">
        <f>SUM(M5:M57)</f>
        <v>107071101.332</v>
      </c>
      <c r="N58" s="136"/>
      <c r="O58" s="1341">
        <f>SUM(O5:P57)</f>
        <v>154305000</v>
      </c>
      <c r="P58" s="1342"/>
      <c r="Q58" s="1343"/>
      <c r="R58" s="1344"/>
      <c r="S58" s="130"/>
      <c r="T58" s="70"/>
      <c r="U58" s="70"/>
      <c r="V58" s="70"/>
      <c r="W58" s="70"/>
      <c r="X58" s="70"/>
      <c r="Y58" s="70"/>
      <c r="Z58" s="70"/>
      <c r="AA58" s="70"/>
      <c r="AB58" s="70"/>
      <c r="AC58" s="70"/>
    </row>
    <row r="59" spans="1:29" s="528" customFormat="1" ht="17.25" thickBot="1" x14ac:dyDescent="0.35">
      <c r="A59" s="84"/>
      <c r="B59" s="122" t="s">
        <v>2</v>
      </c>
      <c r="C59" s="116"/>
      <c r="D59" s="116"/>
      <c r="E59" s="117"/>
      <c r="F59" s="118" t="s">
        <v>321</v>
      </c>
      <c r="G59" s="119"/>
      <c r="H59" s="119"/>
      <c r="I59" s="119"/>
      <c r="J59" s="119"/>
      <c r="K59" s="119"/>
      <c r="L59" s="120"/>
      <c r="M59" s="121"/>
      <c r="N59" s="135"/>
      <c r="O59" s="1447"/>
      <c r="P59" s="1448"/>
      <c r="Q59" s="1326"/>
      <c r="R59" s="1327"/>
      <c r="S59" s="115"/>
      <c r="T59" s="70"/>
      <c r="U59" s="70"/>
      <c r="V59" s="70"/>
      <c r="W59" s="70"/>
      <c r="X59" s="70"/>
      <c r="Y59" s="70"/>
      <c r="Z59" s="70"/>
      <c r="AA59" s="70"/>
    </row>
    <row r="60" spans="1:29" s="528" customFormat="1" x14ac:dyDescent="0.3">
      <c r="A60" s="84"/>
      <c r="B60" s="131"/>
      <c r="C60" s="132" t="s">
        <v>73</v>
      </c>
      <c r="D60" s="133"/>
      <c r="E60" s="165"/>
      <c r="F60" s="227" t="s">
        <v>319</v>
      </c>
      <c r="G60" s="222" t="s">
        <v>94</v>
      </c>
      <c r="H60" s="222" t="s">
        <v>130</v>
      </c>
      <c r="I60" s="222" t="s">
        <v>131</v>
      </c>
      <c r="J60" s="371">
        <v>15</v>
      </c>
      <c r="K60" s="55">
        <v>307000</v>
      </c>
      <c r="L60" s="55">
        <v>307000</v>
      </c>
      <c r="M60" s="230">
        <f t="shared" ref="M60:M61" si="15">J60*K60</f>
        <v>4605000</v>
      </c>
      <c r="N60" s="148"/>
      <c r="O60" s="1365">
        <f t="shared" ref="O60:O61" si="16">L60*J60</f>
        <v>4605000</v>
      </c>
      <c r="P60" s="1366"/>
      <c r="Q60" s="1492"/>
      <c r="R60" s="1493"/>
      <c r="S60" s="207"/>
      <c r="T60" s="70"/>
      <c r="U60" s="70"/>
      <c r="V60" s="70"/>
      <c r="W60" s="70"/>
      <c r="X60" s="70"/>
      <c r="Y60" s="70"/>
      <c r="Z60" s="70"/>
      <c r="AA60" s="70"/>
    </row>
    <row r="61" spans="1:29" s="528" customFormat="1" x14ac:dyDescent="0.3">
      <c r="A61" s="84"/>
      <c r="B61" s="683"/>
      <c r="C61" s="684" t="s">
        <v>73</v>
      </c>
      <c r="D61" s="679"/>
      <c r="E61" s="690"/>
      <c r="F61" s="691" t="s">
        <v>320</v>
      </c>
      <c r="G61" s="692" t="s">
        <v>94</v>
      </c>
      <c r="H61" s="692" t="s">
        <v>130</v>
      </c>
      <c r="I61" s="692" t="s">
        <v>131</v>
      </c>
      <c r="J61" s="693">
        <v>60</v>
      </c>
      <c r="K61" s="657">
        <v>307000</v>
      </c>
      <c r="L61" s="657">
        <v>307000</v>
      </c>
      <c r="M61" s="694">
        <f t="shared" si="15"/>
        <v>18420000</v>
      </c>
      <c r="N61" s="659"/>
      <c r="O61" s="1449">
        <f t="shared" si="16"/>
        <v>18420000</v>
      </c>
      <c r="P61" s="1450"/>
      <c r="Q61" s="1494"/>
      <c r="R61" s="1495"/>
      <c r="S61" s="212"/>
      <c r="T61" s="70"/>
      <c r="U61" s="70"/>
      <c r="V61" s="70"/>
      <c r="W61" s="70"/>
      <c r="X61" s="70"/>
      <c r="Y61" s="70"/>
      <c r="Z61" s="70"/>
      <c r="AA61" s="70"/>
    </row>
    <row r="62" spans="1:29" s="528" customFormat="1" ht="17.25" thickBot="1" x14ac:dyDescent="0.35">
      <c r="A62" s="84"/>
      <c r="B62" s="213"/>
      <c r="C62" s="214"/>
      <c r="D62" s="215"/>
      <c r="E62" s="216"/>
      <c r="F62" s="229"/>
      <c r="G62" s="224"/>
      <c r="H62" s="224"/>
      <c r="I62" s="224"/>
      <c r="J62" s="373" t="s">
        <v>513</v>
      </c>
      <c r="K62" s="225"/>
      <c r="L62" s="225"/>
      <c r="M62" s="226"/>
      <c r="N62" s="162"/>
      <c r="O62" s="1365">
        <f t="shared" ref="O62" si="17">L62</f>
        <v>0</v>
      </c>
      <c r="P62" s="1366"/>
      <c r="Q62" s="1453"/>
      <c r="R62" s="1454"/>
      <c r="S62" s="217"/>
      <c r="T62" s="70"/>
      <c r="U62" s="70"/>
      <c r="V62" s="70"/>
      <c r="W62" s="70"/>
      <c r="X62" s="70"/>
      <c r="Y62" s="70"/>
      <c r="Z62" s="70"/>
      <c r="AA62" s="70"/>
    </row>
    <row r="63" spans="1:29" s="528" customFormat="1" ht="17.25" thickBot="1" x14ac:dyDescent="0.35">
      <c r="A63" s="84"/>
      <c r="B63" s="122" t="s">
        <v>2</v>
      </c>
      <c r="C63" s="116"/>
      <c r="D63" s="116"/>
      <c r="E63" s="117"/>
      <c r="F63" s="218" t="s">
        <v>243</v>
      </c>
      <c r="G63" s="219"/>
      <c r="H63" s="219"/>
      <c r="I63" s="219"/>
      <c r="J63" s="219"/>
      <c r="K63" s="220"/>
      <c r="L63" s="220"/>
      <c r="M63" s="221"/>
      <c r="N63" s="135"/>
      <c r="O63" s="1447"/>
      <c r="P63" s="1448"/>
      <c r="Q63" s="1447"/>
      <c r="R63" s="1448"/>
      <c r="S63" s="115"/>
      <c r="T63" s="70"/>
      <c r="U63" s="70"/>
      <c r="V63" s="70"/>
      <c r="W63" s="70"/>
      <c r="X63" s="70"/>
      <c r="Y63" s="70"/>
      <c r="Z63" s="70"/>
      <c r="AA63" s="70"/>
      <c r="AB63" s="70"/>
      <c r="AC63" s="70"/>
    </row>
    <row r="64" spans="1:29" x14ac:dyDescent="0.3">
      <c r="B64" s="64"/>
      <c r="C64" s="65" t="s">
        <v>2</v>
      </c>
      <c r="D64" s="65"/>
      <c r="E64" s="66"/>
      <c r="F64" s="88" t="s">
        <v>7</v>
      </c>
      <c r="G64" s="85"/>
      <c r="H64" s="223" t="s">
        <v>130</v>
      </c>
      <c r="I64" s="223" t="s">
        <v>131</v>
      </c>
      <c r="J64" s="80">
        <v>5</v>
      </c>
      <c r="K64" s="55">
        <v>307000</v>
      </c>
      <c r="L64" s="55">
        <v>307000</v>
      </c>
      <c r="M64" s="112">
        <f>K64*J64</f>
        <v>1535000</v>
      </c>
      <c r="N64" s="137"/>
      <c r="O64" s="1365">
        <f t="shared" ref="O64:O70" si="18">L64*J64</f>
        <v>1535000</v>
      </c>
      <c r="P64" s="1366"/>
      <c r="Q64" s="1359" t="s">
        <v>62</v>
      </c>
      <c r="R64" s="1360"/>
      <c r="S64" s="94"/>
    </row>
    <row r="65" spans="2:29" x14ac:dyDescent="0.3">
      <c r="B65" s="62"/>
      <c r="C65" s="63" t="s">
        <v>2</v>
      </c>
      <c r="D65" s="63"/>
      <c r="E65" s="61"/>
      <c r="F65" s="89" t="s">
        <v>11</v>
      </c>
      <c r="G65" s="86"/>
      <c r="H65" s="223" t="s">
        <v>130</v>
      </c>
      <c r="I65" s="223" t="s">
        <v>131</v>
      </c>
      <c r="J65" s="56">
        <v>3</v>
      </c>
      <c r="K65" s="55">
        <v>307000</v>
      </c>
      <c r="L65" s="55">
        <v>307000</v>
      </c>
      <c r="M65" s="113">
        <f t="shared" ref="M65:M70" si="19">K65*J65</f>
        <v>921000</v>
      </c>
      <c r="N65" s="138"/>
      <c r="O65" s="1365">
        <f t="shared" si="18"/>
        <v>921000</v>
      </c>
      <c r="P65" s="1366"/>
      <c r="Q65" s="1361"/>
      <c r="R65" s="1362"/>
      <c r="S65" s="95"/>
    </row>
    <row r="66" spans="2:29" x14ac:dyDescent="0.3">
      <c r="B66" s="62"/>
      <c r="C66" s="63" t="s">
        <v>2</v>
      </c>
      <c r="D66" s="63"/>
      <c r="E66" s="61"/>
      <c r="F66" s="89" t="s">
        <v>41</v>
      </c>
      <c r="G66" s="86"/>
      <c r="H66" s="223" t="s">
        <v>130</v>
      </c>
      <c r="I66" s="223" t="s">
        <v>131</v>
      </c>
      <c r="J66" s="56">
        <v>5</v>
      </c>
      <c r="K66" s="55">
        <v>307000</v>
      </c>
      <c r="L66" s="55">
        <v>307000</v>
      </c>
      <c r="M66" s="113">
        <f t="shared" si="19"/>
        <v>1535000</v>
      </c>
      <c r="N66" s="138"/>
      <c r="O66" s="1365">
        <f t="shared" si="18"/>
        <v>1535000</v>
      </c>
      <c r="P66" s="1366"/>
      <c r="Q66" s="1361"/>
      <c r="R66" s="1362"/>
      <c r="S66" s="95"/>
    </row>
    <row r="67" spans="2:29" x14ac:dyDescent="0.3">
      <c r="B67" s="62"/>
      <c r="C67" s="63" t="s">
        <v>2</v>
      </c>
      <c r="D67" s="63"/>
      <c r="E67" s="61"/>
      <c r="F67" s="89" t="s">
        <v>10</v>
      </c>
      <c r="G67" s="86"/>
      <c r="H67" s="223" t="s">
        <v>130</v>
      </c>
      <c r="I67" s="223" t="s">
        <v>131</v>
      </c>
      <c r="J67" s="56">
        <v>3</v>
      </c>
      <c r="K67" s="55">
        <v>307000</v>
      </c>
      <c r="L67" s="55">
        <v>307000</v>
      </c>
      <c r="M67" s="113">
        <f t="shared" si="19"/>
        <v>921000</v>
      </c>
      <c r="N67" s="138"/>
      <c r="O67" s="1365">
        <f t="shared" si="18"/>
        <v>921000</v>
      </c>
      <c r="P67" s="1366"/>
      <c r="Q67" s="1361"/>
      <c r="R67" s="1362"/>
      <c r="S67" s="95"/>
    </row>
    <row r="68" spans="2:29" x14ac:dyDescent="0.3">
      <c r="B68" s="62"/>
      <c r="C68" s="63" t="s">
        <v>2</v>
      </c>
      <c r="D68" s="63"/>
      <c r="E68" s="61"/>
      <c r="F68" s="89" t="s">
        <v>61</v>
      </c>
      <c r="G68" s="86"/>
      <c r="H68" s="223" t="s">
        <v>130</v>
      </c>
      <c r="I68" s="223" t="s">
        <v>131</v>
      </c>
      <c r="J68" s="56">
        <v>2</v>
      </c>
      <c r="K68" s="55">
        <v>307000</v>
      </c>
      <c r="L68" s="55">
        <v>307000</v>
      </c>
      <c r="M68" s="113">
        <f t="shared" si="19"/>
        <v>614000</v>
      </c>
      <c r="N68" s="138"/>
      <c r="O68" s="1365">
        <f t="shared" si="18"/>
        <v>614000</v>
      </c>
      <c r="P68" s="1366"/>
      <c r="Q68" s="1361"/>
      <c r="R68" s="1362"/>
      <c r="S68" s="95"/>
    </row>
    <row r="69" spans="2:29" x14ac:dyDescent="0.3">
      <c r="B69" s="67"/>
      <c r="C69" s="63" t="s">
        <v>2</v>
      </c>
      <c r="D69" s="68"/>
      <c r="E69" s="69"/>
      <c r="F69" s="90" t="s">
        <v>9</v>
      </c>
      <c r="G69" s="86"/>
      <c r="H69" s="223" t="s">
        <v>130</v>
      </c>
      <c r="I69" s="223" t="s">
        <v>131</v>
      </c>
      <c r="J69" s="56">
        <v>5</v>
      </c>
      <c r="K69" s="55">
        <v>307000</v>
      </c>
      <c r="L69" s="55">
        <v>307000</v>
      </c>
      <c r="M69" s="113">
        <f t="shared" si="19"/>
        <v>1535000</v>
      </c>
      <c r="N69" s="138"/>
      <c r="O69" s="1365">
        <f t="shared" si="18"/>
        <v>1535000</v>
      </c>
      <c r="P69" s="1366"/>
      <c r="Q69" s="1361"/>
      <c r="R69" s="1362"/>
      <c r="S69" s="95"/>
    </row>
    <row r="70" spans="2:29" ht="17.25" thickBot="1" x14ac:dyDescent="0.35">
      <c r="B70" s="57"/>
      <c r="C70" s="58" t="s">
        <v>2</v>
      </c>
      <c r="D70" s="58"/>
      <c r="E70" s="60"/>
      <c r="F70" s="91" t="s">
        <v>8</v>
      </c>
      <c r="G70" s="87"/>
      <c r="H70" s="223" t="s">
        <v>130</v>
      </c>
      <c r="I70" s="223" t="s">
        <v>131</v>
      </c>
      <c r="J70" s="59">
        <v>2</v>
      </c>
      <c r="K70" s="55">
        <v>307000</v>
      </c>
      <c r="L70" s="55">
        <v>307000</v>
      </c>
      <c r="M70" s="114">
        <f t="shared" si="19"/>
        <v>614000</v>
      </c>
      <c r="N70" s="139"/>
      <c r="O70" s="1365">
        <f t="shared" si="18"/>
        <v>614000</v>
      </c>
      <c r="P70" s="1366"/>
      <c r="Q70" s="1363"/>
      <c r="R70" s="1364"/>
      <c r="S70" s="96"/>
    </row>
    <row r="71" spans="2:29" ht="18" thickBot="1" x14ac:dyDescent="0.35">
      <c r="B71" s="1345" t="s">
        <v>46</v>
      </c>
      <c r="C71" s="1346"/>
      <c r="D71" s="1346"/>
      <c r="E71" s="1346"/>
      <c r="F71" s="1346"/>
      <c r="G71" s="1346"/>
      <c r="H71" s="1346"/>
      <c r="I71" s="1346"/>
      <c r="J71" s="1346"/>
      <c r="K71" s="1346"/>
      <c r="L71" s="1347"/>
      <c r="M71" s="124">
        <f>SUM(M59:M70)</f>
        <v>30700000</v>
      </c>
      <c r="N71" s="140"/>
      <c r="O71" s="1348">
        <f>SUM(O59:P70)</f>
        <v>30700000</v>
      </c>
      <c r="P71" s="1349"/>
      <c r="Q71" s="1350"/>
      <c r="R71" s="1350"/>
      <c r="S71" s="1351"/>
    </row>
    <row r="72" spans="2:29" ht="20.25" thickBot="1" x14ac:dyDescent="0.35">
      <c r="B72" s="1352" t="s">
        <v>52</v>
      </c>
      <c r="C72" s="1353"/>
      <c r="D72" s="1353"/>
      <c r="E72" s="1353"/>
      <c r="F72" s="1353"/>
      <c r="G72" s="1353"/>
      <c r="H72" s="1353"/>
      <c r="I72" s="1353"/>
      <c r="J72" s="1353"/>
      <c r="K72" s="1353"/>
      <c r="L72" s="1353"/>
      <c r="M72" s="125"/>
      <c r="N72" s="134">
        <v>0.03</v>
      </c>
      <c r="O72" s="1354">
        <f>ROUNDDOWN(O58*N72,-3)</f>
        <v>4629000</v>
      </c>
      <c r="P72" s="1355"/>
      <c r="Q72" s="1356"/>
      <c r="R72" s="1357"/>
      <c r="S72" s="1358"/>
      <c r="T72" s="529"/>
      <c r="U72" s="529"/>
      <c r="V72" s="529"/>
      <c r="W72" s="529"/>
      <c r="X72" s="529"/>
      <c r="Y72" s="529"/>
      <c r="Z72" s="529"/>
      <c r="AA72" s="529"/>
      <c r="AB72" s="529"/>
      <c r="AC72" s="529"/>
    </row>
    <row r="73" spans="2:29" ht="20.25" thickBot="1" x14ac:dyDescent="0.35">
      <c r="B73" s="1352" t="s">
        <v>54</v>
      </c>
      <c r="C73" s="1353"/>
      <c r="D73" s="1353"/>
      <c r="E73" s="1353"/>
      <c r="F73" s="1353"/>
      <c r="G73" s="1353"/>
      <c r="H73" s="1353"/>
      <c r="I73" s="1353"/>
      <c r="J73" s="1353"/>
      <c r="K73" s="1353"/>
      <c r="L73" s="1353"/>
      <c r="M73" s="127"/>
      <c r="N73" s="128"/>
      <c r="O73" s="1354">
        <f>SUM(O72,O71,O58)</f>
        <v>189634000</v>
      </c>
      <c r="P73" s="1355"/>
      <c r="Q73" s="1374"/>
      <c r="R73" s="1375"/>
      <c r="S73" s="1376"/>
      <c r="T73" s="529"/>
      <c r="U73" s="529"/>
      <c r="V73" s="529"/>
      <c r="W73" s="529"/>
      <c r="X73" s="529"/>
      <c r="Y73" s="529"/>
      <c r="Z73" s="529"/>
      <c r="AA73" s="529"/>
      <c r="AB73" s="529"/>
      <c r="AC73" s="529"/>
    </row>
    <row r="74" spans="2:29" ht="20.25" thickBot="1" x14ac:dyDescent="0.35">
      <c r="B74" s="1352" t="s">
        <v>51</v>
      </c>
      <c r="C74" s="1353"/>
      <c r="D74" s="1353"/>
      <c r="E74" s="1353"/>
      <c r="F74" s="1353"/>
      <c r="G74" s="1353"/>
      <c r="H74" s="1353"/>
      <c r="I74" s="1353"/>
      <c r="J74" s="1353"/>
      <c r="K74" s="1353"/>
      <c r="L74" s="1353"/>
      <c r="M74" s="129"/>
      <c r="N74" s="126">
        <v>0.1</v>
      </c>
      <c r="O74" s="1381">
        <f>ROUNDDOWN(O73*N74,-3)</f>
        <v>18963000</v>
      </c>
      <c r="P74" s="1382"/>
      <c r="Q74" s="1383"/>
      <c r="R74" s="1384"/>
      <c r="S74" s="1385"/>
      <c r="T74" s="529"/>
      <c r="U74" s="529"/>
      <c r="V74" s="529"/>
      <c r="W74" s="529"/>
      <c r="X74" s="529"/>
      <c r="Y74" s="529"/>
      <c r="Z74" s="529"/>
      <c r="AA74" s="529"/>
      <c r="AB74" s="529"/>
      <c r="AC74" s="529"/>
    </row>
    <row r="75" spans="2:29" ht="21" thickBot="1" x14ac:dyDescent="0.35">
      <c r="B75" s="1367" t="s">
        <v>44</v>
      </c>
      <c r="C75" s="1368"/>
      <c r="D75" s="1368"/>
      <c r="E75" s="1368"/>
      <c r="F75" s="1368"/>
      <c r="G75" s="1368"/>
      <c r="H75" s="1368"/>
      <c r="I75" s="1368"/>
      <c r="J75" s="1368"/>
      <c r="K75" s="1368"/>
      <c r="L75" s="1368"/>
      <c r="M75" s="92"/>
      <c r="N75" s="111"/>
      <c r="O75" s="1369">
        <f>ROUNDDOWN(SUM(O73:P74), -6)</f>
        <v>208000000</v>
      </c>
      <c r="P75" s="1370"/>
      <c r="Q75" s="1371"/>
      <c r="R75" s="1372"/>
      <c r="S75" s="1373"/>
      <c r="T75" s="529"/>
      <c r="U75" s="529"/>
      <c r="V75" s="529"/>
      <c r="W75" s="529"/>
      <c r="X75" s="529"/>
      <c r="Y75" s="529"/>
      <c r="Z75" s="529"/>
      <c r="AA75" s="529"/>
      <c r="AB75" s="529"/>
      <c r="AC75" s="529"/>
    </row>
    <row r="76" spans="2:29" ht="21" thickBot="1" x14ac:dyDescent="0.35">
      <c r="B76" s="104"/>
      <c r="C76" s="104"/>
      <c r="D76" s="104"/>
      <c r="E76" s="104"/>
      <c r="F76" s="105"/>
      <c r="G76" s="105"/>
      <c r="H76" s="105"/>
      <c r="I76" s="105"/>
      <c r="J76" s="105"/>
      <c r="K76" s="105"/>
      <c r="L76" s="105"/>
      <c r="M76" s="106"/>
      <c r="N76" s="107"/>
      <c r="O76" s="107"/>
      <c r="P76" s="107"/>
      <c r="Q76" s="108"/>
      <c r="R76" s="108"/>
      <c r="S76" s="108"/>
      <c r="T76" s="529"/>
      <c r="U76" s="529"/>
      <c r="V76" s="529"/>
      <c r="W76" s="529"/>
      <c r="X76" s="529"/>
      <c r="Y76" s="529"/>
      <c r="Z76" s="529"/>
      <c r="AA76" s="529"/>
      <c r="AB76" s="529"/>
      <c r="AC76" s="529"/>
    </row>
    <row r="77" spans="2:29" ht="18" thickBot="1" x14ac:dyDescent="0.35">
      <c r="B77" s="1374" t="s">
        <v>50</v>
      </c>
      <c r="C77" s="1375"/>
      <c r="D77" s="1375"/>
      <c r="E77" s="1376"/>
      <c r="F77" s="109"/>
      <c r="G77" s="109"/>
      <c r="H77" s="109"/>
      <c r="I77" s="109"/>
      <c r="J77" s="109"/>
      <c r="K77" s="110"/>
      <c r="L77" s="110"/>
      <c r="M77" s="110"/>
      <c r="N77" s="77" t="s">
        <v>14</v>
      </c>
      <c r="O77" s="1377" t="s">
        <v>15</v>
      </c>
      <c r="P77" s="1378"/>
      <c r="Q77" s="1379" t="s">
        <v>17</v>
      </c>
      <c r="R77" s="1380"/>
      <c r="S77" s="166" t="s">
        <v>16</v>
      </c>
    </row>
    <row r="78" spans="2:29" ht="18" customHeight="1" x14ac:dyDescent="0.3">
      <c r="B78" s="102">
        <v>1</v>
      </c>
      <c r="C78" s="1400"/>
      <c r="D78" s="1401"/>
      <c r="E78" s="1401"/>
      <c r="F78" s="1401"/>
      <c r="G78" s="1401"/>
      <c r="H78" s="1401"/>
      <c r="I78" s="1401"/>
      <c r="J78" s="1402"/>
      <c r="N78" s="11">
        <v>0</v>
      </c>
      <c r="O78" s="1403">
        <f>$O$75/(1+N78)</f>
        <v>208000000</v>
      </c>
      <c r="P78" s="1404"/>
      <c r="Q78" s="1405">
        <f>O78-$M$58</f>
        <v>100928898.668</v>
      </c>
      <c r="R78" s="1406"/>
      <c r="S78" s="160">
        <f>Q78/O78</f>
        <v>0.48523508975000001</v>
      </c>
    </row>
    <row r="79" spans="2:29" ht="18" customHeight="1" x14ac:dyDescent="0.3">
      <c r="B79" s="100">
        <v>2</v>
      </c>
      <c r="C79" s="1458"/>
      <c r="D79" s="1456"/>
      <c r="E79" s="1456"/>
      <c r="F79" s="1456"/>
      <c r="G79" s="1456"/>
      <c r="H79" s="1456"/>
      <c r="I79" s="1456"/>
      <c r="J79" s="1457"/>
      <c r="N79" s="9">
        <v>0.1</v>
      </c>
      <c r="O79" s="1389">
        <f>$O$75/(1+N79)</f>
        <v>189090909.09090906</v>
      </c>
      <c r="P79" s="1390"/>
      <c r="Q79" s="1391">
        <f t="shared" ref="Q79:Q82" si="20">O79-$M$58</f>
        <v>82019807.758909062</v>
      </c>
      <c r="R79" s="1392"/>
      <c r="S79" s="161">
        <f t="shared" ref="S79:S82" si="21">Q79/O79</f>
        <v>0.43375859872499989</v>
      </c>
    </row>
    <row r="80" spans="2:29" ht="18" customHeight="1" x14ac:dyDescent="0.3">
      <c r="B80" s="100">
        <v>3</v>
      </c>
      <c r="C80" s="1455"/>
      <c r="D80" s="1456"/>
      <c r="E80" s="1456"/>
      <c r="F80" s="1456"/>
      <c r="G80" s="1456"/>
      <c r="H80" s="1456"/>
      <c r="I80" s="1456"/>
      <c r="J80" s="1457"/>
      <c r="N80" s="10">
        <v>0.15</v>
      </c>
      <c r="O80" s="1389">
        <f t="shared" ref="O80:O81" si="22">$O$75/(1+N80)</f>
        <v>180869565.21739131</v>
      </c>
      <c r="P80" s="1390"/>
      <c r="Q80" s="1391">
        <f t="shared" si="20"/>
        <v>73798463.88539131</v>
      </c>
      <c r="R80" s="1392"/>
      <c r="S80" s="161">
        <f t="shared" si="21"/>
        <v>0.40802035321250002</v>
      </c>
    </row>
    <row r="81" spans="1:29" ht="18" customHeight="1" x14ac:dyDescent="0.3">
      <c r="A81" s="103"/>
      <c r="B81" s="100">
        <v>4</v>
      </c>
      <c r="C81" s="1455"/>
      <c r="D81" s="1456"/>
      <c r="E81" s="1456"/>
      <c r="F81" s="1456"/>
      <c r="G81" s="1456"/>
      <c r="H81" s="1456"/>
      <c r="I81" s="1456"/>
      <c r="J81" s="1457"/>
      <c r="N81" s="10">
        <v>0.2</v>
      </c>
      <c r="O81" s="1389">
        <f t="shared" si="22"/>
        <v>173333333.33333334</v>
      </c>
      <c r="P81" s="1390"/>
      <c r="Q81" s="1391">
        <f t="shared" si="20"/>
        <v>66262232.001333341</v>
      </c>
      <c r="R81" s="1392"/>
      <c r="S81" s="161">
        <f t="shared" si="21"/>
        <v>0.38228210770000004</v>
      </c>
    </row>
    <row r="82" spans="1:29" ht="18" customHeight="1" thickBot="1" x14ac:dyDescent="0.35">
      <c r="B82" s="100">
        <v>5</v>
      </c>
      <c r="C82" s="1393"/>
      <c r="D82" s="1394"/>
      <c r="E82" s="1394"/>
      <c r="F82" s="1394"/>
      <c r="G82" s="1394"/>
      <c r="H82" s="1394"/>
      <c r="I82" s="1394"/>
      <c r="J82" s="1395"/>
      <c r="N82" s="12" t="s">
        <v>45</v>
      </c>
      <c r="O82" s="1396">
        <v>0</v>
      </c>
      <c r="P82" s="1397"/>
      <c r="Q82" s="1398">
        <f t="shared" si="20"/>
        <v>-107071101.332</v>
      </c>
      <c r="R82" s="1399"/>
      <c r="S82" s="99" t="e">
        <f t="shared" si="21"/>
        <v>#DIV/0!</v>
      </c>
    </row>
    <row r="83" spans="1:29" ht="18" customHeight="1" thickBot="1" x14ac:dyDescent="0.35">
      <c r="B83" s="100">
        <v>6</v>
      </c>
      <c r="C83" s="1393"/>
      <c r="D83" s="1394"/>
      <c r="E83" s="1394"/>
      <c r="F83" s="1394"/>
      <c r="G83" s="1394"/>
      <c r="H83" s="1394"/>
      <c r="I83" s="1394"/>
      <c r="J83" s="1395"/>
    </row>
    <row r="84" spans="1:29" ht="18" customHeight="1" thickBot="1" x14ac:dyDescent="0.35">
      <c r="B84" s="100">
        <v>7</v>
      </c>
      <c r="C84" s="747"/>
      <c r="D84" s="748"/>
      <c r="E84" s="748"/>
      <c r="F84" s="748"/>
      <c r="G84" s="748"/>
      <c r="H84" s="748"/>
      <c r="I84" s="748"/>
      <c r="J84" s="749"/>
      <c r="N84" s="1410" t="s">
        <v>47</v>
      </c>
      <c r="O84" s="1411"/>
      <c r="P84" s="1412" t="s">
        <v>48</v>
      </c>
      <c r="Q84" s="1413"/>
      <c r="R84" s="1414" t="s">
        <v>49</v>
      </c>
      <c r="S84" s="1415"/>
    </row>
    <row r="85" spans="1:29" ht="18" customHeight="1" x14ac:dyDescent="0.3">
      <c r="B85" s="100">
        <v>8</v>
      </c>
      <c r="C85" s="1393"/>
      <c r="D85" s="1394"/>
      <c r="E85" s="1394"/>
      <c r="F85" s="1394"/>
      <c r="G85" s="1394"/>
      <c r="H85" s="1394"/>
      <c r="I85" s="1394"/>
      <c r="J85" s="1395"/>
      <c r="N85" s="1416"/>
      <c r="O85" s="1417"/>
      <c r="P85" s="1422"/>
      <c r="Q85" s="1423"/>
      <c r="R85" s="1428"/>
      <c r="S85" s="1429"/>
    </row>
    <row r="86" spans="1:29" ht="18" customHeight="1" x14ac:dyDescent="0.3">
      <c r="B86" s="100"/>
      <c r="C86" s="1434"/>
      <c r="D86" s="1435"/>
      <c r="E86" s="1435"/>
      <c r="F86" s="1435"/>
      <c r="G86" s="1435"/>
      <c r="H86" s="1435"/>
      <c r="I86" s="1435"/>
      <c r="J86" s="1436"/>
      <c r="N86" s="1418"/>
      <c r="O86" s="1419"/>
      <c r="P86" s="1424"/>
      <c r="Q86" s="1425"/>
      <c r="R86" s="1430"/>
      <c r="S86" s="1431"/>
    </row>
    <row r="87" spans="1:29" ht="18" customHeight="1" x14ac:dyDescent="0.3">
      <c r="B87" s="100"/>
      <c r="C87" s="1434"/>
      <c r="D87" s="1435"/>
      <c r="E87" s="1435"/>
      <c r="F87" s="1435"/>
      <c r="G87" s="1435"/>
      <c r="H87" s="1435"/>
      <c r="I87" s="1435"/>
      <c r="J87" s="1436"/>
      <c r="N87" s="1418"/>
      <c r="O87" s="1419"/>
      <c r="P87" s="1424"/>
      <c r="Q87" s="1425"/>
      <c r="R87" s="1430"/>
      <c r="S87" s="1431"/>
    </row>
    <row r="88" spans="1:29" ht="18" customHeight="1" thickBot="1" x14ac:dyDescent="0.35">
      <c r="B88" s="101"/>
      <c r="C88" s="1407"/>
      <c r="D88" s="1408"/>
      <c r="E88" s="1408"/>
      <c r="F88" s="1408"/>
      <c r="G88" s="1408"/>
      <c r="H88" s="1408"/>
      <c r="I88" s="1408"/>
      <c r="J88" s="1409"/>
      <c r="N88" s="1420"/>
      <c r="O88" s="1421"/>
      <c r="P88" s="1426"/>
      <c r="Q88" s="1427"/>
      <c r="R88" s="1432"/>
      <c r="S88" s="1433"/>
    </row>
    <row r="89" spans="1:29" s="529" customFormat="1" x14ac:dyDescent="0.3">
      <c r="A89"/>
      <c r="B89" s="2"/>
      <c r="C89" s="2"/>
      <c r="D89" s="2"/>
      <c r="E89" s="2"/>
      <c r="F89" s="3"/>
      <c r="G89" s="3"/>
      <c r="H89" s="3"/>
      <c r="I89" s="3"/>
      <c r="J89" s="3"/>
      <c r="K89" s="1"/>
      <c r="L89" s="1"/>
      <c r="M89" s="1"/>
      <c r="N89" s="5"/>
      <c r="O89" s="1"/>
      <c r="P89" s="1"/>
      <c r="Q89"/>
      <c r="R89"/>
      <c r="S89" s="93"/>
      <c r="T89" s="70"/>
      <c r="U89" s="70"/>
      <c r="V89" s="70"/>
      <c r="W89" s="70"/>
      <c r="X89" s="70"/>
      <c r="Y89" s="70"/>
      <c r="Z89" s="70"/>
      <c r="AA89" s="70"/>
      <c r="AB89" s="70"/>
      <c r="AC89" s="70"/>
    </row>
    <row r="90" spans="1:29" s="529" customFormat="1" x14ac:dyDescent="0.3">
      <c r="A90"/>
      <c r="B90" s="2"/>
      <c r="C90" s="2"/>
      <c r="D90" s="2"/>
      <c r="E90" s="2"/>
      <c r="F90" s="3"/>
      <c r="G90" s="3"/>
      <c r="H90" s="3"/>
      <c r="I90" s="3"/>
      <c r="J90" s="3"/>
      <c r="K90" s="1"/>
      <c r="L90" s="1"/>
      <c r="M90" s="1"/>
      <c r="N90" s="5"/>
      <c r="O90" s="1"/>
      <c r="P90" s="1"/>
      <c r="Q90"/>
      <c r="R90"/>
      <c r="S90" s="93"/>
      <c r="T90" s="70"/>
      <c r="U90" s="70"/>
      <c r="V90" s="70"/>
      <c r="W90" s="70"/>
      <c r="X90" s="70"/>
      <c r="Y90" s="70"/>
      <c r="Z90" s="70"/>
      <c r="AA90" s="70"/>
      <c r="AB90" s="70"/>
      <c r="AC90" s="70"/>
    </row>
    <row r="91" spans="1:29" s="529" customFormat="1" x14ac:dyDescent="0.3">
      <c r="A91"/>
      <c r="B91" s="2"/>
      <c r="C91" s="2"/>
      <c r="D91" s="2"/>
      <c r="E91" s="2"/>
      <c r="F91" s="3"/>
      <c r="G91" s="3"/>
      <c r="H91" s="3"/>
      <c r="I91" s="3"/>
      <c r="J91" s="3"/>
      <c r="K91" s="1"/>
      <c r="L91" s="1"/>
      <c r="M91" s="1"/>
      <c r="N91" s="5"/>
      <c r="O91" s="1"/>
      <c r="P91" s="1"/>
      <c r="Q91"/>
      <c r="R91"/>
      <c r="S91" s="93"/>
      <c r="T91" s="70"/>
      <c r="U91" s="70"/>
      <c r="V91" s="70"/>
      <c r="W91" s="70"/>
      <c r="X91" s="70"/>
      <c r="Y91" s="70"/>
      <c r="Z91" s="70"/>
      <c r="AA91" s="70"/>
      <c r="AB91" s="70"/>
      <c r="AC91" s="70"/>
    </row>
    <row r="92" spans="1:29" s="529" customFormat="1" x14ac:dyDescent="0.3">
      <c r="A92"/>
      <c r="B92" s="2"/>
      <c r="C92" s="2"/>
      <c r="D92" s="2"/>
      <c r="E92" s="2"/>
      <c r="F92" s="3"/>
      <c r="G92" s="3"/>
      <c r="H92" s="3"/>
      <c r="I92" s="3"/>
      <c r="J92" s="3"/>
      <c r="K92" s="1"/>
      <c r="L92" s="1"/>
      <c r="M92" s="1"/>
      <c r="N92" s="5"/>
      <c r="O92" s="1"/>
      <c r="P92" s="1"/>
      <c r="Q92"/>
      <c r="R92"/>
      <c r="S92" s="93"/>
      <c r="T92" s="70"/>
      <c r="U92" s="70"/>
      <c r="V92" s="70"/>
      <c r="W92" s="70"/>
      <c r="X92" s="70"/>
      <c r="Y92" s="70"/>
      <c r="Z92" s="70"/>
      <c r="AA92" s="70"/>
      <c r="AB92" s="70"/>
      <c r="AC92" s="70"/>
    </row>
    <row r="93" spans="1:29" s="529" customFormat="1" x14ac:dyDescent="0.3">
      <c r="A93"/>
      <c r="B93" s="2"/>
      <c r="C93" s="2"/>
      <c r="D93" s="2"/>
      <c r="E93" s="2"/>
      <c r="F93" s="3"/>
      <c r="G93" s="3"/>
      <c r="H93" s="3"/>
      <c r="I93" s="3"/>
      <c r="J93" s="3"/>
      <c r="K93" s="1"/>
      <c r="L93" s="1"/>
      <c r="M93" s="1"/>
      <c r="N93" s="5"/>
      <c r="O93" s="1"/>
      <c r="P93" s="1"/>
      <c r="Q93"/>
      <c r="R93"/>
      <c r="S93" s="93"/>
      <c r="T93" s="70"/>
      <c r="U93" s="70"/>
      <c r="V93" s="70"/>
      <c r="W93" s="70"/>
      <c r="X93" s="70"/>
      <c r="Y93" s="70"/>
      <c r="Z93" s="70"/>
      <c r="AA93" s="70"/>
      <c r="AB93" s="70"/>
      <c r="AC93" s="70"/>
    </row>
  </sheetData>
  <mergeCells count="149">
    <mergeCell ref="A2:S2"/>
    <mergeCell ref="Q3:S3"/>
    <mergeCell ref="B4:E4"/>
    <mergeCell ref="O4:P4"/>
    <mergeCell ref="Q4:R4"/>
    <mergeCell ref="O5:P5"/>
    <mergeCell ref="Q5:R5"/>
    <mergeCell ref="O9:P9"/>
    <mergeCell ref="Q9:R9"/>
    <mergeCell ref="Q10:R10"/>
    <mergeCell ref="O11:P11"/>
    <mergeCell ref="Q11:R11"/>
    <mergeCell ref="O12:P12"/>
    <mergeCell ref="Q12:R12"/>
    <mergeCell ref="O6:P6"/>
    <mergeCell ref="Q6:R6"/>
    <mergeCell ref="O7:P7"/>
    <mergeCell ref="Q7:R7"/>
    <mergeCell ref="O8:P8"/>
    <mergeCell ref="Q8:R8"/>
    <mergeCell ref="Q16:R16"/>
    <mergeCell ref="O17:P17"/>
    <mergeCell ref="Q17:R18"/>
    <mergeCell ref="O18:P18"/>
    <mergeCell ref="Q19:R20"/>
    <mergeCell ref="O21:P21"/>
    <mergeCell ref="Q21:R22"/>
    <mergeCell ref="O22:P22"/>
    <mergeCell ref="O13:P13"/>
    <mergeCell ref="Q13:R13"/>
    <mergeCell ref="O14:P14"/>
    <mergeCell ref="Q14:R14"/>
    <mergeCell ref="O15:P15"/>
    <mergeCell ref="Q15:R15"/>
    <mergeCell ref="Q28:R29"/>
    <mergeCell ref="O30:P30"/>
    <mergeCell ref="O31:P31"/>
    <mergeCell ref="O32:P32"/>
    <mergeCell ref="Q32:R32"/>
    <mergeCell ref="O33:P33"/>
    <mergeCell ref="Q33:R33"/>
    <mergeCell ref="Q23:R23"/>
    <mergeCell ref="Q24:R24"/>
    <mergeCell ref="Q25:R25"/>
    <mergeCell ref="Q26:R26"/>
    <mergeCell ref="O27:P27"/>
    <mergeCell ref="Q27:R27"/>
    <mergeCell ref="O38:P38"/>
    <mergeCell ref="Q38:R38"/>
    <mergeCell ref="O39:P39"/>
    <mergeCell ref="Q39:R39"/>
    <mergeCell ref="O40:P40"/>
    <mergeCell ref="O41:P41"/>
    <mergeCell ref="Q41:R41"/>
    <mergeCell ref="O34:P34"/>
    <mergeCell ref="Q34:R34"/>
    <mergeCell ref="O35:P35"/>
    <mergeCell ref="Q35:R35"/>
    <mergeCell ref="O36:P36"/>
    <mergeCell ref="Q36:R36"/>
    <mergeCell ref="O47:P47"/>
    <mergeCell ref="O48:P48"/>
    <mergeCell ref="Q48:R48"/>
    <mergeCell ref="O49:P49"/>
    <mergeCell ref="Q49:R49"/>
    <mergeCell ref="O50:P50"/>
    <mergeCell ref="Q50:R50"/>
    <mergeCell ref="O42:P42"/>
    <mergeCell ref="O43:P43"/>
    <mergeCell ref="Q43:R43"/>
    <mergeCell ref="O44:P44"/>
    <mergeCell ref="Q44:R44"/>
    <mergeCell ref="O46:P46"/>
    <mergeCell ref="B58:L58"/>
    <mergeCell ref="O58:P58"/>
    <mergeCell ref="Q58:R58"/>
    <mergeCell ref="O51:P51"/>
    <mergeCell ref="Q51:R51"/>
    <mergeCell ref="O52:P52"/>
    <mergeCell ref="Q52:R52"/>
    <mergeCell ref="O53:P53"/>
    <mergeCell ref="Q53:R53"/>
    <mergeCell ref="O59:P59"/>
    <mergeCell ref="Q59:R59"/>
    <mergeCell ref="O60:P60"/>
    <mergeCell ref="Q60:R60"/>
    <mergeCell ref="O61:P61"/>
    <mergeCell ref="Q61:R61"/>
    <mergeCell ref="O54:P54"/>
    <mergeCell ref="Q54:R54"/>
    <mergeCell ref="O55:P55"/>
    <mergeCell ref="Q55:R55"/>
    <mergeCell ref="O56:P56"/>
    <mergeCell ref="O69:P69"/>
    <mergeCell ref="O70:P70"/>
    <mergeCell ref="B71:L71"/>
    <mergeCell ref="O71:P71"/>
    <mergeCell ref="Q71:S71"/>
    <mergeCell ref="B72:L72"/>
    <mergeCell ref="O72:P72"/>
    <mergeCell ref="Q72:S72"/>
    <mergeCell ref="O62:P62"/>
    <mergeCell ref="Q62:R62"/>
    <mergeCell ref="O63:P63"/>
    <mergeCell ref="Q63:R63"/>
    <mergeCell ref="O64:P64"/>
    <mergeCell ref="Q64:R70"/>
    <mergeCell ref="O65:P65"/>
    <mergeCell ref="O66:P66"/>
    <mergeCell ref="O67:P67"/>
    <mergeCell ref="O68:P68"/>
    <mergeCell ref="B75:L75"/>
    <mergeCell ref="O75:P75"/>
    <mergeCell ref="Q75:S75"/>
    <mergeCell ref="B77:E77"/>
    <mergeCell ref="O77:P77"/>
    <mergeCell ref="Q77:R77"/>
    <mergeCell ref="B73:L73"/>
    <mergeCell ref="O73:P73"/>
    <mergeCell ref="Q73:S73"/>
    <mergeCell ref="B74:L74"/>
    <mergeCell ref="O74:P74"/>
    <mergeCell ref="Q74:S74"/>
    <mergeCell ref="C80:J80"/>
    <mergeCell ref="O80:P80"/>
    <mergeCell ref="Q80:R80"/>
    <mergeCell ref="C81:J81"/>
    <mergeCell ref="O81:P81"/>
    <mergeCell ref="Q81:R81"/>
    <mergeCell ref="C78:J78"/>
    <mergeCell ref="O78:P78"/>
    <mergeCell ref="Q78:R78"/>
    <mergeCell ref="C79:J79"/>
    <mergeCell ref="O79:P79"/>
    <mergeCell ref="Q79:R79"/>
    <mergeCell ref="C85:J85"/>
    <mergeCell ref="N85:O88"/>
    <mergeCell ref="P85:Q88"/>
    <mergeCell ref="R85:S88"/>
    <mergeCell ref="C86:J86"/>
    <mergeCell ref="C87:J87"/>
    <mergeCell ref="C88:J88"/>
    <mergeCell ref="C82:J82"/>
    <mergeCell ref="O82:P82"/>
    <mergeCell ref="Q82:R82"/>
    <mergeCell ref="C83:J83"/>
    <mergeCell ref="N84:O84"/>
    <mergeCell ref="P84:Q84"/>
    <mergeCell ref="R84:S84"/>
  </mergeCells>
  <phoneticPr fontId="2" type="noConversion"/>
  <pageMargins left="0.25" right="0.25" top="0.75" bottom="0.75" header="0.3" footer="0.3"/>
  <pageSetup paperSize="9" scale="10" fitToWidth="0" orientation="landscape" horizontalDpi="300" r:id="rId1"/>
  <headerFooter>
    <oddFooter>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3A691-DE44-4584-BB6F-DC7C4AA64E25}">
  <sheetPr>
    <pageSetUpPr fitToPage="1"/>
  </sheetPr>
  <dimension ref="A1:AH80"/>
  <sheetViews>
    <sheetView topLeftCell="D1" zoomScale="85" zoomScaleNormal="85" zoomScaleSheetLayoutView="100" zoomScalePageLayoutView="85" workbookViewId="0">
      <selection activeCell="F13" sqref="F13"/>
    </sheetView>
  </sheetViews>
  <sheetFormatPr defaultRowHeight="16.5" x14ac:dyDescent="0.3"/>
  <cols>
    <col min="1" max="1" width="1.625" customWidth="1"/>
    <col min="2" max="5" width="3.375" style="2" customWidth="1"/>
    <col min="6" max="6" width="57.25" style="3" customWidth="1"/>
    <col min="7" max="7" width="25.625" style="3" bestFit="1" customWidth="1"/>
    <col min="8" max="9" width="16.625" style="3" customWidth="1"/>
    <col min="10" max="10" width="6.625" style="3" customWidth="1"/>
    <col min="11" max="13" width="16.625" style="1" customWidth="1"/>
    <col min="14" max="14" width="12.625" style="5" customWidth="1"/>
    <col min="15" max="15" width="9.625" style="1" customWidth="1"/>
    <col min="16" max="16" width="12.625" style="1" customWidth="1"/>
    <col min="17" max="18" width="22.375" customWidth="1"/>
    <col min="19" max="19" width="21.875" style="93" customWidth="1"/>
    <col min="20" max="20" width="48.125" style="70" bestFit="1" customWidth="1"/>
    <col min="21" max="21" width="49.75" style="562" bestFit="1" customWidth="1"/>
  </cols>
  <sheetData>
    <row r="1" spans="1:32" ht="9.9499999999999993" customHeight="1" x14ac:dyDescent="0.3"/>
    <row r="2" spans="1:32" ht="26.25" x14ac:dyDescent="0.3">
      <c r="A2" s="1445" t="s">
        <v>558</v>
      </c>
      <c r="B2" s="1445"/>
      <c r="C2" s="1445"/>
      <c r="D2" s="1445"/>
      <c r="E2" s="1445"/>
      <c r="F2" s="1445"/>
      <c r="G2" s="1445"/>
      <c r="H2" s="1445"/>
      <c r="I2" s="1445"/>
      <c r="J2" s="1445"/>
      <c r="K2" s="1445"/>
      <c r="L2" s="1445"/>
      <c r="M2" s="1445"/>
      <c r="N2" s="1445"/>
      <c r="O2" s="1445"/>
      <c r="P2" s="1445"/>
      <c r="Q2" s="1445"/>
      <c r="R2" s="1445"/>
      <c r="S2" s="1445"/>
      <c r="T2" s="72"/>
    </row>
    <row r="3" spans="1:32" ht="17.25" thickBot="1" x14ac:dyDescent="0.35">
      <c r="Q3" s="1446">
        <v>45422</v>
      </c>
      <c r="R3" s="1446"/>
      <c r="S3" s="1446"/>
      <c r="T3" s="75"/>
    </row>
    <row r="4" spans="1:32" ht="18" thickBot="1" x14ac:dyDescent="0.35">
      <c r="B4" s="1318" t="s">
        <v>491</v>
      </c>
      <c r="C4" s="1319"/>
      <c r="D4" s="1319"/>
      <c r="E4" s="1320"/>
      <c r="F4" s="6" t="s">
        <v>56</v>
      </c>
      <c r="G4" s="6" t="s">
        <v>55</v>
      </c>
      <c r="H4" s="6" t="s">
        <v>0</v>
      </c>
      <c r="I4" s="6" t="s">
        <v>43</v>
      </c>
      <c r="J4" s="6" t="s">
        <v>4</v>
      </c>
      <c r="K4" s="7" t="s">
        <v>12</v>
      </c>
      <c r="L4" s="8" t="s">
        <v>39</v>
      </c>
      <c r="M4" s="8" t="s">
        <v>5</v>
      </c>
      <c r="N4" s="141" t="s">
        <v>13</v>
      </c>
      <c r="O4" s="1321" t="s">
        <v>6</v>
      </c>
      <c r="P4" s="1322"/>
      <c r="Q4" s="1319" t="s">
        <v>3</v>
      </c>
      <c r="R4" s="1323"/>
      <c r="S4" s="71" t="s">
        <v>59</v>
      </c>
      <c r="T4" s="75"/>
    </row>
    <row r="5" spans="1:32" s="82" customFormat="1" ht="17.25" thickBot="1" x14ac:dyDescent="0.35">
      <c r="B5" s="122" t="s">
        <v>2</v>
      </c>
      <c r="C5" s="116"/>
      <c r="D5" s="116"/>
      <c r="E5" s="117"/>
      <c r="F5" s="118" t="s">
        <v>265</v>
      </c>
      <c r="G5" s="119"/>
      <c r="H5" s="119"/>
      <c r="I5" s="119"/>
      <c r="J5" s="119"/>
      <c r="K5" s="272"/>
      <c r="L5" s="120"/>
      <c r="M5" s="121"/>
      <c r="N5" s="135"/>
      <c r="O5" s="1447"/>
      <c r="P5" s="1448"/>
      <c r="Q5" s="1326"/>
      <c r="R5" s="1327"/>
      <c r="S5" s="115"/>
      <c r="T5" s="73"/>
      <c r="U5" s="562"/>
      <c r="V5"/>
      <c r="W5"/>
      <c r="X5"/>
      <c r="Y5"/>
      <c r="Z5"/>
      <c r="AA5"/>
      <c r="AB5"/>
      <c r="AC5"/>
      <c r="AD5"/>
      <c r="AE5"/>
      <c r="AF5"/>
    </row>
    <row r="6" spans="1:32" s="369" customFormat="1" x14ac:dyDescent="0.3">
      <c r="B6" s="498"/>
      <c r="C6" s="155" t="s">
        <v>2</v>
      </c>
      <c r="D6" s="155"/>
      <c r="E6" s="151"/>
      <c r="F6" s="269" t="s">
        <v>578</v>
      </c>
      <c r="G6" s="184" t="s">
        <v>512</v>
      </c>
      <c r="H6" s="185" t="s">
        <v>131</v>
      </c>
      <c r="I6" s="185" t="s">
        <v>131</v>
      </c>
      <c r="J6" s="184">
        <v>1</v>
      </c>
      <c r="K6" s="169">
        <f>(16960+2700+810)*0.5*1.071*1400</f>
        <v>15346359</v>
      </c>
      <c r="L6" s="55">
        <f>21492000+4038000+1220000</f>
        <v>26750000</v>
      </c>
      <c r="M6" s="164">
        <f>J6*K6</f>
        <v>15346359</v>
      </c>
      <c r="N6" s="158">
        <v>0</v>
      </c>
      <c r="O6" s="1328">
        <f>J6*L6/(1-N6)</f>
        <v>26750000</v>
      </c>
      <c r="P6" s="1329"/>
      <c r="Q6" s="1330" t="s">
        <v>437</v>
      </c>
      <c r="R6" s="1331"/>
      <c r="S6" s="168"/>
      <c r="T6" s="368"/>
      <c r="U6" s="562" t="s">
        <v>495</v>
      </c>
      <c r="V6" s="370"/>
      <c r="W6" s="370"/>
      <c r="X6" s="370"/>
      <c r="Y6" s="370"/>
      <c r="Z6" s="370"/>
      <c r="AA6" s="370"/>
      <c r="AB6" s="370"/>
      <c r="AC6" s="370"/>
      <c r="AD6" s="370"/>
      <c r="AE6" s="370"/>
      <c r="AF6" s="370"/>
    </row>
    <row r="7" spans="1:32" s="369" customFormat="1" x14ac:dyDescent="0.3">
      <c r="B7" s="498"/>
      <c r="C7" s="155"/>
      <c r="D7" s="155" t="s">
        <v>2</v>
      </c>
      <c r="E7" s="151"/>
      <c r="F7" s="269" t="s">
        <v>369</v>
      </c>
      <c r="G7" s="184">
        <v>701978</v>
      </c>
      <c r="H7" s="185" t="s">
        <v>131</v>
      </c>
      <c r="I7" s="185" t="s">
        <v>131</v>
      </c>
      <c r="J7" s="184">
        <v>2</v>
      </c>
      <c r="K7" s="169">
        <f>(1200)*0.6*1.071*1400</f>
        <v>1079568</v>
      </c>
      <c r="L7" s="55">
        <v>2025000</v>
      </c>
      <c r="M7" s="164">
        <f>J7*K7</f>
        <v>2159136</v>
      </c>
      <c r="N7" s="158">
        <v>0</v>
      </c>
      <c r="O7" s="1328">
        <f>J7*L7/(1-N7)</f>
        <v>4050000</v>
      </c>
      <c r="P7" s="1329"/>
      <c r="Q7" s="1330" t="s">
        <v>509</v>
      </c>
      <c r="R7" s="1331"/>
      <c r="S7" s="204"/>
      <c r="T7" s="368"/>
      <c r="U7" s="562"/>
      <c r="V7" s="370"/>
      <c r="W7" s="370"/>
      <c r="X7" s="370"/>
      <c r="Y7" s="370"/>
      <c r="Z7" s="370"/>
      <c r="AA7" s="370"/>
      <c r="AB7" s="370"/>
      <c r="AC7" s="370"/>
      <c r="AD7" s="370"/>
      <c r="AE7" s="370"/>
      <c r="AF7" s="370"/>
    </row>
    <row r="8" spans="1:32" s="369" customFormat="1" x14ac:dyDescent="0.3">
      <c r="B8" s="615"/>
      <c r="C8" s="611"/>
      <c r="D8" s="611" t="s">
        <v>2</v>
      </c>
      <c r="E8" s="609"/>
      <c r="F8" s="616" t="s">
        <v>549</v>
      </c>
      <c r="G8" s="617">
        <v>701937</v>
      </c>
      <c r="H8" s="618" t="s">
        <v>131</v>
      </c>
      <c r="I8" s="618" t="s">
        <v>131</v>
      </c>
      <c r="J8" s="617">
        <v>1</v>
      </c>
      <c r="K8" s="619"/>
      <c r="L8" s="620"/>
      <c r="M8" s="613"/>
      <c r="N8" s="614">
        <v>0</v>
      </c>
      <c r="O8" s="1566">
        <f>J8*L8/(1-N8)</f>
        <v>0</v>
      </c>
      <c r="P8" s="1567"/>
      <c r="Q8" s="1568" t="s">
        <v>556</v>
      </c>
      <c r="R8" s="1569"/>
      <c r="S8" s="204"/>
      <c r="T8" s="368"/>
      <c r="U8" s="562" t="s">
        <v>492</v>
      </c>
      <c r="V8" s="370"/>
      <c r="W8" s="370"/>
      <c r="X8" s="370"/>
      <c r="Y8" s="370"/>
      <c r="Z8" s="370"/>
      <c r="AA8" s="370"/>
      <c r="AB8" s="370"/>
      <c r="AC8" s="370"/>
      <c r="AD8" s="370"/>
      <c r="AE8" s="370"/>
      <c r="AF8" s="370"/>
    </row>
    <row r="9" spans="1:32" s="413" customFormat="1" x14ac:dyDescent="0.3">
      <c r="B9" s="496"/>
      <c r="C9" s="497"/>
      <c r="D9" s="416" t="s">
        <v>2</v>
      </c>
      <c r="E9" s="497"/>
      <c r="F9" s="417" t="s">
        <v>489</v>
      </c>
      <c r="G9" s="416">
        <v>702916</v>
      </c>
      <c r="H9" s="416" t="s">
        <v>131</v>
      </c>
      <c r="I9" s="56" t="s">
        <v>131</v>
      </c>
      <c r="J9" s="416">
        <v>1</v>
      </c>
      <c r="K9" s="169">
        <f>(6450)*0.6*1.071*1400</f>
        <v>5802677.9999999991</v>
      </c>
      <c r="L9" s="169">
        <v>8712000</v>
      </c>
      <c r="M9" s="418">
        <f t="shared" ref="M9:M16" si="0">J9*K9</f>
        <v>5802677.9999999991</v>
      </c>
      <c r="N9" s="419">
        <v>0</v>
      </c>
      <c r="O9" s="1472">
        <f>J9*L9/(1-N9)</f>
        <v>8712000</v>
      </c>
      <c r="P9" s="1473"/>
      <c r="Q9" s="1474" t="s">
        <v>575</v>
      </c>
      <c r="R9" s="1475"/>
      <c r="S9" s="420"/>
      <c r="T9" s="74" t="s">
        <v>576</v>
      </c>
      <c r="U9" s="569" t="s">
        <v>498</v>
      </c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</row>
    <row r="10" spans="1:32" s="413" customFormat="1" ht="33" x14ac:dyDescent="0.3">
      <c r="B10" s="496"/>
      <c r="C10" s="497" t="s">
        <v>73</v>
      </c>
      <c r="D10" s="416"/>
      <c r="E10" s="497"/>
      <c r="F10" s="417" t="s">
        <v>399</v>
      </c>
      <c r="G10" s="416" t="s">
        <v>395</v>
      </c>
      <c r="H10" s="416" t="s">
        <v>257</v>
      </c>
      <c r="I10" s="56"/>
      <c r="J10" s="416">
        <v>1</v>
      </c>
      <c r="K10" s="169">
        <f>L10*0.75</f>
        <v>7717500</v>
      </c>
      <c r="L10" s="169">
        <v>10290000</v>
      </c>
      <c r="M10" s="418">
        <f t="shared" si="0"/>
        <v>7717500</v>
      </c>
      <c r="N10" s="419">
        <v>0</v>
      </c>
      <c r="O10" s="1472">
        <f t="shared" ref="O10:O17" si="1">J10*L10/(1-N10)</f>
        <v>10290000</v>
      </c>
      <c r="P10" s="1473"/>
      <c r="Q10" s="1474" t="s">
        <v>550</v>
      </c>
      <c r="R10" s="1475"/>
      <c r="S10" s="420"/>
      <c r="T10" s="73"/>
      <c r="U10" s="569" t="s">
        <v>499</v>
      </c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</row>
    <row r="11" spans="1:32" s="84" customFormat="1" x14ac:dyDescent="0.3">
      <c r="B11" s="498"/>
      <c r="C11" s="499" t="s">
        <v>73</v>
      </c>
      <c r="D11" s="499"/>
      <c r="E11" s="151"/>
      <c r="F11" s="156" t="s">
        <v>546</v>
      </c>
      <c r="G11" s="393" t="s">
        <v>425</v>
      </c>
      <c r="H11" s="155" t="s">
        <v>142</v>
      </c>
      <c r="I11" s="56" t="s">
        <v>64</v>
      </c>
      <c r="J11" s="155">
        <v>1</v>
      </c>
      <c r="K11" s="55">
        <f>L11*0.75</f>
        <v>1731750</v>
      </c>
      <c r="L11" s="55">
        <v>2309000</v>
      </c>
      <c r="M11" s="164">
        <f t="shared" si="0"/>
        <v>1731750</v>
      </c>
      <c r="N11" s="158">
        <v>0</v>
      </c>
      <c r="O11" s="1328">
        <f t="shared" si="1"/>
        <v>2309000</v>
      </c>
      <c r="P11" s="1329"/>
      <c r="Q11" s="1330" t="s">
        <v>426</v>
      </c>
      <c r="R11" s="1331"/>
      <c r="S11" s="204"/>
      <c r="T11" s="78"/>
      <c r="U11" s="562"/>
      <c r="V11"/>
      <c r="W11"/>
      <c r="X11"/>
      <c r="Y11"/>
      <c r="Z11"/>
      <c r="AA11"/>
      <c r="AB11"/>
      <c r="AC11"/>
      <c r="AD11"/>
      <c r="AE11"/>
      <c r="AF11"/>
    </row>
    <row r="12" spans="1:32" s="528" customFormat="1" x14ac:dyDescent="0.3">
      <c r="B12" s="62"/>
      <c r="C12" s="63" t="s">
        <v>2</v>
      </c>
      <c r="D12" s="63"/>
      <c r="E12" s="61"/>
      <c r="F12" s="174" t="s">
        <v>459</v>
      </c>
      <c r="G12" s="507" t="s">
        <v>195</v>
      </c>
      <c r="H12" s="56" t="s">
        <v>142</v>
      </c>
      <c r="I12" s="56" t="s">
        <v>64</v>
      </c>
      <c r="J12" s="56">
        <v>1</v>
      </c>
      <c r="K12" s="55">
        <f>L12*0.75</f>
        <v>14394750</v>
      </c>
      <c r="L12" s="55">
        <f>19193000</f>
        <v>19193000</v>
      </c>
      <c r="M12" s="418">
        <f t="shared" si="0"/>
        <v>14394750</v>
      </c>
      <c r="N12" s="503">
        <v>0</v>
      </c>
      <c r="O12" s="1472">
        <f>L12*J12</f>
        <v>19193000</v>
      </c>
      <c r="P12" s="1473"/>
      <c r="Q12" s="1484" t="s">
        <v>401</v>
      </c>
      <c r="R12" s="1485"/>
      <c r="S12" s="212"/>
      <c r="T12" s="400"/>
      <c r="U12" s="563"/>
      <c r="V12" s="70"/>
      <c r="W12" s="70"/>
      <c r="X12" s="70"/>
      <c r="Y12" s="70"/>
      <c r="Z12" s="70"/>
      <c r="AA12" s="70"/>
      <c r="AB12" s="70"/>
    </row>
    <row r="13" spans="1:32" s="528" customFormat="1" x14ac:dyDescent="0.3">
      <c r="B13" s="62"/>
      <c r="C13" s="63"/>
      <c r="D13" s="63" t="s">
        <v>2</v>
      </c>
      <c r="E13" s="61"/>
      <c r="F13" s="174" t="s">
        <v>460</v>
      </c>
      <c r="G13" s="507" t="s">
        <v>461</v>
      </c>
      <c r="H13" s="56" t="s">
        <v>142</v>
      </c>
      <c r="I13" s="56" t="s">
        <v>64</v>
      </c>
      <c r="J13" s="56">
        <v>1</v>
      </c>
      <c r="K13" s="55">
        <f>L13*0.75</f>
        <v>14008500</v>
      </c>
      <c r="L13" s="55">
        <v>18678000</v>
      </c>
      <c r="M13" s="418">
        <f t="shared" si="0"/>
        <v>14008500</v>
      </c>
      <c r="N13" s="503">
        <v>0</v>
      </c>
      <c r="O13" s="1472">
        <f>L13*J13</f>
        <v>18678000</v>
      </c>
      <c r="P13" s="1473"/>
      <c r="Q13" s="1486"/>
      <c r="R13" s="1487"/>
      <c r="S13" s="212"/>
      <c r="T13" s="70"/>
      <c r="U13" s="563"/>
      <c r="V13" s="70"/>
      <c r="W13" s="70"/>
      <c r="X13" s="70"/>
      <c r="Y13" s="70"/>
      <c r="Z13" s="70"/>
      <c r="AA13" s="70"/>
      <c r="AB13" s="70"/>
    </row>
    <row r="14" spans="1:32" s="84" customFormat="1" x14ac:dyDescent="0.3">
      <c r="B14" s="581"/>
      <c r="C14" s="184" t="s">
        <v>73</v>
      </c>
      <c r="D14" s="184"/>
      <c r="E14" s="582"/>
      <c r="F14" s="156" t="s">
        <v>427</v>
      </c>
      <c r="G14" s="155">
        <v>2470</v>
      </c>
      <c r="H14" s="155" t="s">
        <v>258</v>
      </c>
      <c r="I14" s="155"/>
      <c r="J14" s="184">
        <v>1</v>
      </c>
      <c r="K14" s="169">
        <f>L14*0.85</f>
        <v>14960000</v>
      </c>
      <c r="L14" s="55">
        <v>17600000</v>
      </c>
      <c r="M14" s="164">
        <f t="shared" si="0"/>
        <v>14960000</v>
      </c>
      <c r="N14" s="158">
        <v>0</v>
      </c>
      <c r="O14" s="1328">
        <f t="shared" si="1"/>
        <v>17600000</v>
      </c>
      <c r="P14" s="1329"/>
      <c r="Q14" s="1330" t="s">
        <v>263</v>
      </c>
      <c r="R14" s="1331"/>
      <c r="S14" s="204"/>
      <c r="T14" s="78"/>
      <c r="U14" s="562"/>
      <c r="V14"/>
      <c r="W14"/>
      <c r="X14"/>
      <c r="Y14"/>
      <c r="Z14"/>
      <c r="AA14"/>
      <c r="AB14"/>
      <c r="AC14"/>
      <c r="AD14"/>
      <c r="AE14"/>
      <c r="AF14"/>
    </row>
    <row r="15" spans="1:32" s="84" customFormat="1" ht="49.5" x14ac:dyDescent="0.3">
      <c r="B15" s="581"/>
      <c r="C15" s="184" t="s">
        <v>73</v>
      </c>
      <c r="D15" s="184"/>
      <c r="E15" s="582"/>
      <c r="F15" s="156" t="s">
        <v>259</v>
      </c>
      <c r="G15" s="155" t="s">
        <v>325</v>
      </c>
      <c r="H15" s="155" t="s">
        <v>258</v>
      </c>
      <c r="I15" s="155"/>
      <c r="J15" s="184">
        <v>1</v>
      </c>
      <c r="K15" s="169">
        <f>L15*0.85</f>
        <v>6273000</v>
      </c>
      <c r="L15" s="55">
        <v>7380000</v>
      </c>
      <c r="M15" s="164">
        <f t="shared" si="0"/>
        <v>6273000</v>
      </c>
      <c r="N15" s="158">
        <v>0</v>
      </c>
      <c r="O15" s="1328">
        <f t="shared" si="1"/>
        <v>7380000</v>
      </c>
      <c r="P15" s="1329"/>
      <c r="Q15" s="1330" t="s">
        <v>326</v>
      </c>
      <c r="R15" s="1331"/>
      <c r="S15" s="204"/>
      <c r="T15" s="78"/>
      <c r="U15" s="568" t="s">
        <v>496</v>
      </c>
      <c r="V15"/>
      <c r="W15"/>
      <c r="X15"/>
      <c r="Y15"/>
      <c r="Z15"/>
      <c r="AA15"/>
      <c r="AB15"/>
      <c r="AC15"/>
      <c r="AD15"/>
      <c r="AE15"/>
      <c r="AF15"/>
    </row>
    <row r="16" spans="1:32" s="84" customFormat="1" x14ac:dyDescent="0.3">
      <c r="B16" s="581"/>
      <c r="C16" s="184" t="s">
        <v>2</v>
      </c>
      <c r="D16" s="184"/>
      <c r="E16" s="582"/>
      <c r="F16" s="156" t="s">
        <v>428</v>
      </c>
      <c r="G16" s="155">
        <v>3153</v>
      </c>
      <c r="H16" s="155" t="s">
        <v>260</v>
      </c>
      <c r="I16" s="155"/>
      <c r="J16" s="184">
        <v>1</v>
      </c>
      <c r="K16" s="169">
        <f t="shared" ref="K16" si="2">L16*0.75</f>
        <v>8088000</v>
      </c>
      <c r="L16" s="55">
        <v>10784000</v>
      </c>
      <c r="M16" s="164">
        <f t="shared" si="0"/>
        <v>8088000</v>
      </c>
      <c r="N16" s="158">
        <v>0</v>
      </c>
      <c r="O16" s="1328">
        <f t="shared" si="1"/>
        <v>10784000</v>
      </c>
      <c r="P16" s="1329"/>
      <c r="Q16" s="1330" t="s">
        <v>511</v>
      </c>
      <c r="R16" s="1331"/>
      <c r="S16" s="204"/>
      <c r="T16" s="78"/>
      <c r="U16" s="562" t="s">
        <v>497</v>
      </c>
      <c r="V16"/>
      <c r="W16"/>
      <c r="X16"/>
      <c r="Y16"/>
      <c r="Z16"/>
      <c r="AA16"/>
      <c r="AB16"/>
      <c r="AC16"/>
      <c r="AD16"/>
      <c r="AE16"/>
      <c r="AF16"/>
    </row>
    <row r="17" spans="1:34" s="82" customFormat="1" x14ac:dyDescent="0.3">
      <c r="B17" s="494"/>
      <c r="C17" s="495"/>
      <c r="D17" s="403"/>
      <c r="E17" s="495"/>
      <c r="F17" s="404" t="s">
        <v>256</v>
      </c>
      <c r="G17" s="403" t="s">
        <v>336</v>
      </c>
      <c r="H17" s="403" t="s">
        <v>337</v>
      </c>
      <c r="I17" s="405"/>
      <c r="J17" s="403">
        <v>0</v>
      </c>
      <c r="K17" s="406"/>
      <c r="L17" s="406">
        <v>11140000</v>
      </c>
      <c r="M17" s="407">
        <f>J17*K17</f>
        <v>0</v>
      </c>
      <c r="N17" s="408">
        <v>0</v>
      </c>
      <c r="O17" s="1546">
        <f t="shared" si="1"/>
        <v>0</v>
      </c>
      <c r="P17" s="1547"/>
      <c r="Q17" s="1564" t="s">
        <v>481</v>
      </c>
      <c r="R17" s="1565"/>
      <c r="S17" s="556"/>
      <c r="T17" s="73"/>
      <c r="U17" s="562"/>
      <c r="V17"/>
      <c r="W17"/>
      <c r="X17"/>
      <c r="Y17"/>
      <c r="Z17"/>
      <c r="AA17"/>
      <c r="AB17"/>
      <c r="AC17"/>
      <c r="AD17"/>
      <c r="AE17"/>
      <c r="AF17"/>
    </row>
    <row r="18" spans="1:34" s="394" customFormat="1" x14ac:dyDescent="0.3">
      <c r="A18" s="369"/>
      <c r="B18" s="583"/>
      <c r="C18" s="584"/>
      <c r="D18" s="584"/>
      <c r="E18" s="518"/>
      <c r="F18" s="519" t="s">
        <v>423</v>
      </c>
      <c r="G18" s="405" t="s">
        <v>273</v>
      </c>
      <c r="H18" s="405" t="s">
        <v>255</v>
      </c>
      <c r="I18" s="405"/>
      <c r="J18" s="405">
        <v>0</v>
      </c>
      <c r="K18" s="520">
        <f>L18*0.75</f>
        <v>27652500</v>
      </c>
      <c r="L18" s="520">
        <v>36870000</v>
      </c>
      <c r="M18" s="407">
        <f>J18*K18</f>
        <v>0</v>
      </c>
      <c r="N18" s="521">
        <v>0</v>
      </c>
      <c r="O18" s="1546">
        <f>J18*L18/(1-N18)</f>
        <v>0</v>
      </c>
      <c r="P18" s="1547"/>
      <c r="Q18" s="1548" t="s">
        <v>462</v>
      </c>
      <c r="R18" s="1549"/>
      <c r="S18" s="212"/>
      <c r="T18" s="400"/>
      <c r="U18" s="563"/>
      <c r="V18" s="400"/>
      <c r="W18" s="400"/>
      <c r="X18" s="400"/>
      <c r="Y18" s="400"/>
      <c r="Z18" s="400"/>
      <c r="AA18" s="400"/>
    </row>
    <row r="19" spans="1:34" s="528" customFormat="1" x14ac:dyDescent="0.3">
      <c r="A19" s="84"/>
      <c r="B19" s="583"/>
      <c r="C19" s="584"/>
      <c r="D19" s="584"/>
      <c r="E19" s="518"/>
      <c r="F19" s="519" t="s">
        <v>424</v>
      </c>
      <c r="G19" s="405" t="s">
        <v>274</v>
      </c>
      <c r="H19" s="405" t="s">
        <v>255</v>
      </c>
      <c r="I19" s="405"/>
      <c r="J19" s="405">
        <v>0</v>
      </c>
      <c r="K19" s="520">
        <f>L19*0.75</f>
        <v>23730000</v>
      </c>
      <c r="L19" s="520">
        <v>31640000</v>
      </c>
      <c r="M19" s="407">
        <f>J19*K19</f>
        <v>0</v>
      </c>
      <c r="N19" s="521">
        <v>0</v>
      </c>
      <c r="O19" s="1546">
        <f>J19*L19/(1-N19)</f>
        <v>0</v>
      </c>
      <c r="P19" s="1547"/>
      <c r="Q19" s="1550" t="s">
        <v>401</v>
      </c>
      <c r="R19" s="1551"/>
      <c r="S19" s="212"/>
      <c r="T19" s="70"/>
      <c r="U19" s="563"/>
      <c r="V19" s="70"/>
      <c r="W19" s="70"/>
      <c r="X19" s="70"/>
      <c r="Y19" s="70"/>
      <c r="Z19" s="70"/>
      <c r="AA19" s="70"/>
      <c r="AB19" s="70"/>
      <c r="AC19" s="70"/>
    </row>
    <row r="20" spans="1:34" s="82" customFormat="1" ht="17.25" thickBot="1" x14ac:dyDescent="0.35">
      <c r="B20" s="585"/>
      <c r="C20" s="492"/>
      <c r="D20" s="492"/>
      <c r="E20" s="586"/>
      <c r="F20" s="487"/>
      <c r="G20" s="484"/>
      <c r="H20" s="484"/>
      <c r="I20" s="484"/>
      <c r="J20" s="492"/>
      <c r="K20" s="493"/>
      <c r="L20" s="488"/>
      <c r="M20" s="485"/>
      <c r="N20" s="486"/>
      <c r="O20" s="1476"/>
      <c r="P20" s="1477"/>
      <c r="Q20" s="1478"/>
      <c r="R20" s="1479"/>
      <c r="S20" s="489"/>
      <c r="T20" s="273"/>
      <c r="U20" s="562"/>
    </row>
    <row r="21" spans="1:34" s="84" customFormat="1" ht="17.25" thickBot="1" x14ac:dyDescent="0.35">
      <c r="B21" s="587" t="s">
        <v>2</v>
      </c>
      <c r="C21" s="588"/>
      <c r="D21" s="588"/>
      <c r="E21" s="589"/>
      <c r="F21" s="270" t="s">
        <v>266</v>
      </c>
      <c r="G21" s="590"/>
      <c r="H21" s="590"/>
      <c r="I21" s="590"/>
      <c r="J21" s="590"/>
      <c r="K21" s="590"/>
      <c r="L21" s="591"/>
      <c r="M21" s="592"/>
      <c r="N21" s="593"/>
      <c r="O21" s="1324"/>
      <c r="P21" s="1325"/>
      <c r="Q21" s="1326"/>
      <c r="R21" s="1327"/>
      <c r="S21" s="115"/>
      <c r="T21" s="78"/>
      <c r="U21" s="566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s="82" customFormat="1" x14ac:dyDescent="0.3">
      <c r="B22" s="500"/>
      <c r="C22" s="501" t="s">
        <v>2</v>
      </c>
      <c r="D22" s="144"/>
      <c r="E22" s="145"/>
      <c r="F22" s="146" t="s">
        <v>541</v>
      </c>
      <c r="G22" s="144" t="s">
        <v>278</v>
      </c>
      <c r="H22" s="144" t="s">
        <v>80</v>
      </c>
      <c r="I22" s="144" t="s">
        <v>240</v>
      </c>
      <c r="J22" s="144">
        <v>1</v>
      </c>
      <c r="K22" s="157">
        <f t="shared" ref="K22:K25" si="3">L22*0.95</f>
        <v>2422500</v>
      </c>
      <c r="L22" s="147">
        <v>2550000</v>
      </c>
      <c r="M22" s="163">
        <f>J22*K22</f>
        <v>2422500</v>
      </c>
      <c r="N22" s="148">
        <v>0</v>
      </c>
      <c r="O22" s="1480">
        <f t="shared" ref="O22:O25" si="4">J22*L22/(1-N22)</f>
        <v>2550000</v>
      </c>
      <c r="P22" s="1481"/>
      <c r="Q22" s="1482"/>
      <c r="R22" s="1483"/>
      <c r="S22" s="287"/>
      <c r="T22" s="273"/>
      <c r="U22" s="562" t="s">
        <v>493</v>
      </c>
    </row>
    <row r="23" spans="1:34" x14ac:dyDescent="0.3">
      <c r="B23" s="498"/>
      <c r="C23" s="499"/>
      <c r="D23" s="499" t="s">
        <v>2</v>
      </c>
      <c r="E23" s="151"/>
      <c r="F23" s="156" t="s">
        <v>539</v>
      </c>
      <c r="G23" s="155" t="s">
        <v>422</v>
      </c>
      <c r="H23" s="155" t="s">
        <v>80</v>
      </c>
      <c r="I23" s="155" t="s">
        <v>430</v>
      </c>
      <c r="J23" s="155">
        <v>1</v>
      </c>
      <c r="K23" s="157">
        <f t="shared" si="3"/>
        <v>2242000</v>
      </c>
      <c r="L23" s="157">
        <v>2360000</v>
      </c>
      <c r="M23" s="164">
        <f t="shared" ref="M23:M25" si="5">J23*K23</f>
        <v>2242000</v>
      </c>
      <c r="N23" s="158">
        <v>0</v>
      </c>
      <c r="O23" s="1328">
        <f t="shared" si="4"/>
        <v>2360000</v>
      </c>
      <c r="P23" s="1329"/>
      <c r="Q23" s="1330" t="s">
        <v>582</v>
      </c>
      <c r="R23" s="1331"/>
      <c r="S23" s="152"/>
      <c r="T23" s="606" t="s">
        <v>552</v>
      </c>
      <c r="U23" s="567" t="s">
        <v>494</v>
      </c>
      <c r="V23" s="3"/>
      <c r="W23" s="79"/>
    </row>
    <row r="24" spans="1:34" x14ac:dyDescent="0.3">
      <c r="B24" s="498"/>
      <c r="C24" s="499"/>
      <c r="D24" s="499" t="s">
        <v>2</v>
      </c>
      <c r="E24" s="151"/>
      <c r="F24" s="156" t="s">
        <v>537</v>
      </c>
      <c r="G24" s="155" t="s">
        <v>316</v>
      </c>
      <c r="H24" s="155" t="s">
        <v>80</v>
      </c>
      <c r="I24" s="155" t="s">
        <v>430</v>
      </c>
      <c r="J24" s="155">
        <v>1</v>
      </c>
      <c r="K24" s="157">
        <f t="shared" si="3"/>
        <v>836000</v>
      </c>
      <c r="L24" s="157">
        <v>880000</v>
      </c>
      <c r="M24" s="164">
        <f t="shared" si="5"/>
        <v>836000</v>
      </c>
      <c r="N24" s="158">
        <v>0</v>
      </c>
      <c r="O24" s="1328">
        <f t="shared" si="4"/>
        <v>880000</v>
      </c>
      <c r="P24" s="1329"/>
      <c r="Q24" s="570" t="s">
        <v>581</v>
      </c>
      <c r="R24" s="571"/>
      <c r="S24" s="289"/>
      <c r="T24" s="82" t="s">
        <v>533</v>
      </c>
    </row>
    <row r="25" spans="1:34" x14ac:dyDescent="0.3">
      <c r="B25" s="626"/>
      <c r="C25" s="621"/>
      <c r="D25" s="621" t="s">
        <v>2</v>
      </c>
      <c r="E25" s="627"/>
      <c r="F25" s="610" t="s">
        <v>535</v>
      </c>
      <c r="G25" s="611" t="s">
        <v>554</v>
      </c>
      <c r="H25" s="611" t="s">
        <v>80</v>
      </c>
      <c r="I25" s="611" t="s">
        <v>430</v>
      </c>
      <c r="J25" s="617">
        <v>1</v>
      </c>
      <c r="K25" s="620">
        <f t="shared" si="3"/>
        <v>1396500</v>
      </c>
      <c r="L25" s="620">
        <v>1470000</v>
      </c>
      <c r="M25" s="613">
        <f t="shared" si="5"/>
        <v>1396500</v>
      </c>
      <c r="N25" s="614">
        <v>0</v>
      </c>
      <c r="O25" s="1566">
        <f t="shared" si="4"/>
        <v>1470000</v>
      </c>
      <c r="P25" s="1567"/>
      <c r="Q25" s="1568" t="s">
        <v>525</v>
      </c>
      <c r="R25" s="1569"/>
      <c r="S25" s="204"/>
      <c r="T25" s="625" t="s">
        <v>555</v>
      </c>
    </row>
    <row r="26" spans="1:34" s="84" customFormat="1" ht="17.25" thickBot="1" x14ac:dyDescent="0.35">
      <c r="B26" s="581"/>
      <c r="C26" s="184"/>
      <c r="D26" s="184"/>
      <c r="E26" s="582"/>
      <c r="F26" s="156"/>
      <c r="G26" s="155"/>
      <c r="H26" s="155"/>
      <c r="I26" s="155"/>
      <c r="J26" s="184"/>
      <c r="K26" s="199"/>
      <c r="L26" s="55"/>
      <c r="M26" s="164"/>
      <c r="N26" s="158"/>
      <c r="O26" s="577"/>
      <c r="P26" s="578"/>
      <c r="Q26" s="570"/>
      <c r="R26" s="571"/>
      <c r="S26" s="204"/>
      <c r="T26" s="78"/>
      <c r="U26" s="562"/>
      <c r="V26"/>
      <c r="W26"/>
      <c r="X26"/>
      <c r="Y26"/>
      <c r="Z26"/>
      <c r="AA26"/>
      <c r="AB26"/>
      <c r="AC26"/>
      <c r="AD26"/>
      <c r="AE26"/>
      <c r="AF26"/>
    </row>
    <row r="27" spans="1:34" s="84" customFormat="1" ht="17.25" thickBot="1" x14ac:dyDescent="0.35">
      <c r="B27" s="587" t="s">
        <v>2</v>
      </c>
      <c r="C27" s="588"/>
      <c r="D27" s="588"/>
      <c r="E27" s="589"/>
      <c r="F27" s="270" t="s">
        <v>267</v>
      </c>
      <c r="G27" s="590"/>
      <c r="H27" s="590"/>
      <c r="I27" s="590"/>
      <c r="J27" s="590"/>
      <c r="K27" s="590"/>
      <c r="L27" s="591"/>
      <c r="M27" s="592"/>
      <c r="N27" s="593"/>
      <c r="O27" s="1324"/>
      <c r="P27" s="1325"/>
      <c r="Q27" s="1336"/>
      <c r="R27" s="1337"/>
      <c r="S27" s="115"/>
      <c r="T27" s="78"/>
      <c r="V27"/>
      <c r="W27"/>
      <c r="X27"/>
      <c r="Y27"/>
      <c r="Z27"/>
      <c r="AA27"/>
      <c r="AB27"/>
      <c r="AC27"/>
      <c r="AD27"/>
      <c r="AE27"/>
      <c r="AF27"/>
    </row>
    <row r="28" spans="1:34" s="82" customFormat="1" x14ac:dyDescent="0.3">
      <c r="B28" s="594"/>
      <c r="C28" s="176" t="s">
        <v>2</v>
      </c>
      <c r="D28" s="184"/>
      <c r="E28" s="595"/>
      <c r="F28" s="203" t="s">
        <v>417</v>
      </c>
      <c r="G28" s="176"/>
      <c r="H28" s="176" t="s">
        <v>60</v>
      </c>
      <c r="I28" s="155"/>
      <c r="J28" s="155">
        <v>1</v>
      </c>
      <c r="K28" s="157">
        <v>5000000</v>
      </c>
      <c r="L28" s="157">
        <v>5000000</v>
      </c>
      <c r="M28" s="164">
        <f>J28*K28</f>
        <v>5000000</v>
      </c>
      <c r="N28" s="158">
        <v>0.3</v>
      </c>
      <c r="O28" s="1480">
        <f>J28*L28*(1+N28)</f>
        <v>6500000</v>
      </c>
      <c r="P28" s="1481"/>
      <c r="Q28" s="1330" t="s">
        <v>420</v>
      </c>
      <c r="R28" s="1331"/>
      <c r="S28" s="152"/>
      <c r="T28" s="273"/>
      <c r="U28" s="562"/>
    </row>
    <row r="29" spans="1:34" s="82" customFormat="1" x14ac:dyDescent="0.3">
      <c r="B29" s="607"/>
      <c r="C29" s="608"/>
      <c r="D29" s="608" t="s">
        <v>2</v>
      </c>
      <c r="E29" s="609"/>
      <c r="F29" s="610" t="s">
        <v>247</v>
      </c>
      <c r="G29" s="611" t="s">
        <v>248</v>
      </c>
      <c r="H29" s="611" t="s">
        <v>249</v>
      </c>
      <c r="I29" s="611" t="s">
        <v>249</v>
      </c>
      <c r="J29" s="611">
        <v>0</v>
      </c>
      <c r="K29" s="612">
        <v>530000</v>
      </c>
      <c r="L29" s="612">
        <v>530000</v>
      </c>
      <c r="M29" s="613">
        <f>J29*K29</f>
        <v>0</v>
      </c>
      <c r="N29" s="614">
        <v>0.3</v>
      </c>
      <c r="O29" s="1566">
        <f t="shared" ref="O29:O43" si="6">J29*L29*(1+N29)</f>
        <v>0</v>
      </c>
      <c r="P29" s="1567"/>
      <c r="Q29" s="1570" t="s">
        <v>557</v>
      </c>
      <c r="R29" s="1571"/>
      <c r="S29" s="152"/>
      <c r="T29" s="273"/>
      <c r="U29" s="562"/>
    </row>
    <row r="30" spans="1:34" s="82" customFormat="1" x14ac:dyDescent="0.3">
      <c r="B30" s="594"/>
      <c r="C30" s="176"/>
      <c r="D30" s="176" t="s">
        <v>2</v>
      </c>
      <c r="E30" s="151"/>
      <c r="F30" s="156" t="s">
        <v>250</v>
      </c>
      <c r="G30" s="155" t="s">
        <v>329</v>
      </c>
      <c r="H30" s="155" t="s">
        <v>330</v>
      </c>
      <c r="I30" s="155" t="s">
        <v>251</v>
      </c>
      <c r="J30" s="155">
        <v>1</v>
      </c>
      <c r="K30" s="157">
        <v>200000</v>
      </c>
      <c r="L30" s="157">
        <v>200000</v>
      </c>
      <c r="M30" s="164">
        <f>J30*K30</f>
        <v>200000</v>
      </c>
      <c r="N30" s="158">
        <v>0.3</v>
      </c>
      <c r="O30" s="1328">
        <f t="shared" si="6"/>
        <v>260000</v>
      </c>
      <c r="P30" s="1329"/>
      <c r="Q30" s="1330"/>
      <c r="R30" s="1331"/>
      <c r="S30" s="152"/>
      <c r="T30" s="273"/>
      <c r="U30" s="562"/>
    </row>
    <row r="31" spans="1:34" s="82" customFormat="1" x14ac:dyDescent="0.3">
      <c r="B31" s="594"/>
      <c r="C31" s="176"/>
      <c r="D31" s="176" t="s">
        <v>2</v>
      </c>
      <c r="E31" s="582"/>
      <c r="F31" s="156" t="s">
        <v>252</v>
      </c>
      <c r="G31" s="155" t="s">
        <v>253</v>
      </c>
      <c r="H31" s="155" t="s">
        <v>254</v>
      </c>
      <c r="I31" s="155" t="s">
        <v>254</v>
      </c>
      <c r="J31" s="184">
        <v>1</v>
      </c>
      <c r="K31" s="55">
        <v>3000000</v>
      </c>
      <c r="L31" s="55">
        <v>3000000</v>
      </c>
      <c r="M31" s="164">
        <f>J31*K31</f>
        <v>3000000</v>
      </c>
      <c r="N31" s="158">
        <v>0.3</v>
      </c>
      <c r="O31" s="1328">
        <f t="shared" si="6"/>
        <v>3900000</v>
      </c>
      <c r="P31" s="1329"/>
      <c r="Q31" s="570"/>
      <c r="R31" s="571"/>
      <c r="S31" s="204"/>
      <c r="T31" s="273"/>
      <c r="U31" s="562"/>
    </row>
    <row r="32" spans="1:34" s="82" customFormat="1" x14ac:dyDescent="0.3">
      <c r="B32" s="498"/>
      <c r="C32" s="499"/>
      <c r="D32" s="155" t="s">
        <v>2</v>
      </c>
      <c r="E32" s="151"/>
      <c r="F32" s="156" t="s">
        <v>245</v>
      </c>
      <c r="G32" s="155" t="s">
        <v>246</v>
      </c>
      <c r="H32" s="155" t="s">
        <v>183</v>
      </c>
      <c r="I32" s="155"/>
      <c r="J32" s="155">
        <v>1</v>
      </c>
      <c r="K32" s="157">
        <v>200000</v>
      </c>
      <c r="L32" s="157">
        <v>200000</v>
      </c>
      <c r="M32" s="164">
        <f t="shared" ref="M32:M33" si="7">J32*K32</f>
        <v>200000</v>
      </c>
      <c r="N32" s="158">
        <v>0.3</v>
      </c>
      <c r="O32" s="1328">
        <f t="shared" si="6"/>
        <v>260000</v>
      </c>
      <c r="P32" s="1329"/>
      <c r="Q32" s="1330"/>
      <c r="R32" s="1331"/>
      <c r="S32" s="152"/>
      <c r="T32" s="273"/>
      <c r="U32" s="562"/>
    </row>
    <row r="33" spans="2:32" s="84" customFormat="1" x14ac:dyDescent="0.3">
      <c r="B33" s="581"/>
      <c r="C33" s="499"/>
      <c r="D33" s="155" t="s">
        <v>2</v>
      </c>
      <c r="E33" s="582"/>
      <c r="F33" s="156" t="s">
        <v>343</v>
      </c>
      <c r="G33" s="155" t="s">
        <v>334</v>
      </c>
      <c r="H33" s="155" t="s">
        <v>328</v>
      </c>
      <c r="I33" s="155"/>
      <c r="J33" s="184">
        <v>1</v>
      </c>
      <c r="K33" s="169">
        <v>450000</v>
      </c>
      <c r="L33" s="169">
        <v>500000</v>
      </c>
      <c r="M33" s="164">
        <f t="shared" si="7"/>
        <v>450000</v>
      </c>
      <c r="N33" s="158">
        <v>0</v>
      </c>
      <c r="O33" s="1328">
        <f>J33*L33/(1-N33)</f>
        <v>500000</v>
      </c>
      <c r="P33" s="1329"/>
      <c r="Q33" s="1330" t="s">
        <v>526</v>
      </c>
      <c r="R33" s="1331"/>
      <c r="S33" s="204"/>
      <c r="T33" s="78"/>
      <c r="U33" s="562"/>
      <c r="V33"/>
      <c r="W33"/>
      <c r="X33"/>
      <c r="Y33"/>
      <c r="Z33"/>
      <c r="AA33"/>
      <c r="AB33"/>
      <c r="AC33"/>
      <c r="AD33"/>
      <c r="AE33"/>
      <c r="AF33"/>
    </row>
    <row r="34" spans="2:32" s="82" customFormat="1" x14ac:dyDescent="0.3">
      <c r="B34" s="594"/>
      <c r="C34" s="176" t="s">
        <v>2</v>
      </c>
      <c r="D34" s="184"/>
      <c r="E34" s="595"/>
      <c r="F34" s="203" t="s">
        <v>268</v>
      </c>
      <c r="G34" s="176"/>
      <c r="H34" s="176"/>
      <c r="I34" s="155"/>
      <c r="J34" s="155">
        <v>1</v>
      </c>
      <c r="K34" s="157"/>
      <c r="L34" s="157"/>
      <c r="M34" s="164">
        <f>J34*K34</f>
        <v>0</v>
      </c>
      <c r="N34" s="158">
        <v>0.3</v>
      </c>
      <c r="O34" s="1328">
        <f t="shared" si="6"/>
        <v>0</v>
      </c>
      <c r="P34" s="1329"/>
      <c r="Q34" s="570"/>
      <c r="R34" s="571"/>
      <c r="S34" s="152"/>
      <c r="T34" s="273"/>
      <c r="U34" s="562"/>
    </row>
    <row r="35" spans="2:32" s="82" customFormat="1" x14ac:dyDescent="0.3">
      <c r="B35" s="594"/>
      <c r="C35" s="176"/>
      <c r="D35" s="176" t="s">
        <v>2</v>
      </c>
      <c r="E35" s="595"/>
      <c r="F35" s="203" t="s">
        <v>284</v>
      </c>
      <c r="G35" s="176"/>
      <c r="H35" s="176" t="s">
        <v>60</v>
      </c>
      <c r="I35" s="155"/>
      <c r="J35" s="155">
        <v>1</v>
      </c>
      <c r="K35" s="157">
        <v>1000000</v>
      </c>
      <c r="L35" s="157">
        <v>1000000</v>
      </c>
      <c r="M35" s="164">
        <f>J35*K35</f>
        <v>1000000</v>
      </c>
      <c r="N35" s="158">
        <v>0.3</v>
      </c>
      <c r="O35" s="1328">
        <f t="shared" si="6"/>
        <v>1300000</v>
      </c>
      <c r="P35" s="1329"/>
      <c r="Q35" s="570"/>
      <c r="R35" s="571"/>
      <c r="S35" s="152"/>
      <c r="T35" s="273"/>
      <c r="U35" s="562"/>
    </row>
    <row r="36" spans="2:32" s="82" customFormat="1" x14ac:dyDescent="0.3">
      <c r="B36" s="607"/>
      <c r="C36" s="608"/>
      <c r="D36" s="608" t="s">
        <v>2</v>
      </c>
      <c r="E36" s="622"/>
      <c r="F36" s="623" t="s">
        <v>269</v>
      </c>
      <c r="G36" s="608" t="s">
        <v>270</v>
      </c>
      <c r="H36" s="608" t="s">
        <v>271</v>
      </c>
      <c r="I36" s="611"/>
      <c r="J36" s="611">
        <v>2</v>
      </c>
      <c r="K36" s="612">
        <v>120000</v>
      </c>
      <c r="L36" s="612">
        <v>120000</v>
      </c>
      <c r="M36" s="613">
        <f t="shared" ref="M36:M37" si="8">J36*K36</f>
        <v>240000</v>
      </c>
      <c r="N36" s="614">
        <v>0.3</v>
      </c>
      <c r="O36" s="1566">
        <f t="shared" si="6"/>
        <v>312000</v>
      </c>
      <c r="P36" s="1567"/>
      <c r="Q36" s="570" t="s">
        <v>553</v>
      </c>
      <c r="R36" s="571"/>
      <c r="S36" s="152"/>
      <c r="T36" s="273"/>
      <c r="U36" s="562"/>
    </row>
    <row r="37" spans="2:32" s="82" customFormat="1" x14ac:dyDescent="0.3">
      <c r="B37" s="594"/>
      <c r="C37" s="176"/>
      <c r="D37" s="176" t="s">
        <v>2</v>
      </c>
      <c r="E37" s="595"/>
      <c r="F37" s="203" t="s">
        <v>272</v>
      </c>
      <c r="G37" s="184" t="s">
        <v>286</v>
      </c>
      <c r="H37" s="184" t="s">
        <v>287</v>
      </c>
      <c r="I37" s="155"/>
      <c r="J37" s="155">
        <v>1</v>
      </c>
      <c r="K37" s="157">
        <v>230000</v>
      </c>
      <c r="L37" s="157">
        <v>230000</v>
      </c>
      <c r="M37" s="164">
        <f t="shared" si="8"/>
        <v>230000</v>
      </c>
      <c r="N37" s="158">
        <v>0.3</v>
      </c>
      <c r="O37" s="1328">
        <f t="shared" si="6"/>
        <v>299000</v>
      </c>
      <c r="P37" s="1329"/>
      <c r="Q37" s="1330" t="s">
        <v>572</v>
      </c>
      <c r="R37" s="1331"/>
      <c r="S37" s="152"/>
      <c r="T37" s="273"/>
      <c r="U37" s="562"/>
    </row>
    <row r="38" spans="2:32" s="82" customFormat="1" x14ac:dyDescent="0.3">
      <c r="B38" s="594"/>
      <c r="C38" s="176"/>
      <c r="D38" s="176" t="s">
        <v>2</v>
      </c>
      <c r="E38" s="595"/>
      <c r="F38" s="596" t="s">
        <v>355</v>
      </c>
      <c r="G38" s="184" t="s">
        <v>285</v>
      </c>
      <c r="H38" s="184" t="s">
        <v>277</v>
      </c>
      <c r="I38" s="155"/>
      <c r="J38" s="155">
        <v>1</v>
      </c>
      <c r="K38" s="157">
        <v>70000</v>
      </c>
      <c r="L38" s="157">
        <v>70000</v>
      </c>
      <c r="M38" s="164">
        <f>J38*K38</f>
        <v>70000</v>
      </c>
      <c r="N38" s="158">
        <v>0.3</v>
      </c>
      <c r="O38" s="1328">
        <f t="shared" si="6"/>
        <v>91000</v>
      </c>
      <c r="P38" s="1329"/>
      <c r="Q38" s="1330" t="s">
        <v>571</v>
      </c>
      <c r="R38" s="1331"/>
      <c r="S38" s="152"/>
      <c r="T38" s="273"/>
      <c r="U38" s="562" t="s">
        <v>500</v>
      </c>
      <c r="W38" s="82">
        <v>0.2</v>
      </c>
    </row>
    <row r="39" spans="2:32" s="82" customFormat="1" x14ac:dyDescent="0.3">
      <c r="B39" s="181"/>
      <c r="C39" s="182"/>
      <c r="D39" s="182" t="s">
        <v>2</v>
      </c>
      <c r="E39" s="183"/>
      <c r="F39" s="388" t="s">
        <v>354</v>
      </c>
      <c r="G39" s="366" t="s">
        <v>353</v>
      </c>
      <c r="H39" s="182" t="s">
        <v>277</v>
      </c>
      <c r="I39" s="155"/>
      <c r="J39" s="155">
        <v>1</v>
      </c>
      <c r="K39" s="157">
        <v>70000</v>
      </c>
      <c r="L39" s="157">
        <v>70000</v>
      </c>
      <c r="M39" s="164">
        <f>J39*K39</f>
        <v>70000</v>
      </c>
      <c r="N39" s="158">
        <v>0.3</v>
      </c>
      <c r="O39" s="1365">
        <f t="shared" si="6"/>
        <v>91000</v>
      </c>
      <c r="P39" s="1366"/>
      <c r="Q39" s="636" t="s">
        <v>564</v>
      </c>
      <c r="R39" s="637"/>
      <c r="S39" s="152"/>
      <c r="T39" s="273" t="s">
        <v>551</v>
      </c>
      <c r="U39" s="562"/>
    </row>
    <row r="40" spans="2:32" s="82" customFormat="1" x14ac:dyDescent="0.3">
      <c r="B40" s="181"/>
      <c r="C40" s="182"/>
      <c r="D40" s="182" t="s">
        <v>2</v>
      </c>
      <c r="E40" s="183"/>
      <c r="F40" s="388" t="s">
        <v>562</v>
      </c>
      <c r="G40" s="366" t="s">
        <v>567</v>
      </c>
      <c r="H40" s="182" t="s">
        <v>277</v>
      </c>
      <c r="I40" s="155"/>
      <c r="J40" s="155">
        <v>1</v>
      </c>
      <c r="K40" s="157">
        <v>70000</v>
      </c>
      <c r="L40" s="157">
        <v>70000</v>
      </c>
      <c r="M40" s="164">
        <f>J40*K40</f>
        <v>70000</v>
      </c>
      <c r="N40" s="158">
        <v>0.3</v>
      </c>
      <c r="O40" s="1365">
        <f t="shared" si="6"/>
        <v>91000</v>
      </c>
      <c r="P40" s="1366"/>
      <c r="Q40" s="636" t="s">
        <v>565</v>
      </c>
      <c r="R40" s="637"/>
      <c r="S40" s="152"/>
      <c r="T40" s="273" t="s">
        <v>551</v>
      </c>
      <c r="U40" s="562"/>
    </row>
    <row r="41" spans="2:32" s="82" customFormat="1" x14ac:dyDescent="0.3">
      <c r="B41" s="181"/>
      <c r="C41" s="182"/>
      <c r="D41" s="182" t="s">
        <v>2</v>
      </c>
      <c r="E41" s="183"/>
      <c r="F41" s="388" t="s">
        <v>563</v>
      </c>
      <c r="G41" s="366" t="s">
        <v>568</v>
      </c>
      <c r="H41" s="182" t="s">
        <v>277</v>
      </c>
      <c r="I41" s="155"/>
      <c r="J41" s="155">
        <v>1</v>
      </c>
      <c r="K41" s="157">
        <v>70000</v>
      </c>
      <c r="L41" s="157">
        <v>70000</v>
      </c>
      <c r="M41" s="164">
        <f>J41*K41</f>
        <v>70000</v>
      </c>
      <c r="N41" s="158">
        <v>0.3</v>
      </c>
      <c r="O41" s="1365">
        <f t="shared" ref="O41" si="9">J41*L41*(1+N41)</f>
        <v>91000</v>
      </c>
      <c r="P41" s="1366"/>
      <c r="Q41" s="636" t="s">
        <v>566</v>
      </c>
      <c r="R41" s="637"/>
      <c r="S41" s="152"/>
      <c r="T41" s="273" t="s">
        <v>551</v>
      </c>
      <c r="U41" s="562"/>
    </row>
    <row r="42" spans="2:32" s="82" customFormat="1" x14ac:dyDescent="0.3">
      <c r="B42" s="181"/>
      <c r="C42" s="182"/>
      <c r="D42" s="182" t="s">
        <v>2</v>
      </c>
      <c r="E42" s="183"/>
      <c r="F42" s="388" t="s">
        <v>357</v>
      </c>
      <c r="G42" s="366" t="s">
        <v>285</v>
      </c>
      <c r="H42" s="182" t="s">
        <v>277</v>
      </c>
      <c r="I42" s="155"/>
      <c r="J42" s="155">
        <v>1</v>
      </c>
      <c r="K42" s="157">
        <v>70000</v>
      </c>
      <c r="L42" s="157">
        <v>70000</v>
      </c>
      <c r="M42" s="157">
        <v>70000</v>
      </c>
      <c r="N42" s="158">
        <v>0.3</v>
      </c>
      <c r="O42" s="1365">
        <f t="shared" si="6"/>
        <v>91000</v>
      </c>
      <c r="P42" s="1366"/>
      <c r="Q42" s="1330" t="s">
        <v>361</v>
      </c>
      <c r="R42" s="1331"/>
      <c r="S42" s="152"/>
      <c r="T42" s="273"/>
      <c r="U42" s="562"/>
    </row>
    <row r="43" spans="2:32" s="82" customFormat="1" x14ac:dyDescent="0.3">
      <c r="B43" s="181"/>
      <c r="C43" s="182" t="s">
        <v>2</v>
      </c>
      <c r="D43" s="366"/>
      <c r="E43" s="183"/>
      <c r="F43" s="388" t="s">
        <v>429</v>
      </c>
      <c r="G43" s="182"/>
      <c r="H43" s="182" t="s">
        <v>60</v>
      </c>
      <c r="I43" s="155"/>
      <c r="J43" s="155">
        <v>1</v>
      </c>
      <c r="K43" s="157">
        <v>3500000</v>
      </c>
      <c r="L43" s="157">
        <v>3500000</v>
      </c>
      <c r="M43" s="164">
        <f>J43*K43</f>
        <v>3500000</v>
      </c>
      <c r="N43" s="158">
        <v>0.3</v>
      </c>
      <c r="O43" s="1365">
        <f t="shared" si="6"/>
        <v>4550000</v>
      </c>
      <c r="P43" s="1366"/>
      <c r="Q43" s="550"/>
      <c r="R43" s="551"/>
      <c r="S43" s="152"/>
      <c r="T43" s="273"/>
      <c r="U43" s="562"/>
    </row>
    <row r="44" spans="2:32" s="84" customFormat="1" ht="17.25" thickBot="1" x14ac:dyDescent="0.35">
      <c r="B44" s="365"/>
      <c r="C44" s="366"/>
      <c r="D44" s="366"/>
      <c r="E44" s="367"/>
      <c r="F44" s="156"/>
      <c r="G44" s="155"/>
      <c r="H44" s="155"/>
      <c r="I44" s="155"/>
      <c r="J44" s="184"/>
      <c r="K44" s="199"/>
      <c r="L44" s="199"/>
      <c r="M44" s="164"/>
      <c r="N44" s="158"/>
      <c r="O44" s="1365"/>
      <c r="P44" s="1366"/>
      <c r="Q44" s="550"/>
      <c r="R44" s="551"/>
      <c r="S44" s="204"/>
      <c r="T44" s="78"/>
      <c r="U44" s="562"/>
      <c r="V44"/>
      <c r="W44"/>
      <c r="X44"/>
      <c r="Y44"/>
      <c r="Z44"/>
      <c r="AA44"/>
      <c r="AB44"/>
      <c r="AC44"/>
      <c r="AD44"/>
      <c r="AE44"/>
      <c r="AF44"/>
    </row>
    <row r="45" spans="2:32" s="84" customFormat="1" ht="18" thickBot="1" x14ac:dyDescent="0.35">
      <c r="B45" s="1338" t="s">
        <v>53</v>
      </c>
      <c r="C45" s="1339"/>
      <c r="D45" s="1339"/>
      <c r="E45" s="1339"/>
      <c r="F45" s="1339"/>
      <c r="G45" s="1339"/>
      <c r="H45" s="1339"/>
      <c r="I45" s="1339"/>
      <c r="J45" s="1339"/>
      <c r="K45" s="1339"/>
      <c r="L45" s="1340"/>
      <c r="M45" s="123">
        <f>SUM(M5:M44)</f>
        <v>111548673</v>
      </c>
      <c r="N45" s="136"/>
      <c r="O45" s="1341">
        <f>SUM(O5:P44)</f>
        <v>151342000</v>
      </c>
      <c r="P45" s="1342"/>
      <c r="Q45" s="1343"/>
      <c r="R45" s="1344"/>
      <c r="S45" s="130"/>
      <c r="T45" s="78"/>
      <c r="U45" s="562"/>
      <c r="V45"/>
      <c r="W45"/>
      <c r="X45"/>
      <c r="Y45"/>
      <c r="Z45"/>
      <c r="AA45"/>
      <c r="AB45"/>
      <c r="AC45"/>
      <c r="AD45"/>
      <c r="AE45"/>
      <c r="AF45"/>
    </row>
    <row r="46" spans="2:32" s="84" customFormat="1" ht="17.25" thickBot="1" x14ac:dyDescent="0.35">
      <c r="B46" s="122" t="s">
        <v>2</v>
      </c>
      <c r="C46" s="116"/>
      <c r="D46" s="116"/>
      <c r="E46" s="117"/>
      <c r="F46" s="118" t="s">
        <v>321</v>
      </c>
      <c r="G46" s="119"/>
      <c r="H46" s="119"/>
      <c r="I46" s="119"/>
      <c r="J46" s="119"/>
      <c r="K46" s="119"/>
      <c r="L46" s="120"/>
      <c r="M46" s="121"/>
      <c r="N46" s="135"/>
      <c r="O46" s="1447"/>
      <c r="P46" s="1448"/>
      <c r="Q46" s="1326"/>
      <c r="R46" s="1327"/>
      <c r="S46" s="115"/>
      <c r="T46" s="78"/>
      <c r="U46" s="562"/>
      <c r="V46"/>
      <c r="W46"/>
      <c r="X46"/>
      <c r="Y46"/>
      <c r="Z46"/>
      <c r="AA46"/>
      <c r="AB46"/>
      <c r="AC46"/>
      <c r="AD46"/>
      <c r="AE46"/>
      <c r="AF46"/>
    </row>
    <row r="47" spans="2:32" s="84" customFormat="1" x14ac:dyDescent="0.3">
      <c r="B47" s="131"/>
      <c r="C47" s="132" t="s">
        <v>73</v>
      </c>
      <c r="D47" s="133"/>
      <c r="E47" s="165"/>
      <c r="F47" s="227" t="s">
        <v>319</v>
      </c>
      <c r="G47" s="222" t="s">
        <v>94</v>
      </c>
      <c r="H47" s="222" t="s">
        <v>130</v>
      </c>
      <c r="I47" s="222" t="s">
        <v>131</v>
      </c>
      <c r="J47" s="371">
        <v>15</v>
      </c>
      <c r="K47" s="274">
        <v>307000</v>
      </c>
      <c r="L47" s="274">
        <v>307000</v>
      </c>
      <c r="M47" s="230">
        <f t="shared" ref="M47:M48" si="10">J47*K47</f>
        <v>4605000</v>
      </c>
      <c r="N47" s="148"/>
      <c r="O47" s="1365">
        <f t="shared" ref="O47:O48" si="11">L47*J47</f>
        <v>4605000</v>
      </c>
      <c r="P47" s="1366"/>
      <c r="Q47" s="1492"/>
      <c r="R47" s="1493"/>
      <c r="S47" s="207"/>
      <c r="T47" s="78"/>
      <c r="U47" s="562"/>
      <c r="V47"/>
      <c r="W47"/>
      <c r="X47"/>
      <c r="Y47"/>
      <c r="Z47"/>
      <c r="AA47"/>
      <c r="AB47"/>
      <c r="AC47"/>
      <c r="AD47"/>
      <c r="AE47"/>
      <c r="AF47"/>
    </row>
    <row r="48" spans="2:32" s="84" customFormat="1" x14ac:dyDescent="0.3">
      <c r="B48" s="208"/>
      <c r="C48" s="209" t="s">
        <v>73</v>
      </c>
      <c r="D48" s="210"/>
      <c r="E48" s="211"/>
      <c r="F48" s="228" t="s">
        <v>320</v>
      </c>
      <c r="G48" s="223" t="s">
        <v>94</v>
      </c>
      <c r="H48" s="223" t="s">
        <v>130</v>
      </c>
      <c r="I48" s="223" t="s">
        <v>131</v>
      </c>
      <c r="J48" s="372">
        <v>50</v>
      </c>
      <c r="K48" s="276">
        <v>307000</v>
      </c>
      <c r="L48" s="276">
        <v>307000</v>
      </c>
      <c r="M48" s="231">
        <f t="shared" si="10"/>
        <v>15350000</v>
      </c>
      <c r="N48" s="158"/>
      <c r="O48" s="1365">
        <f t="shared" si="11"/>
        <v>15350000</v>
      </c>
      <c r="P48" s="1366"/>
      <c r="Q48" s="1494"/>
      <c r="R48" s="1495"/>
      <c r="S48" s="212"/>
      <c r="T48" s="78"/>
      <c r="U48" s="562"/>
      <c r="V48"/>
      <c r="W48"/>
      <c r="X48"/>
      <c r="Y48"/>
      <c r="Z48"/>
      <c r="AA48"/>
      <c r="AB48"/>
      <c r="AC48"/>
      <c r="AD48"/>
      <c r="AE48"/>
      <c r="AF48"/>
    </row>
    <row r="49" spans="2:32" s="84" customFormat="1" ht="17.25" thickBot="1" x14ac:dyDescent="0.35">
      <c r="B49" s="213"/>
      <c r="C49" s="214"/>
      <c r="D49" s="215"/>
      <c r="E49" s="216"/>
      <c r="F49" s="229"/>
      <c r="G49" s="224"/>
      <c r="H49" s="224"/>
      <c r="I49" s="224"/>
      <c r="J49" s="373"/>
      <c r="K49" s="225"/>
      <c r="L49" s="225"/>
      <c r="M49" s="226"/>
      <c r="N49" s="162"/>
      <c r="O49" s="1365">
        <f t="shared" ref="O49" si="12">L49</f>
        <v>0</v>
      </c>
      <c r="P49" s="1366"/>
      <c r="Q49" s="1453"/>
      <c r="R49" s="1454"/>
      <c r="S49" s="217"/>
      <c r="T49" s="78"/>
      <c r="U49" s="562"/>
      <c r="V49"/>
      <c r="W49"/>
      <c r="X49"/>
      <c r="Y49"/>
      <c r="Z49"/>
      <c r="AA49"/>
      <c r="AB49"/>
      <c r="AC49"/>
      <c r="AD49"/>
      <c r="AE49"/>
      <c r="AF49"/>
    </row>
    <row r="50" spans="2:32" s="84" customFormat="1" ht="17.25" thickBot="1" x14ac:dyDescent="0.35">
      <c r="B50" s="122" t="s">
        <v>2</v>
      </c>
      <c r="C50" s="116"/>
      <c r="D50" s="116"/>
      <c r="E50" s="117"/>
      <c r="F50" s="218" t="s">
        <v>322</v>
      </c>
      <c r="G50" s="219"/>
      <c r="H50" s="219"/>
      <c r="I50" s="219"/>
      <c r="J50" s="219"/>
      <c r="K50" s="220"/>
      <c r="L50" s="220"/>
      <c r="M50" s="221"/>
      <c r="N50" s="135"/>
      <c r="O50" s="1447"/>
      <c r="P50" s="1448"/>
      <c r="Q50" s="1447"/>
      <c r="R50" s="1448"/>
      <c r="S50" s="115"/>
      <c r="T50" s="78"/>
      <c r="U50" s="562"/>
      <c r="V50"/>
      <c r="W50"/>
      <c r="X50"/>
      <c r="Y50"/>
      <c r="Z50"/>
      <c r="AA50"/>
      <c r="AB50"/>
      <c r="AC50"/>
      <c r="AD50"/>
      <c r="AE50"/>
      <c r="AF50"/>
    </row>
    <row r="51" spans="2:32" x14ac:dyDescent="0.3">
      <c r="B51" s="64"/>
      <c r="C51" s="65" t="s">
        <v>2</v>
      </c>
      <c r="D51" s="65"/>
      <c r="E51" s="66"/>
      <c r="F51" s="88" t="s">
        <v>7</v>
      </c>
      <c r="G51" s="85"/>
      <c r="H51" s="223" t="s">
        <v>130</v>
      </c>
      <c r="I51" s="223" t="s">
        <v>131</v>
      </c>
      <c r="J51" s="80">
        <v>5</v>
      </c>
      <c r="K51" s="277">
        <v>307000</v>
      </c>
      <c r="L51" s="277">
        <v>307000</v>
      </c>
      <c r="M51" s="112">
        <f>K51*J51</f>
        <v>1535000</v>
      </c>
      <c r="N51" s="137"/>
      <c r="O51" s="1365">
        <f t="shared" ref="O51:O57" si="13">L51*J51</f>
        <v>1535000</v>
      </c>
      <c r="P51" s="1366"/>
      <c r="Q51" s="1359"/>
      <c r="R51" s="1360"/>
      <c r="S51" s="94"/>
      <c r="T51" s="73"/>
      <c r="U51" s="564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</row>
    <row r="52" spans="2:32" x14ac:dyDescent="0.3">
      <c r="B52" s="62"/>
      <c r="C52" s="63" t="s">
        <v>2</v>
      </c>
      <c r="D52" s="63"/>
      <c r="E52" s="61"/>
      <c r="F52" s="89" t="s">
        <v>11</v>
      </c>
      <c r="G52" s="86"/>
      <c r="H52" s="223" t="s">
        <v>130</v>
      </c>
      <c r="I52" s="223" t="s">
        <v>131</v>
      </c>
      <c r="J52" s="56">
        <v>3</v>
      </c>
      <c r="K52" s="55">
        <v>307000</v>
      </c>
      <c r="L52" s="55">
        <v>307000</v>
      </c>
      <c r="M52" s="113">
        <f t="shared" ref="M52:M57" si="14">K52*J52</f>
        <v>921000</v>
      </c>
      <c r="N52" s="138"/>
      <c r="O52" s="1365">
        <f t="shared" si="13"/>
        <v>921000</v>
      </c>
      <c r="P52" s="1366"/>
      <c r="Q52" s="1361"/>
      <c r="R52" s="1362"/>
      <c r="S52" s="95"/>
      <c r="T52" s="73"/>
    </row>
    <row r="53" spans="2:32" x14ac:dyDescent="0.3">
      <c r="B53" s="62"/>
      <c r="C53" s="63" t="s">
        <v>2</v>
      </c>
      <c r="D53" s="63"/>
      <c r="E53" s="61"/>
      <c r="F53" s="89" t="s">
        <v>41</v>
      </c>
      <c r="G53" s="86"/>
      <c r="H53" s="223" t="s">
        <v>130</v>
      </c>
      <c r="I53" s="223" t="s">
        <v>131</v>
      </c>
      <c r="J53" s="56">
        <v>5</v>
      </c>
      <c r="K53" s="55">
        <v>307000</v>
      </c>
      <c r="L53" s="55">
        <v>307000</v>
      </c>
      <c r="M53" s="113">
        <f t="shared" si="14"/>
        <v>1535000</v>
      </c>
      <c r="N53" s="138"/>
      <c r="O53" s="1365">
        <f t="shared" si="13"/>
        <v>1535000</v>
      </c>
      <c r="P53" s="1366"/>
      <c r="Q53" s="1361"/>
      <c r="R53" s="1362"/>
      <c r="S53" s="95"/>
      <c r="T53" s="73"/>
    </row>
    <row r="54" spans="2:32" x14ac:dyDescent="0.3">
      <c r="B54" s="62"/>
      <c r="C54" s="63" t="s">
        <v>2</v>
      </c>
      <c r="D54" s="63"/>
      <c r="E54" s="61"/>
      <c r="F54" s="89" t="s">
        <v>10</v>
      </c>
      <c r="G54" s="86"/>
      <c r="H54" s="223" t="s">
        <v>130</v>
      </c>
      <c r="I54" s="223" t="s">
        <v>131</v>
      </c>
      <c r="J54" s="56">
        <v>3</v>
      </c>
      <c r="K54" s="55">
        <v>307000</v>
      </c>
      <c r="L54" s="55">
        <v>307000</v>
      </c>
      <c r="M54" s="113">
        <f t="shared" si="14"/>
        <v>921000</v>
      </c>
      <c r="N54" s="138"/>
      <c r="O54" s="1365">
        <f t="shared" si="13"/>
        <v>921000</v>
      </c>
      <c r="P54" s="1366"/>
      <c r="Q54" s="1361"/>
      <c r="R54" s="1362"/>
      <c r="S54" s="95"/>
      <c r="T54" s="73"/>
    </row>
    <row r="55" spans="2:32" x14ac:dyDescent="0.3">
      <c r="B55" s="62"/>
      <c r="C55" s="63" t="s">
        <v>2</v>
      </c>
      <c r="D55" s="63"/>
      <c r="E55" s="61"/>
      <c r="F55" s="89" t="s">
        <v>61</v>
      </c>
      <c r="G55" s="86"/>
      <c r="H55" s="223" t="s">
        <v>130</v>
      </c>
      <c r="I55" s="223" t="s">
        <v>131</v>
      </c>
      <c r="J55" s="56">
        <v>2</v>
      </c>
      <c r="K55" s="55">
        <v>307000</v>
      </c>
      <c r="L55" s="55">
        <v>307000</v>
      </c>
      <c r="M55" s="113">
        <f t="shared" si="14"/>
        <v>614000</v>
      </c>
      <c r="N55" s="138"/>
      <c r="O55" s="1365">
        <f t="shared" si="13"/>
        <v>614000</v>
      </c>
      <c r="P55" s="1366"/>
      <c r="Q55" s="1361"/>
      <c r="R55" s="1362"/>
      <c r="S55" s="95"/>
      <c r="T55" s="74"/>
    </row>
    <row r="56" spans="2:32" x14ac:dyDescent="0.3">
      <c r="B56" s="67"/>
      <c r="C56" s="63" t="s">
        <v>2</v>
      </c>
      <c r="D56" s="68"/>
      <c r="E56" s="69"/>
      <c r="F56" s="90" t="s">
        <v>9</v>
      </c>
      <c r="G56" s="86"/>
      <c r="H56" s="223" t="s">
        <v>130</v>
      </c>
      <c r="I56" s="223" t="s">
        <v>131</v>
      </c>
      <c r="J56" s="56">
        <v>5</v>
      </c>
      <c r="K56" s="55">
        <v>307000</v>
      </c>
      <c r="L56" s="55">
        <v>307000</v>
      </c>
      <c r="M56" s="113">
        <f t="shared" si="14"/>
        <v>1535000</v>
      </c>
      <c r="N56" s="138"/>
      <c r="O56" s="1365">
        <f t="shared" si="13"/>
        <v>1535000</v>
      </c>
      <c r="P56" s="1366"/>
      <c r="Q56" s="1361"/>
      <c r="R56" s="1362"/>
      <c r="S56" s="95"/>
    </row>
    <row r="57" spans="2:32" ht="17.25" thickBot="1" x14ac:dyDescent="0.35">
      <c r="B57" s="57"/>
      <c r="C57" s="58" t="s">
        <v>2</v>
      </c>
      <c r="D57" s="58"/>
      <c r="E57" s="60"/>
      <c r="F57" s="91" t="s">
        <v>8</v>
      </c>
      <c r="G57" s="87"/>
      <c r="H57" s="223" t="s">
        <v>130</v>
      </c>
      <c r="I57" s="223" t="s">
        <v>131</v>
      </c>
      <c r="J57" s="59">
        <v>2</v>
      </c>
      <c r="K57" s="169">
        <v>307000</v>
      </c>
      <c r="L57" s="169">
        <v>307000</v>
      </c>
      <c r="M57" s="114">
        <f t="shared" si="14"/>
        <v>614000</v>
      </c>
      <c r="N57" s="139"/>
      <c r="O57" s="1365">
        <f t="shared" si="13"/>
        <v>614000</v>
      </c>
      <c r="P57" s="1366"/>
      <c r="Q57" s="1363"/>
      <c r="R57" s="1364"/>
      <c r="S57" s="96"/>
    </row>
    <row r="58" spans="2:32" ht="18" thickBot="1" x14ac:dyDescent="0.35">
      <c r="B58" s="1345" t="s">
        <v>46</v>
      </c>
      <c r="C58" s="1346"/>
      <c r="D58" s="1346"/>
      <c r="E58" s="1346"/>
      <c r="F58" s="1346"/>
      <c r="G58" s="1346"/>
      <c r="H58" s="1346"/>
      <c r="I58" s="1346"/>
      <c r="J58" s="1346"/>
      <c r="K58" s="1346"/>
      <c r="L58" s="1347"/>
      <c r="M58" s="124">
        <f>SUM(M46:M57)</f>
        <v>27630000</v>
      </c>
      <c r="N58" s="140"/>
      <c r="O58" s="1348">
        <f>SUM(O46:P57)</f>
        <v>27630000</v>
      </c>
      <c r="P58" s="1349"/>
      <c r="Q58" s="1350"/>
      <c r="R58" s="1350"/>
      <c r="S58" s="1351"/>
    </row>
    <row r="59" spans="2:32" ht="20.25" thickBot="1" x14ac:dyDescent="0.35">
      <c r="B59" s="1352" t="s">
        <v>52</v>
      </c>
      <c r="C59" s="1353"/>
      <c r="D59" s="1353"/>
      <c r="E59" s="1353"/>
      <c r="F59" s="1353"/>
      <c r="G59" s="1353"/>
      <c r="H59" s="1353"/>
      <c r="I59" s="1353"/>
      <c r="J59" s="1353"/>
      <c r="K59" s="1353"/>
      <c r="L59" s="1353"/>
      <c r="M59" s="125"/>
      <c r="N59" s="134">
        <v>0.03</v>
      </c>
      <c r="O59" s="1354">
        <f>ROUNDDOWN(O45*N59,-3)</f>
        <v>4540000</v>
      </c>
      <c r="P59" s="1355"/>
      <c r="Q59" s="1356"/>
      <c r="R59" s="1357"/>
      <c r="S59" s="1358"/>
      <c r="U59" s="565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0.25" thickBot="1" x14ac:dyDescent="0.35">
      <c r="B60" s="1352" t="s">
        <v>54</v>
      </c>
      <c r="C60" s="1353"/>
      <c r="D60" s="1353"/>
      <c r="E60" s="1353"/>
      <c r="F60" s="1353"/>
      <c r="G60" s="1353"/>
      <c r="H60" s="1353"/>
      <c r="I60" s="1353"/>
      <c r="J60" s="1353"/>
      <c r="K60" s="1353"/>
      <c r="L60" s="1353"/>
      <c r="M60" s="127"/>
      <c r="N60" s="128"/>
      <c r="O60" s="1354">
        <f>SUM(O59,O58,O45)</f>
        <v>183512000</v>
      </c>
      <c r="P60" s="1355"/>
      <c r="Q60" s="1374"/>
      <c r="R60" s="1375"/>
      <c r="S60" s="1376"/>
      <c r="U60" s="565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20.25" thickBot="1" x14ac:dyDescent="0.35">
      <c r="B61" s="1352" t="s">
        <v>51</v>
      </c>
      <c r="C61" s="1353"/>
      <c r="D61" s="1353"/>
      <c r="E61" s="1353"/>
      <c r="F61" s="1353"/>
      <c r="G61" s="1353"/>
      <c r="H61" s="1353"/>
      <c r="I61" s="1353"/>
      <c r="J61" s="1353"/>
      <c r="K61" s="1353"/>
      <c r="L61" s="1353"/>
      <c r="M61" s="129"/>
      <c r="N61" s="126">
        <v>0.1</v>
      </c>
      <c r="O61" s="1381">
        <f>ROUNDDOWN(O60*N61,-3)</f>
        <v>18351000</v>
      </c>
      <c r="P61" s="1382"/>
      <c r="Q61" s="1383"/>
      <c r="R61" s="1384"/>
      <c r="S61" s="1385"/>
      <c r="U61" s="565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 ht="21" thickBot="1" x14ac:dyDescent="0.35">
      <c r="B62" s="1367" t="s">
        <v>44</v>
      </c>
      <c r="C62" s="1368"/>
      <c r="D62" s="1368"/>
      <c r="E62" s="1368"/>
      <c r="F62" s="1368"/>
      <c r="G62" s="1368"/>
      <c r="H62" s="1368"/>
      <c r="I62" s="1368"/>
      <c r="J62" s="1368"/>
      <c r="K62" s="1368"/>
      <c r="L62" s="1368"/>
      <c r="M62" s="92"/>
      <c r="N62" s="111"/>
      <c r="O62" s="1369">
        <f>ROUNDDOWN(SUM(O60:P61), -6)</f>
        <v>201000000</v>
      </c>
      <c r="P62" s="1370"/>
      <c r="Q62" s="1371"/>
      <c r="R62" s="1372"/>
      <c r="S62" s="1373"/>
      <c r="U62" s="565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 ht="21" thickBot="1" x14ac:dyDescent="0.35">
      <c r="B63" s="104"/>
      <c r="C63" s="104"/>
      <c r="D63" s="104"/>
      <c r="E63" s="104"/>
      <c r="F63" s="105"/>
      <c r="G63" s="105"/>
      <c r="H63" s="105"/>
      <c r="I63" s="105"/>
      <c r="J63" s="105"/>
      <c r="K63" s="105"/>
      <c r="L63" s="105"/>
      <c r="M63" s="106"/>
      <c r="N63" s="107"/>
      <c r="O63" s="107"/>
      <c r="P63" s="107"/>
      <c r="Q63" s="108"/>
      <c r="R63" s="108"/>
      <c r="S63" s="108"/>
      <c r="U63" s="565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 ht="18" thickBot="1" x14ac:dyDescent="0.35">
      <c r="B64" s="1374" t="s">
        <v>50</v>
      </c>
      <c r="C64" s="1375"/>
      <c r="D64" s="1375"/>
      <c r="E64" s="1376"/>
      <c r="F64" s="109"/>
      <c r="G64" s="109"/>
      <c r="H64" s="109"/>
      <c r="I64" s="109"/>
      <c r="J64" s="109"/>
      <c r="K64" s="110"/>
      <c r="L64" s="110"/>
      <c r="M64" s="110"/>
      <c r="N64" s="77" t="s">
        <v>14</v>
      </c>
      <c r="O64" s="1377" t="s">
        <v>15</v>
      </c>
      <c r="P64" s="1378"/>
      <c r="Q64" s="1379" t="s">
        <v>17</v>
      </c>
      <c r="R64" s="1380"/>
      <c r="S64" s="166" t="s">
        <v>16</v>
      </c>
    </row>
    <row r="65" spans="1:32" ht="18" customHeight="1" x14ac:dyDescent="0.3">
      <c r="B65" s="102">
        <v>1</v>
      </c>
      <c r="C65" s="1400"/>
      <c r="D65" s="1401"/>
      <c r="E65" s="1401"/>
      <c r="F65" s="1401"/>
      <c r="G65" s="1401"/>
      <c r="H65" s="1401"/>
      <c r="I65" s="1401"/>
      <c r="J65" s="1402"/>
      <c r="N65" s="11">
        <v>0</v>
      </c>
      <c r="O65" s="1403">
        <f>$O$62/(1+N65)</f>
        <v>201000000</v>
      </c>
      <c r="P65" s="1404"/>
      <c r="Q65" s="1405">
        <f>O65-$M$45</f>
        <v>89451327</v>
      </c>
      <c r="R65" s="1406"/>
      <c r="S65" s="160">
        <f>Q65/O65</f>
        <v>0.44503147761194028</v>
      </c>
    </row>
    <row r="66" spans="1:32" ht="18" customHeight="1" x14ac:dyDescent="0.3">
      <c r="B66" s="100">
        <v>2</v>
      </c>
      <c r="C66" s="1458"/>
      <c r="D66" s="1456"/>
      <c r="E66" s="1456"/>
      <c r="F66" s="1456"/>
      <c r="G66" s="1456"/>
      <c r="H66" s="1456"/>
      <c r="I66" s="1456"/>
      <c r="J66" s="1457"/>
      <c r="N66" s="9">
        <v>0.1</v>
      </c>
      <c r="O66" s="1389">
        <f>$O$62/(1+N66)</f>
        <v>182727272.72727272</v>
      </c>
      <c r="P66" s="1390"/>
      <c r="Q66" s="1391">
        <f t="shared" ref="Q66:Q69" si="15">O66-$M$45</f>
        <v>71178599.727272719</v>
      </c>
      <c r="R66" s="1392"/>
      <c r="S66" s="161">
        <f t="shared" ref="S66:S69" si="16">Q66/O66</f>
        <v>0.38953462537313432</v>
      </c>
    </row>
    <row r="67" spans="1:32" ht="18" customHeight="1" x14ac:dyDescent="0.3">
      <c r="B67" s="100">
        <v>3</v>
      </c>
      <c r="C67" s="1455"/>
      <c r="D67" s="1456"/>
      <c r="E67" s="1456"/>
      <c r="F67" s="1456"/>
      <c r="G67" s="1456"/>
      <c r="H67" s="1456"/>
      <c r="I67" s="1456"/>
      <c r="J67" s="1457"/>
      <c r="N67" s="10">
        <v>0.15</v>
      </c>
      <c r="O67" s="1389">
        <f t="shared" ref="O67:O68" si="17">$O$62/(1+N67)</f>
        <v>174782608.69565219</v>
      </c>
      <c r="P67" s="1390"/>
      <c r="Q67" s="1391">
        <f t="shared" si="15"/>
        <v>63233935.695652187</v>
      </c>
      <c r="R67" s="1392"/>
      <c r="S67" s="161">
        <f t="shared" si="16"/>
        <v>0.3617861992537314</v>
      </c>
    </row>
    <row r="68" spans="1:32" s="103" customFormat="1" ht="18" customHeight="1" x14ac:dyDescent="0.3">
      <c r="B68" s="100">
        <v>4</v>
      </c>
      <c r="C68" s="1455"/>
      <c r="D68" s="1456"/>
      <c r="E68" s="1456"/>
      <c r="F68" s="1456"/>
      <c r="G68" s="1456"/>
      <c r="H68" s="1456"/>
      <c r="I68" s="1456"/>
      <c r="J68" s="1457"/>
      <c r="K68" s="1"/>
      <c r="L68" s="1"/>
      <c r="M68" s="1"/>
      <c r="N68" s="10">
        <v>0.2</v>
      </c>
      <c r="O68" s="1389">
        <f t="shared" si="17"/>
        <v>167500000</v>
      </c>
      <c r="P68" s="1390"/>
      <c r="Q68" s="1391">
        <f t="shared" si="15"/>
        <v>55951327</v>
      </c>
      <c r="R68" s="1392"/>
      <c r="S68" s="161">
        <f t="shared" si="16"/>
        <v>0.33403777313432836</v>
      </c>
      <c r="U68" s="562"/>
      <c r="V68"/>
      <c r="W68"/>
      <c r="X68"/>
      <c r="Y68"/>
      <c r="Z68"/>
      <c r="AA68"/>
      <c r="AB68"/>
      <c r="AC68"/>
      <c r="AD68"/>
      <c r="AE68"/>
      <c r="AF68"/>
    </row>
    <row r="69" spans="1:32" ht="18" customHeight="1" thickBot="1" x14ac:dyDescent="0.35">
      <c r="B69" s="100">
        <v>5</v>
      </c>
      <c r="C69" s="1393"/>
      <c r="D69" s="1394"/>
      <c r="E69" s="1394"/>
      <c r="F69" s="1394"/>
      <c r="G69" s="1394"/>
      <c r="H69" s="1394"/>
      <c r="I69" s="1394"/>
      <c r="J69" s="1395"/>
      <c r="N69" s="12" t="s">
        <v>45</v>
      </c>
      <c r="O69" s="1396">
        <v>0</v>
      </c>
      <c r="P69" s="1397"/>
      <c r="Q69" s="1398">
        <f t="shared" si="15"/>
        <v>-111548673</v>
      </c>
      <c r="R69" s="1399"/>
      <c r="S69" s="99" t="e">
        <f t="shared" si="16"/>
        <v>#DIV/0!</v>
      </c>
    </row>
    <row r="70" spans="1:32" ht="18" customHeight="1" thickBot="1" x14ac:dyDescent="0.35">
      <c r="B70" s="100">
        <v>6</v>
      </c>
      <c r="C70" s="1393"/>
      <c r="D70" s="1394"/>
      <c r="E70" s="1394"/>
      <c r="F70" s="1394"/>
      <c r="G70" s="1394"/>
      <c r="H70" s="1394"/>
      <c r="I70" s="1394"/>
      <c r="J70" s="1395"/>
    </row>
    <row r="71" spans="1:32" ht="18" customHeight="1" thickBot="1" x14ac:dyDescent="0.35">
      <c r="B71" s="100">
        <v>7</v>
      </c>
      <c r="C71" s="552"/>
      <c r="D71" s="553"/>
      <c r="E71" s="553"/>
      <c r="F71" s="553"/>
      <c r="G71" s="553"/>
      <c r="H71" s="553"/>
      <c r="I71" s="553"/>
      <c r="J71" s="554"/>
      <c r="N71" s="1410" t="s">
        <v>47</v>
      </c>
      <c r="O71" s="1411"/>
      <c r="P71" s="1412" t="s">
        <v>48</v>
      </c>
      <c r="Q71" s="1413"/>
      <c r="R71" s="1414" t="s">
        <v>49</v>
      </c>
      <c r="S71" s="1415"/>
    </row>
    <row r="72" spans="1:32" ht="18" customHeight="1" x14ac:dyDescent="0.3">
      <c r="B72" s="100">
        <v>8</v>
      </c>
      <c r="C72" s="1393"/>
      <c r="D72" s="1394"/>
      <c r="E72" s="1394"/>
      <c r="F72" s="1394"/>
      <c r="G72" s="1394"/>
      <c r="H72" s="1394"/>
      <c r="I72" s="1394"/>
      <c r="J72" s="1395"/>
      <c r="N72" s="1416"/>
      <c r="O72" s="1417"/>
      <c r="P72" s="1422"/>
      <c r="Q72" s="1423"/>
      <c r="R72" s="1428"/>
      <c r="S72" s="1429"/>
    </row>
    <row r="73" spans="1:32" ht="18" customHeight="1" x14ac:dyDescent="0.3">
      <c r="B73" s="100"/>
      <c r="C73" s="1434"/>
      <c r="D73" s="1435"/>
      <c r="E73" s="1435"/>
      <c r="F73" s="1435"/>
      <c r="G73" s="1435"/>
      <c r="H73" s="1435"/>
      <c r="I73" s="1435"/>
      <c r="J73" s="1436"/>
      <c r="N73" s="1418"/>
      <c r="O73" s="1419"/>
      <c r="P73" s="1424"/>
      <c r="Q73" s="1425"/>
      <c r="R73" s="1430"/>
      <c r="S73" s="1431"/>
    </row>
    <row r="74" spans="1:32" ht="18" customHeight="1" x14ac:dyDescent="0.3">
      <c r="B74" s="100"/>
      <c r="C74" s="1434"/>
      <c r="D74" s="1435"/>
      <c r="E74" s="1435"/>
      <c r="F74" s="1435"/>
      <c r="G74" s="1435"/>
      <c r="H74" s="1435"/>
      <c r="I74" s="1435"/>
      <c r="J74" s="1436"/>
      <c r="N74" s="1418"/>
      <c r="O74" s="1419"/>
      <c r="P74" s="1424"/>
      <c r="Q74" s="1425"/>
      <c r="R74" s="1430"/>
      <c r="S74" s="1431"/>
    </row>
    <row r="75" spans="1:32" ht="18" customHeight="1" thickBot="1" x14ac:dyDescent="0.35">
      <c r="B75" s="101"/>
      <c r="C75" s="1407"/>
      <c r="D75" s="1408"/>
      <c r="E75" s="1408"/>
      <c r="F75" s="1408"/>
      <c r="G75" s="1408"/>
      <c r="H75" s="1408"/>
      <c r="I75" s="1408"/>
      <c r="J75" s="1409"/>
      <c r="N75" s="1420"/>
      <c r="O75" s="1421"/>
      <c r="P75" s="1426"/>
      <c r="Q75" s="1427"/>
      <c r="R75" s="1432"/>
      <c r="S75" s="1433"/>
    </row>
    <row r="76" spans="1:32" s="3" customFormat="1" ht="17.25" x14ac:dyDescent="0.3">
      <c r="A76"/>
      <c r="B76" s="2"/>
      <c r="C76" s="2"/>
      <c r="D76" s="2"/>
      <c r="E76" s="2"/>
      <c r="K76" s="1"/>
      <c r="L76" s="1"/>
      <c r="M76" s="1"/>
      <c r="N76" s="5"/>
      <c r="O76" s="1"/>
      <c r="P76" s="1"/>
      <c r="Q76"/>
      <c r="R76"/>
      <c r="S76" s="93"/>
      <c r="T76" s="97"/>
      <c r="U76" s="562"/>
      <c r="V76"/>
      <c r="W76"/>
      <c r="X76"/>
      <c r="Y76"/>
      <c r="Z76"/>
      <c r="AA76"/>
      <c r="AB76"/>
      <c r="AC76"/>
      <c r="AD76"/>
      <c r="AE76"/>
      <c r="AF76"/>
    </row>
    <row r="77" spans="1:32" s="3" customFormat="1" x14ac:dyDescent="0.3">
      <c r="A77"/>
      <c r="B77" s="2"/>
      <c r="C77" s="2"/>
      <c r="D77" s="2"/>
      <c r="E77" s="2"/>
      <c r="K77" s="1"/>
      <c r="L77" s="1"/>
      <c r="M77" s="1"/>
      <c r="N77" s="5"/>
      <c r="O77" s="1"/>
      <c r="P77" s="1"/>
      <c r="Q77"/>
      <c r="R77"/>
      <c r="S77" s="93"/>
      <c r="T77" s="98"/>
      <c r="U77" s="562"/>
      <c r="V77"/>
      <c r="W77"/>
      <c r="X77"/>
      <c r="Y77"/>
      <c r="Z77"/>
      <c r="AA77"/>
      <c r="AB77"/>
      <c r="AC77"/>
      <c r="AD77"/>
      <c r="AE77"/>
      <c r="AF77"/>
    </row>
    <row r="78" spans="1:32" s="3" customFormat="1" x14ac:dyDescent="0.3">
      <c r="A78"/>
      <c r="B78" s="2"/>
      <c r="C78" s="2"/>
      <c r="D78" s="2"/>
      <c r="E78" s="2"/>
      <c r="K78" s="395"/>
      <c r="L78" s="1"/>
      <c r="M78" s="1"/>
      <c r="N78" s="5"/>
      <c r="O78" s="1"/>
      <c r="P78" s="1"/>
      <c r="Q78"/>
      <c r="R78"/>
      <c r="S78" s="93"/>
      <c r="T78" s="98"/>
      <c r="U78" s="562"/>
      <c r="V78"/>
      <c r="W78"/>
      <c r="X78"/>
      <c r="Y78"/>
      <c r="Z78"/>
      <c r="AA78"/>
      <c r="AB78"/>
      <c r="AC78"/>
      <c r="AD78"/>
      <c r="AE78"/>
      <c r="AF78"/>
    </row>
    <row r="79" spans="1:32" s="3" customFormat="1" x14ac:dyDescent="0.3">
      <c r="A79"/>
      <c r="B79" s="2"/>
      <c r="C79" s="2"/>
      <c r="D79" s="2"/>
      <c r="E79" s="2"/>
      <c r="K79" s="1"/>
      <c r="L79" s="1"/>
      <c r="M79" s="1"/>
      <c r="N79" s="5"/>
      <c r="O79" s="1"/>
      <c r="P79" s="1"/>
      <c r="Q79"/>
      <c r="R79"/>
      <c r="S79" s="93"/>
      <c r="T79" s="98"/>
      <c r="U79" s="562"/>
      <c r="V79"/>
      <c r="W79"/>
      <c r="X79"/>
      <c r="Y79"/>
      <c r="Z79"/>
      <c r="AA79"/>
      <c r="AB79"/>
      <c r="AC79"/>
      <c r="AD79"/>
      <c r="AE79"/>
      <c r="AF79"/>
    </row>
    <row r="80" spans="1:32" s="3" customFormat="1" x14ac:dyDescent="0.3">
      <c r="A80"/>
      <c r="B80" s="2"/>
      <c r="C80" s="2"/>
      <c r="D80" s="2"/>
      <c r="E80" s="2"/>
      <c r="K80" s="1"/>
      <c r="L80" s="1"/>
      <c r="M80" s="1"/>
      <c r="N80" s="5"/>
      <c r="O80" s="1"/>
      <c r="P80" s="1"/>
      <c r="Q80"/>
      <c r="R80"/>
      <c r="S80" s="93"/>
      <c r="T80" s="98"/>
      <c r="U80" s="562"/>
      <c r="V80"/>
      <c r="W80"/>
      <c r="X80"/>
      <c r="Y80"/>
      <c r="Z80"/>
      <c r="AA80"/>
      <c r="AB80"/>
      <c r="AC80"/>
      <c r="AD80"/>
      <c r="AE80"/>
      <c r="AF80"/>
    </row>
  </sheetData>
  <mergeCells count="136">
    <mergeCell ref="C72:J72"/>
    <mergeCell ref="N72:O75"/>
    <mergeCell ref="P72:Q75"/>
    <mergeCell ref="R72:S75"/>
    <mergeCell ref="C73:J73"/>
    <mergeCell ref="C74:J74"/>
    <mergeCell ref="C75:J75"/>
    <mergeCell ref="C69:J69"/>
    <mergeCell ref="O69:P69"/>
    <mergeCell ref="Q69:R69"/>
    <mergeCell ref="C70:J70"/>
    <mergeCell ref="N71:O71"/>
    <mergeCell ref="P71:Q71"/>
    <mergeCell ref="R71:S71"/>
    <mergeCell ref="C67:J67"/>
    <mergeCell ref="O67:P67"/>
    <mergeCell ref="Q67:R67"/>
    <mergeCell ref="C68:J68"/>
    <mergeCell ref="O68:P68"/>
    <mergeCell ref="Q68:R68"/>
    <mergeCell ref="C65:J65"/>
    <mergeCell ref="O65:P65"/>
    <mergeCell ref="Q65:R65"/>
    <mergeCell ref="C66:J66"/>
    <mergeCell ref="O66:P66"/>
    <mergeCell ref="Q66:R66"/>
    <mergeCell ref="B62:L62"/>
    <mergeCell ref="O62:P62"/>
    <mergeCell ref="Q62:S62"/>
    <mergeCell ref="B64:E64"/>
    <mergeCell ref="O64:P64"/>
    <mergeCell ref="Q64:R64"/>
    <mergeCell ref="B60:L60"/>
    <mergeCell ref="O60:P60"/>
    <mergeCell ref="Q60:S60"/>
    <mergeCell ref="B61:L61"/>
    <mergeCell ref="O61:P61"/>
    <mergeCell ref="Q61:S61"/>
    <mergeCell ref="B58:L58"/>
    <mergeCell ref="O58:P58"/>
    <mergeCell ref="Q58:S58"/>
    <mergeCell ref="B59:L59"/>
    <mergeCell ref="O59:P59"/>
    <mergeCell ref="Q59:S59"/>
    <mergeCell ref="O50:P50"/>
    <mergeCell ref="Q50:R50"/>
    <mergeCell ref="O51:P51"/>
    <mergeCell ref="Q51:R57"/>
    <mergeCell ref="O52:P52"/>
    <mergeCell ref="O53:P53"/>
    <mergeCell ref="O54:P54"/>
    <mergeCell ref="O55:P55"/>
    <mergeCell ref="O56:P56"/>
    <mergeCell ref="O57:P57"/>
    <mergeCell ref="O47:P47"/>
    <mergeCell ref="Q47:R47"/>
    <mergeCell ref="O48:P48"/>
    <mergeCell ref="Q48:R48"/>
    <mergeCell ref="O49:P49"/>
    <mergeCell ref="Q49:R49"/>
    <mergeCell ref="O43:P43"/>
    <mergeCell ref="O44:P44"/>
    <mergeCell ref="B45:L45"/>
    <mergeCell ref="O45:P45"/>
    <mergeCell ref="Q45:R45"/>
    <mergeCell ref="O46:P46"/>
    <mergeCell ref="Q46:R46"/>
    <mergeCell ref="O38:P38"/>
    <mergeCell ref="Q38:R38"/>
    <mergeCell ref="O39:P39"/>
    <mergeCell ref="O42:P42"/>
    <mergeCell ref="Q42:R42"/>
    <mergeCell ref="O33:P33"/>
    <mergeCell ref="Q33:R33"/>
    <mergeCell ref="O34:P34"/>
    <mergeCell ref="O35:P35"/>
    <mergeCell ref="O36:P36"/>
    <mergeCell ref="O37:P37"/>
    <mergeCell ref="Q37:R37"/>
    <mergeCell ref="O41:P41"/>
    <mergeCell ref="O40:P40"/>
    <mergeCell ref="O29:P29"/>
    <mergeCell ref="O30:P30"/>
    <mergeCell ref="Q30:R30"/>
    <mergeCell ref="O31:P31"/>
    <mergeCell ref="O32:P32"/>
    <mergeCell ref="Q32:R32"/>
    <mergeCell ref="O24:P24"/>
    <mergeCell ref="O25:P25"/>
    <mergeCell ref="Q25:R25"/>
    <mergeCell ref="O27:P27"/>
    <mergeCell ref="Q27:R27"/>
    <mergeCell ref="O28:P28"/>
    <mergeCell ref="Q28:R28"/>
    <mergeCell ref="Q29:R29"/>
    <mergeCell ref="O21:P21"/>
    <mergeCell ref="Q21:R21"/>
    <mergeCell ref="O22:P22"/>
    <mergeCell ref="Q22:R22"/>
    <mergeCell ref="O23:P23"/>
    <mergeCell ref="Q23:R23"/>
    <mergeCell ref="O17:P17"/>
    <mergeCell ref="Q17:R17"/>
    <mergeCell ref="O18:P18"/>
    <mergeCell ref="Q18:R19"/>
    <mergeCell ref="O19:P19"/>
    <mergeCell ref="O20:P20"/>
    <mergeCell ref="Q20:R20"/>
    <mergeCell ref="O14:P14"/>
    <mergeCell ref="Q14:R14"/>
    <mergeCell ref="O15:P15"/>
    <mergeCell ref="Q15:R15"/>
    <mergeCell ref="O16:P16"/>
    <mergeCell ref="Q16:R16"/>
    <mergeCell ref="O10:P10"/>
    <mergeCell ref="Q10:R10"/>
    <mergeCell ref="O11:P11"/>
    <mergeCell ref="Q11:R11"/>
    <mergeCell ref="O12:P12"/>
    <mergeCell ref="Q12:R13"/>
    <mergeCell ref="O13:P13"/>
    <mergeCell ref="O6:P6"/>
    <mergeCell ref="Q6:R6"/>
    <mergeCell ref="O7:P7"/>
    <mergeCell ref="Q7:R7"/>
    <mergeCell ref="O9:P9"/>
    <mergeCell ref="Q9:R9"/>
    <mergeCell ref="A2:S2"/>
    <mergeCell ref="Q3:S3"/>
    <mergeCell ref="B4:E4"/>
    <mergeCell ref="O4:P4"/>
    <mergeCell ref="Q4:R4"/>
    <mergeCell ref="O5:P5"/>
    <mergeCell ref="Q5:R5"/>
    <mergeCell ref="O8:P8"/>
    <mergeCell ref="Q8:R8"/>
  </mergeCells>
  <phoneticPr fontId="2" type="noConversion"/>
  <pageMargins left="0.25" right="0.25" top="0.75" bottom="0.75" header="0.3" footer="0.3"/>
  <pageSetup paperSize="9" scale="10" fitToWidth="0" orientation="landscape" horizontalDpi="300" r:id="rId1"/>
  <headerFooter>
    <oddFooter>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CF3D-A32F-4D6F-9DF1-6B327F18608F}">
  <sheetPr>
    <pageSetUpPr fitToPage="1"/>
  </sheetPr>
  <dimension ref="A1:Y88"/>
  <sheetViews>
    <sheetView zoomScale="85" zoomScaleNormal="85" zoomScaleSheetLayoutView="100" zoomScalePageLayoutView="85" workbookViewId="0">
      <selection activeCell="F13" sqref="F13"/>
    </sheetView>
  </sheetViews>
  <sheetFormatPr defaultRowHeight="16.5" x14ac:dyDescent="0.3"/>
  <cols>
    <col min="1" max="1" width="1.625" customWidth="1"/>
    <col min="2" max="5" width="3.375" style="2" customWidth="1"/>
    <col min="6" max="6" width="57.25" style="3" customWidth="1"/>
    <col min="7" max="7" width="25.625" style="3" bestFit="1" customWidth="1"/>
    <col min="8" max="9" width="16.625" style="3" customWidth="1"/>
    <col min="10" max="10" width="6.625" style="3" customWidth="1"/>
    <col min="11" max="13" width="16.625" style="1" customWidth="1"/>
    <col min="14" max="14" width="12.625" style="5" customWidth="1"/>
    <col min="15" max="15" width="9.625" style="1" customWidth="1"/>
    <col min="16" max="16" width="12.625" style="1" customWidth="1"/>
    <col min="17" max="18" width="22.375" customWidth="1"/>
    <col min="19" max="19" width="21.875" style="93" customWidth="1"/>
  </cols>
  <sheetData>
    <row r="1" spans="1:25" ht="9.9499999999999993" customHeight="1" x14ac:dyDescent="0.3"/>
    <row r="2" spans="1:25" ht="26.25" x14ac:dyDescent="0.3">
      <c r="A2" s="1445" t="s">
        <v>558</v>
      </c>
      <c r="B2" s="1445"/>
      <c r="C2" s="1445"/>
      <c r="D2" s="1445"/>
      <c r="E2" s="1445"/>
      <c r="F2" s="1445"/>
      <c r="G2" s="1445"/>
      <c r="H2" s="1445"/>
      <c r="I2" s="1445"/>
      <c r="J2" s="1445"/>
      <c r="K2" s="1445"/>
      <c r="L2" s="1445"/>
      <c r="M2" s="1445"/>
      <c r="N2" s="1445"/>
      <c r="O2" s="1445"/>
      <c r="P2" s="1445"/>
      <c r="Q2" s="1445"/>
      <c r="R2" s="1445"/>
      <c r="S2" s="1445"/>
    </row>
    <row r="3" spans="1:25" ht="17.25" thickBot="1" x14ac:dyDescent="0.35">
      <c r="Q3" s="1446">
        <v>45422</v>
      </c>
      <c r="R3" s="1446"/>
      <c r="S3" s="1446"/>
    </row>
    <row r="4" spans="1:25" ht="18" thickBot="1" x14ac:dyDescent="0.35">
      <c r="B4" s="1318" t="s">
        <v>491</v>
      </c>
      <c r="C4" s="1319"/>
      <c r="D4" s="1319"/>
      <c r="E4" s="1320"/>
      <c r="F4" s="6" t="s">
        <v>56</v>
      </c>
      <c r="G4" s="6" t="s">
        <v>55</v>
      </c>
      <c r="H4" s="6" t="s">
        <v>0</v>
      </c>
      <c r="I4" s="6" t="s">
        <v>43</v>
      </c>
      <c r="J4" s="6" t="s">
        <v>4</v>
      </c>
      <c r="K4" s="7" t="s">
        <v>12</v>
      </c>
      <c r="L4" s="8" t="s">
        <v>39</v>
      </c>
      <c r="M4" s="8" t="s">
        <v>5</v>
      </c>
      <c r="N4" s="141" t="s">
        <v>13</v>
      </c>
      <c r="O4" s="1321" t="s">
        <v>6</v>
      </c>
      <c r="P4" s="1322"/>
      <c r="Q4" s="1319" t="s">
        <v>3</v>
      </c>
      <c r="R4" s="1323"/>
      <c r="S4" s="71" t="s">
        <v>59</v>
      </c>
    </row>
    <row r="5" spans="1:25" s="82" customFormat="1" ht="17.25" thickBot="1" x14ac:dyDescent="0.35">
      <c r="B5" s="122" t="s">
        <v>2</v>
      </c>
      <c r="C5" s="116"/>
      <c r="D5" s="116"/>
      <c r="E5" s="117"/>
      <c r="F5" s="118" t="s">
        <v>265</v>
      </c>
      <c r="G5" s="119"/>
      <c r="H5" s="119"/>
      <c r="I5" s="119"/>
      <c r="J5" s="119"/>
      <c r="K5" s="272"/>
      <c r="L5" s="120"/>
      <c r="M5" s="121"/>
      <c r="N5" s="135"/>
      <c r="O5" s="1447"/>
      <c r="P5" s="1448"/>
      <c r="Q5" s="1326"/>
      <c r="R5" s="1327"/>
      <c r="S5" s="115"/>
    </row>
    <row r="6" spans="1:25" s="369" customFormat="1" x14ac:dyDescent="0.3">
      <c r="B6" s="498"/>
      <c r="C6" s="155" t="s">
        <v>2</v>
      </c>
      <c r="D6" s="155"/>
      <c r="E6" s="151"/>
      <c r="F6" s="269" t="s">
        <v>307</v>
      </c>
      <c r="G6" s="184" t="s">
        <v>433</v>
      </c>
      <c r="H6" s="185" t="s">
        <v>131</v>
      </c>
      <c r="I6" s="185" t="s">
        <v>131</v>
      </c>
      <c r="J6" s="184">
        <v>1</v>
      </c>
      <c r="K6" s="169">
        <f>(8210+3030+1140+2160+440)*0.6*1.071*1400</f>
        <v>13476607.199999999</v>
      </c>
      <c r="L6" s="55">
        <v>24756000</v>
      </c>
      <c r="M6" s="164">
        <f>J6*K6</f>
        <v>13476607.199999999</v>
      </c>
      <c r="N6" s="158">
        <v>0</v>
      </c>
      <c r="O6" s="1328">
        <f t="shared" ref="O6:O13" si="0">J6*L6/(1-N6)</f>
        <v>24756000</v>
      </c>
      <c r="P6" s="1329"/>
      <c r="Q6" s="1330" t="s">
        <v>437</v>
      </c>
      <c r="R6" s="1331"/>
      <c r="S6" s="470"/>
    </row>
    <row r="7" spans="1:25" s="369" customFormat="1" x14ac:dyDescent="0.3">
      <c r="B7" s="62"/>
      <c r="C7" s="56"/>
      <c r="D7" s="63" t="s">
        <v>73</v>
      </c>
      <c r="E7" s="61"/>
      <c r="F7" s="174" t="s">
        <v>372</v>
      </c>
      <c r="G7" s="56">
        <v>720268</v>
      </c>
      <c r="H7" s="482" t="s">
        <v>131</v>
      </c>
      <c r="I7" s="482" t="s">
        <v>131</v>
      </c>
      <c r="J7" s="56">
        <v>2</v>
      </c>
      <c r="K7" s="169">
        <f>(1190)*0.606*1.071*1400</f>
        <v>1081277.3159999999</v>
      </c>
      <c r="L7" s="55">
        <v>1806000</v>
      </c>
      <c r="M7" s="475">
        <f t="shared" ref="M7:M10" si="1">J7*K7</f>
        <v>2162554.6319999998</v>
      </c>
      <c r="N7" s="503">
        <v>0</v>
      </c>
      <c r="O7" s="1472">
        <f t="shared" si="0"/>
        <v>3612000</v>
      </c>
      <c r="P7" s="1473"/>
      <c r="Q7" s="1474" t="s">
        <v>505</v>
      </c>
      <c r="R7" s="1475"/>
      <c r="S7" s="470"/>
      <c r="T7" s="370"/>
      <c r="U7" s="370"/>
    </row>
    <row r="8" spans="1:25" ht="16.149999999999999" customHeight="1" x14ac:dyDescent="0.3">
      <c r="B8" s="62"/>
      <c r="C8" s="56"/>
      <c r="D8" s="56"/>
      <c r="E8" s="61" t="s">
        <v>73</v>
      </c>
      <c r="F8" s="174" t="s">
        <v>281</v>
      </c>
      <c r="G8" s="56">
        <v>758933</v>
      </c>
      <c r="H8" s="482" t="s">
        <v>131</v>
      </c>
      <c r="I8" s="482" t="s">
        <v>131</v>
      </c>
      <c r="J8" s="56">
        <v>2</v>
      </c>
      <c r="K8" s="169">
        <f>(35)*0.643*1.071*1400</f>
        <v>33743.996999999996</v>
      </c>
      <c r="L8" s="392">
        <v>62000</v>
      </c>
      <c r="M8" s="475">
        <f t="shared" si="1"/>
        <v>67487.993999999992</v>
      </c>
      <c r="N8" s="503">
        <v>0</v>
      </c>
      <c r="O8" s="1472">
        <f t="shared" si="0"/>
        <v>124000</v>
      </c>
      <c r="P8" s="1473"/>
      <c r="Q8" s="1474" t="s">
        <v>506</v>
      </c>
      <c r="R8" s="1475"/>
      <c r="S8" s="470"/>
    </row>
    <row r="9" spans="1:25" ht="16.149999999999999" customHeight="1" x14ac:dyDescent="0.3">
      <c r="B9" s="62"/>
      <c r="C9" s="56"/>
      <c r="D9" s="56"/>
      <c r="E9" s="61" t="s">
        <v>73</v>
      </c>
      <c r="F9" s="174" t="s">
        <v>283</v>
      </c>
      <c r="G9" s="56">
        <v>758921</v>
      </c>
      <c r="H9" s="482" t="s">
        <v>131</v>
      </c>
      <c r="I9" s="482" t="s">
        <v>131</v>
      </c>
      <c r="J9" s="56">
        <v>2</v>
      </c>
      <c r="K9" s="169">
        <f>(30)*0.643*1.071*1400</f>
        <v>28923.425999999996</v>
      </c>
      <c r="L9" s="392">
        <v>54000</v>
      </c>
      <c r="M9" s="475">
        <f t="shared" si="1"/>
        <v>57846.851999999992</v>
      </c>
      <c r="N9" s="503">
        <v>0</v>
      </c>
      <c r="O9" s="1472">
        <f t="shared" si="0"/>
        <v>108000</v>
      </c>
      <c r="P9" s="1473"/>
      <c r="Q9" s="1474" t="s">
        <v>507</v>
      </c>
      <c r="R9" s="1475"/>
      <c r="S9" s="470"/>
    </row>
    <row r="10" spans="1:25" ht="16.149999999999999" customHeight="1" x14ac:dyDescent="0.3">
      <c r="B10" s="62"/>
      <c r="C10" s="56"/>
      <c r="D10" s="56"/>
      <c r="E10" s="61" t="s">
        <v>73</v>
      </c>
      <c r="F10" s="174" t="s">
        <v>377</v>
      </c>
      <c r="G10" s="56">
        <v>758924</v>
      </c>
      <c r="H10" s="482" t="s">
        <v>131</v>
      </c>
      <c r="I10" s="482" t="s">
        <v>131</v>
      </c>
      <c r="J10" s="56">
        <v>1</v>
      </c>
      <c r="K10" s="169">
        <f>(60)*0.643*1.071*1400</f>
        <v>57846.851999999992</v>
      </c>
      <c r="L10" s="392">
        <v>109000</v>
      </c>
      <c r="M10" s="475">
        <f t="shared" si="1"/>
        <v>57846.851999999992</v>
      </c>
      <c r="N10" s="503">
        <v>0</v>
      </c>
      <c r="O10" s="1472">
        <f t="shared" si="0"/>
        <v>109000</v>
      </c>
      <c r="P10" s="1473"/>
      <c r="Q10" s="1474" t="s">
        <v>508</v>
      </c>
      <c r="R10" s="1475"/>
      <c r="S10" s="470"/>
    </row>
    <row r="11" spans="1:25" ht="16.149999999999999" customHeight="1" x14ac:dyDescent="0.3">
      <c r="B11" s="62"/>
      <c r="C11" s="56"/>
      <c r="D11" s="56"/>
      <c r="E11" s="61" t="s">
        <v>73</v>
      </c>
      <c r="F11" s="269" t="s">
        <v>489</v>
      </c>
      <c r="G11" s="56">
        <v>702916</v>
      </c>
      <c r="H11" s="482" t="s">
        <v>131</v>
      </c>
      <c r="I11" s="482" t="s">
        <v>131</v>
      </c>
      <c r="J11" s="56">
        <v>1</v>
      </c>
      <c r="K11" s="169">
        <f>(6450)*0.6*1.071*1400</f>
        <v>5802677.9999999991</v>
      </c>
      <c r="L11" s="392">
        <v>8712000</v>
      </c>
      <c r="M11" s="475">
        <f>J11*K11</f>
        <v>5802677.9999999991</v>
      </c>
      <c r="N11" s="503">
        <v>0</v>
      </c>
      <c r="O11" s="1472">
        <f>J11*L11/(1-N11)</f>
        <v>8712000</v>
      </c>
      <c r="P11" s="1473"/>
      <c r="Q11" s="1474" t="s">
        <v>444</v>
      </c>
      <c r="R11" s="1475"/>
      <c r="S11" s="470"/>
    </row>
    <row r="12" spans="1:25" s="369" customFormat="1" x14ac:dyDescent="0.3">
      <c r="B12" s="62"/>
      <c r="C12" s="56"/>
      <c r="D12" s="63" t="s">
        <v>73</v>
      </c>
      <c r="E12" s="61"/>
      <c r="F12" s="174" t="s">
        <v>368</v>
      </c>
      <c r="G12" s="56">
        <v>701265</v>
      </c>
      <c r="H12" s="482" t="s">
        <v>131</v>
      </c>
      <c r="I12" s="482" t="s">
        <v>131</v>
      </c>
      <c r="J12" s="56">
        <v>2</v>
      </c>
      <c r="K12" s="169">
        <f>(1140)*0.606*1.071*1400</f>
        <v>1035845.4959999999</v>
      </c>
      <c r="L12" s="55">
        <v>1723000</v>
      </c>
      <c r="M12" s="475">
        <f t="shared" ref="M12" si="2">J12*K12</f>
        <v>2071690.9919999999</v>
      </c>
      <c r="N12" s="503">
        <v>0</v>
      </c>
      <c r="O12" s="1472">
        <f t="shared" si="0"/>
        <v>3446000</v>
      </c>
      <c r="P12" s="1473"/>
      <c r="Q12" s="1474" t="s">
        <v>292</v>
      </c>
      <c r="R12" s="1475"/>
      <c r="S12" s="470"/>
      <c r="T12" s="370"/>
      <c r="U12" s="370"/>
    </row>
    <row r="13" spans="1:25" s="84" customFormat="1" x14ac:dyDescent="0.3">
      <c r="B13" s="498"/>
      <c r="C13" s="499" t="s">
        <v>73</v>
      </c>
      <c r="D13" s="499"/>
      <c r="E13" s="151"/>
      <c r="F13" s="156" t="s">
        <v>546</v>
      </c>
      <c r="G13" s="393" t="s">
        <v>425</v>
      </c>
      <c r="H13" s="155" t="s">
        <v>142</v>
      </c>
      <c r="I13" s="56" t="s">
        <v>64</v>
      </c>
      <c r="J13" s="155">
        <v>4</v>
      </c>
      <c r="K13" s="55">
        <f>L13*0.75</f>
        <v>1731750</v>
      </c>
      <c r="L13" s="55">
        <v>2309000</v>
      </c>
      <c r="M13" s="164">
        <f>J13*K13</f>
        <v>6927000</v>
      </c>
      <c r="N13" s="158">
        <v>0</v>
      </c>
      <c r="O13" s="1328">
        <f t="shared" si="0"/>
        <v>9236000</v>
      </c>
      <c r="P13" s="1329"/>
      <c r="Q13" s="1330" t="s">
        <v>482</v>
      </c>
      <c r="R13" s="1331"/>
      <c r="S13" s="470"/>
    </row>
    <row r="14" spans="1:25" s="528" customFormat="1" x14ac:dyDescent="0.3">
      <c r="B14" s="62"/>
      <c r="C14" s="63" t="s">
        <v>2</v>
      </c>
      <c r="D14" s="63"/>
      <c r="E14" s="61"/>
      <c r="F14" s="174" t="s">
        <v>459</v>
      </c>
      <c r="G14" s="507" t="s">
        <v>195</v>
      </c>
      <c r="H14" s="56" t="s">
        <v>142</v>
      </c>
      <c r="I14" s="56" t="s">
        <v>64</v>
      </c>
      <c r="J14" s="56">
        <v>1</v>
      </c>
      <c r="K14" s="55">
        <f>L14*0.75</f>
        <v>14394750</v>
      </c>
      <c r="L14" s="55">
        <f>19193000</f>
        <v>19193000</v>
      </c>
      <c r="M14" s="418">
        <f t="shared" ref="M14:M17" si="3">J14*K14</f>
        <v>14394750</v>
      </c>
      <c r="N14" s="503">
        <v>0</v>
      </c>
      <c r="O14" s="1472">
        <f>L14*J14</f>
        <v>19193000</v>
      </c>
      <c r="P14" s="1473"/>
      <c r="Q14" s="1484" t="s">
        <v>401</v>
      </c>
      <c r="R14" s="1485"/>
      <c r="S14" s="212"/>
      <c r="W14" s="528">
        <f>2^16</f>
        <v>65536</v>
      </c>
      <c r="Y14" s="528">
        <f>60/W14</f>
        <v>9.1552734375E-4</v>
      </c>
    </row>
    <row r="15" spans="1:25" s="528" customFormat="1" x14ac:dyDescent="0.3">
      <c r="B15" s="62"/>
      <c r="C15" s="63"/>
      <c r="D15" s="63" t="s">
        <v>2</v>
      </c>
      <c r="E15" s="61"/>
      <c r="F15" s="174" t="s">
        <v>460</v>
      </c>
      <c r="G15" s="507" t="s">
        <v>461</v>
      </c>
      <c r="H15" s="56" t="s">
        <v>142</v>
      </c>
      <c r="I15" s="56" t="s">
        <v>64</v>
      </c>
      <c r="J15" s="56">
        <v>1</v>
      </c>
      <c r="K15" s="55">
        <f>L15*0.75</f>
        <v>14008500</v>
      </c>
      <c r="L15" s="55">
        <v>18678000</v>
      </c>
      <c r="M15" s="418">
        <f t="shared" si="3"/>
        <v>14008500</v>
      </c>
      <c r="N15" s="503">
        <v>0</v>
      </c>
      <c r="O15" s="1472">
        <f>L15*J15</f>
        <v>18678000</v>
      </c>
      <c r="P15" s="1473"/>
      <c r="Q15" s="1486"/>
      <c r="R15" s="1487"/>
      <c r="S15" s="212"/>
      <c r="W15" s="528">
        <f>2^12</f>
        <v>4096</v>
      </c>
      <c r="Y15" s="528">
        <f>60/W15</f>
        <v>1.46484375E-2</v>
      </c>
    </row>
    <row r="16" spans="1:25" s="82" customFormat="1" x14ac:dyDescent="0.3">
      <c r="B16" s="494"/>
      <c r="C16" s="495"/>
      <c r="D16" s="403"/>
      <c r="E16" s="495"/>
      <c r="F16" s="404" t="s">
        <v>473</v>
      </c>
      <c r="G16" s="403" t="s">
        <v>474</v>
      </c>
      <c r="H16" s="403" t="s">
        <v>510</v>
      </c>
      <c r="I16" s="405"/>
      <c r="J16" s="403">
        <v>0</v>
      </c>
      <c r="K16" s="406">
        <f>L16*0.85</f>
        <v>1929500</v>
      </c>
      <c r="L16" s="406">
        <v>2270000</v>
      </c>
      <c r="M16" s="407">
        <f t="shared" si="3"/>
        <v>0</v>
      </c>
      <c r="N16" s="408">
        <v>0</v>
      </c>
      <c r="O16" s="597">
        <f t="shared" ref="O16:O17" si="4">J16*L16/(1-N16)</f>
        <v>0</v>
      </c>
      <c r="P16" s="598"/>
      <c r="Q16" s="572" t="s">
        <v>477</v>
      </c>
      <c r="R16" s="573"/>
      <c r="S16" s="560"/>
    </row>
    <row r="17" spans="1:21" s="82" customFormat="1" x14ac:dyDescent="0.3">
      <c r="B17" s="494"/>
      <c r="C17" s="495"/>
      <c r="D17" s="403"/>
      <c r="E17" s="495"/>
      <c r="F17" s="404" t="s">
        <v>476</v>
      </c>
      <c r="G17" s="403" t="s">
        <v>475</v>
      </c>
      <c r="H17" s="403" t="s">
        <v>510</v>
      </c>
      <c r="I17" s="405"/>
      <c r="J17" s="403">
        <v>0</v>
      </c>
      <c r="K17" s="406">
        <f t="shared" ref="K17" si="5">L17*0.85</f>
        <v>1164500</v>
      </c>
      <c r="L17" s="406">
        <v>1370000</v>
      </c>
      <c r="M17" s="407">
        <f t="shared" si="3"/>
        <v>0</v>
      </c>
      <c r="N17" s="408">
        <v>0</v>
      </c>
      <c r="O17" s="597">
        <f t="shared" si="4"/>
        <v>0</v>
      </c>
      <c r="P17" s="598"/>
      <c r="Q17" s="572"/>
      <c r="R17" s="573"/>
      <c r="S17" s="560"/>
    </row>
    <row r="18" spans="1:21" s="82" customFormat="1" x14ac:dyDescent="0.3">
      <c r="B18" s="494"/>
      <c r="C18" s="495"/>
      <c r="D18" s="403"/>
      <c r="E18" s="495"/>
      <c r="F18" s="404" t="s">
        <v>256</v>
      </c>
      <c r="G18" s="403" t="s">
        <v>336</v>
      </c>
      <c r="H18" s="403" t="s">
        <v>337</v>
      </c>
      <c r="I18" s="405"/>
      <c r="J18" s="403">
        <v>0</v>
      </c>
      <c r="K18" s="406"/>
      <c r="L18" s="406">
        <v>11140000</v>
      </c>
      <c r="M18" s="407">
        <f t="shared" ref="M18:M24" si="6">J18*K18</f>
        <v>0</v>
      </c>
      <c r="N18" s="408">
        <v>0</v>
      </c>
      <c r="O18" s="597">
        <f>J18*L18/(1-N18)</f>
        <v>0</v>
      </c>
      <c r="P18" s="598"/>
      <c r="Q18" s="1548" t="s">
        <v>481</v>
      </c>
      <c r="R18" s="1549"/>
      <c r="S18" s="555"/>
    </row>
    <row r="19" spans="1:21" s="413" customFormat="1" x14ac:dyDescent="0.3">
      <c r="B19" s="494"/>
      <c r="C19" s="495"/>
      <c r="D19" s="403"/>
      <c r="E19" s="495"/>
      <c r="F19" s="404" t="s">
        <v>256</v>
      </c>
      <c r="G19" s="403" t="s">
        <v>395</v>
      </c>
      <c r="H19" s="403" t="s">
        <v>394</v>
      </c>
      <c r="I19" s="405"/>
      <c r="J19" s="403">
        <v>0</v>
      </c>
      <c r="K19" s="406">
        <f t="shared" ref="K19:K21" si="7">L19*0.75</f>
        <v>7717500</v>
      </c>
      <c r="L19" s="406">
        <v>10290000</v>
      </c>
      <c r="M19" s="407">
        <f t="shared" si="6"/>
        <v>0</v>
      </c>
      <c r="N19" s="408">
        <v>0</v>
      </c>
      <c r="O19" s="597">
        <f>J19*L19/(1-N19)</f>
        <v>0</v>
      </c>
      <c r="P19" s="598"/>
      <c r="Q19" s="1550"/>
      <c r="R19" s="1551"/>
      <c r="S19" s="470"/>
      <c r="U19" s="413">
        <f>1/10000</f>
        <v>1E-4</v>
      </c>
    </row>
    <row r="20" spans="1:21" s="394" customFormat="1" x14ac:dyDescent="0.3">
      <c r="A20" s="369"/>
      <c r="B20" s="583"/>
      <c r="C20" s="584"/>
      <c r="D20" s="584"/>
      <c r="E20" s="518"/>
      <c r="F20" s="519" t="s">
        <v>423</v>
      </c>
      <c r="G20" s="405" t="s">
        <v>273</v>
      </c>
      <c r="H20" s="405" t="s">
        <v>255</v>
      </c>
      <c r="I20" s="405"/>
      <c r="J20" s="405">
        <v>0</v>
      </c>
      <c r="K20" s="520">
        <f t="shared" si="7"/>
        <v>27652500</v>
      </c>
      <c r="L20" s="520">
        <v>36870000</v>
      </c>
      <c r="M20" s="407">
        <f t="shared" si="6"/>
        <v>0</v>
      </c>
      <c r="N20" s="521">
        <v>0</v>
      </c>
      <c r="O20" s="1546">
        <f>J20*L20/(1-N20)</f>
        <v>0</v>
      </c>
      <c r="P20" s="1547"/>
      <c r="Q20" s="1548" t="s">
        <v>462</v>
      </c>
      <c r="R20" s="1549"/>
      <c r="S20" s="212"/>
    </row>
    <row r="21" spans="1:21" s="528" customFormat="1" x14ac:dyDescent="0.3">
      <c r="A21" s="84"/>
      <c r="B21" s="583"/>
      <c r="C21" s="584"/>
      <c r="D21" s="584"/>
      <c r="E21" s="518"/>
      <c r="F21" s="519" t="s">
        <v>424</v>
      </c>
      <c r="G21" s="405" t="s">
        <v>274</v>
      </c>
      <c r="H21" s="405" t="s">
        <v>255</v>
      </c>
      <c r="I21" s="405"/>
      <c r="J21" s="405">
        <v>0</v>
      </c>
      <c r="K21" s="520">
        <f t="shared" si="7"/>
        <v>23730000</v>
      </c>
      <c r="L21" s="520">
        <v>31640000</v>
      </c>
      <c r="M21" s="407">
        <f t="shared" si="6"/>
        <v>0</v>
      </c>
      <c r="N21" s="521">
        <v>0</v>
      </c>
      <c r="O21" s="1546">
        <f>J21*L21/(1-N21)</f>
        <v>0</v>
      </c>
      <c r="P21" s="1547"/>
      <c r="Q21" s="1550" t="s">
        <v>401</v>
      </c>
      <c r="R21" s="1551"/>
      <c r="S21" s="212"/>
    </row>
    <row r="22" spans="1:21" s="82" customFormat="1" x14ac:dyDescent="0.3">
      <c r="B22" s="494"/>
      <c r="C22" s="495"/>
      <c r="D22" s="403"/>
      <c r="E22" s="495"/>
      <c r="F22" s="404" t="s">
        <v>435</v>
      </c>
      <c r="G22" s="403">
        <v>720254</v>
      </c>
      <c r="H22" s="403" t="s">
        <v>40</v>
      </c>
      <c r="I22" s="405" t="s">
        <v>40</v>
      </c>
      <c r="J22" s="403">
        <v>0</v>
      </c>
      <c r="K22" s="406">
        <f>(1950)*0.57*1.071*1400</f>
        <v>1666583.1</v>
      </c>
      <c r="L22" s="406">
        <v>2737000</v>
      </c>
      <c r="M22" s="407">
        <f t="shared" si="6"/>
        <v>0</v>
      </c>
      <c r="N22" s="408">
        <v>0</v>
      </c>
      <c r="O22" s="597">
        <f t="shared" ref="O22:O24" si="8">J22*L22/(1-N22)</f>
        <v>0</v>
      </c>
      <c r="P22" s="598"/>
      <c r="Q22" s="572" t="s">
        <v>464</v>
      </c>
      <c r="R22" s="573"/>
      <c r="S22" s="576"/>
      <c r="U22" s="624">
        <v>0.01</v>
      </c>
    </row>
    <row r="23" spans="1:21" s="82" customFormat="1" x14ac:dyDescent="0.3">
      <c r="B23" s="494"/>
      <c r="C23" s="495"/>
      <c r="D23" s="403"/>
      <c r="E23" s="495"/>
      <c r="F23" s="404" t="s">
        <v>466</v>
      </c>
      <c r="G23" s="403">
        <v>701901</v>
      </c>
      <c r="H23" s="403" t="s">
        <v>40</v>
      </c>
      <c r="I23" s="405" t="s">
        <v>40</v>
      </c>
      <c r="J23" s="403">
        <v>0</v>
      </c>
      <c r="K23" s="406">
        <f>(50)*0.642*1.071*1400</f>
        <v>48130.74</v>
      </c>
      <c r="L23" s="406">
        <v>104000</v>
      </c>
      <c r="M23" s="407">
        <f t="shared" si="6"/>
        <v>0</v>
      </c>
      <c r="N23" s="408">
        <v>0</v>
      </c>
      <c r="O23" s="597">
        <f t="shared" si="8"/>
        <v>0</v>
      </c>
      <c r="P23" s="598"/>
      <c r="Q23" s="572" t="s">
        <v>467</v>
      </c>
      <c r="R23" s="573"/>
      <c r="S23" s="576"/>
    </row>
    <row r="24" spans="1:21" s="82" customFormat="1" x14ac:dyDescent="0.3">
      <c r="B24" s="494"/>
      <c r="C24" s="495"/>
      <c r="D24" s="403"/>
      <c r="E24" s="495"/>
      <c r="F24" s="404" t="s">
        <v>283</v>
      </c>
      <c r="G24" s="403">
        <v>758921</v>
      </c>
      <c r="H24" s="403" t="s">
        <v>40</v>
      </c>
      <c r="I24" s="405" t="s">
        <v>131</v>
      </c>
      <c r="J24" s="403">
        <v>0</v>
      </c>
      <c r="K24" s="406">
        <f>(30)*0.643*1.071*1400</f>
        <v>28923.425999999996</v>
      </c>
      <c r="L24" s="406">
        <v>54000</v>
      </c>
      <c r="M24" s="407">
        <f t="shared" si="6"/>
        <v>0</v>
      </c>
      <c r="N24" s="408">
        <v>0</v>
      </c>
      <c r="O24" s="597">
        <f t="shared" si="8"/>
        <v>0</v>
      </c>
      <c r="P24" s="598"/>
      <c r="Q24" s="572" t="s">
        <v>465</v>
      </c>
      <c r="R24" s="573"/>
      <c r="S24" s="576"/>
      <c r="U24" s="82">
        <f>1/500</f>
        <v>2E-3</v>
      </c>
    </row>
    <row r="25" spans="1:21" ht="16.149999999999999" customHeight="1" thickBot="1" x14ac:dyDescent="0.35">
      <c r="B25" s="581"/>
      <c r="C25" s="184"/>
      <c r="D25" s="184"/>
      <c r="E25" s="582"/>
      <c r="F25" s="156"/>
      <c r="G25" s="155"/>
      <c r="H25" s="155"/>
      <c r="I25" s="155"/>
      <c r="J25" s="184"/>
      <c r="K25" s="199"/>
      <c r="L25" s="55"/>
      <c r="M25" s="164"/>
      <c r="N25" s="158"/>
      <c r="O25" s="577"/>
      <c r="P25" s="578"/>
      <c r="Q25" s="1488"/>
      <c r="R25" s="1489"/>
      <c r="S25" s="470"/>
      <c r="U25" s="82">
        <f>1/1000</f>
        <v>1E-3</v>
      </c>
    </row>
    <row r="26" spans="1:21" s="369" customFormat="1" ht="17.25" thickBot="1" x14ac:dyDescent="0.35">
      <c r="B26" s="587" t="s">
        <v>2</v>
      </c>
      <c r="C26" s="588"/>
      <c r="D26" s="588"/>
      <c r="E26" s="589"/>
      <c r="F26" s="270" t="s">
        <v>266</v>
      </c>
      <c r="G26" s="590"/>
      <c r="H26" s="590"/>
      <c r="I26" s="590"/>
      <c r="J26" s="590"/>
      <c r="K26" s="590"/>
      <c r="L26" s="591"/>
      <c r="M26" s="592"/>
      <c r="N26" s="593"/>
      <c r="O26" s="1324"/>
      <c r="P26" s="1325"/>
      <c r="Q26" s="1326"/>
      <c r="R26" s="1327"/>
      <c r="S26" s="115"/>
    </row>
    <row r="27" spans="1:21" s="84" customFormat="1" x14ac:dyDescent="0.3">
      <c r="B27" s="500"/>
      <c r="C27" s="501" t="s">
        <v>2</v>
      </c>
      <c r="D27" s="144"/>
      <c r="E27" s="145"/>
      <c r="F27" s="146" t="s">
        <v>540</v>
      </c>
      <c r="G27" s="144" t="s">
        <v>278</v>
      </c>
      <c r="H27" s="144" t="s">
        <v>80</v>
      </c>
      <c r="I27" s="144" t="s">
        <v>240</v>
      </c>
      <c r="J27" s="144">
        <v>1</v>
      </c>
      <c r="K27" s="157">
        <f t="shared" ref="K27:K30" si="9">L27*0.95</f>
        <v>2422500</v>
      </c>
      <c r="L27" s="147">
        <v>2550000</v>
      </c>
      <c r="M27" s="163">
        <f>J27*K27</f>
        <v>2422500</v>
      </c>
      <c r="N27" s="148">
        <v>0</v>
      </c>
      <c r="O27" s="1480">
        <f t="shared" ref="O27:O30" si="10">J27*L27/(1-N27)</f>
        <v>2550000</v>
      </c>
      <c r="P27" s="1481"/>
      <c r="Q27" s="1482"/>
      <c r="R27" s="1483"/>
      <c r="S27" s="287"/>
      <c r="T27" s="273"/>
    </row>
    <row r="28" spans="1:21" s="84" customFormat="1" x14ac:dyDescent="0.3">
      <c r="B28" s="615"/>
      <c r="C28" s="621"/>
      <c r="D28" s="621" t="s">
        <v>2</v>
      </c>
      <c r="E28" s="609"/>
      <c r="F28" s="610" t="s">
        <v>538</v>
      </c>
      <c r="G28" s="611" t="s">
        <v>311</v>
      </c>
      <c r="H28" s="611" t="s">
        <v>80</v>
      </c>
      <c r="I28" s="611" t="s">
        <v>430</v>
      </c>
      <c r="J28" s="611">
        <v>1</v>
      </c>
      <c r="K28" s="612">
        <f t="shared" si="9"/>
        <v>2242000</v>
      </c>
      <c r="L28" s="612">
        <v>2360000</v>
      </c>
      <c r="M28" s="613">
        <f t="shared" ref="M28:M30" si="11">J28*K28</f>
        <v>2242000</v>
      </c>
      <c r="N28" s="614">
        <v>0</v>
      </c>
      <c r="O28" s="1566">
        <f t="shared" si="10"/>
        <v>2360000</v>
      </c>
      <c r="P28" s="1567"/>
      <c r="Q28" s="1568" t="s">
        <v>559</v>
      </c>
      <c r="R28" s="1569"/>
      <c r="S28" s="289"/>
      <c r="T28" s="606" t="s">
        <v>552</v>
      </c>
      <c r="U28"/>
    </row>
    <row r="29" spans="1:21" s="84" customFormat="1" x14ac:dyDescent="0.3">
      <c r="B29" s="498"/>
      <c r="C29" s="499"/>
      <c r="D29" s="499" t="s">
        <v>2</v>
      </c>
      <c r="E29" s="151"/>
      <c r="F29" s="156" t="s">
        <v>536</v>
      </c>
      <c r="G29" s="155" t="s">
        <v>316</v>
      </c>
      <c r="H29" s="155" t="s">
        <v>80</v>
      </c>
      <c r="I29" s="155" t="s">
        <v>430</v>
      </c>
      <c r="J29" s="155">
        <v>1</v>
      </c>
      <c r="K29" s="157">
        <f t="shared" si="9"/>
        <v>836000</v>
      </c>
      <c r="L29" s="157">
        <v>880000</v>
      </c>
      <c r="M29" s="164">
        <f t="shared" si="11"/>
        <v>836000</v>
      </c>
      <c r="N29" s="158">
        <v>0</v>
      </c>
      <c r="O29" s="1328">
        <f t="shared" si="10"/>
        <v>880000</v>
      </c>
      <c r="P29" s="1329"/>
      <c r="Q29" s="1330" t="s">
        <v>580</v>
      </c>
      <c r="R29" s="1331"/>
      <c r="S29" s="289"/>
      <c r="T29" s="82" t="s">
        <v>533</v>
      </c>
      <c r="U29"/>
    </row>
    <row r="30" spans="1:21" s="82" customFormat="1" x14ac:dyDescent="0.3">
      <c r="B30" s="626"/>
      <c r="C30" s="621"/>
      <c r="D30" s="621" t="s">
        <v>2</v>
      </c>
      <c r="E30" s="627"/>
      <c r="F30" s="610" t="s">
        <v>534</v>
      </c>
      <c r="G30" s="611" t="s">
        <v>554</v>
      </c>
      <c r="H30" s="611" t="s">
        <v>80</v>
      </c>
      <c r="I30" s="611" t="s">
        <v>430</v>
      </c>
      <c r="J30" s="617">
        <v>1</v>
      </c>
      <c r="K30" s="620">
        <f t="shared" si="9"/>
        <v>1396500</v>
      </c>
      <c r="L30" s="620">
        <v>1470000</v>
      </c>
      <c r="M30" s="613">
        <f t="shared" si="11"/>
        <v>1396500</v>
      </c>
      <c r="N30" s="614">
        <v>0</v>
      </c>
      <c r="O30" s="1566">
        <f t="shared" si="10"/>
        <v>1470000</v>
      </c>
      <c r="P30" s="1567"/>
      <c r="Q30" s="1568" t="s">
        <v>523</v>
      </c>
      <c r="R30" s="1569"/>
      <c r="S30" s="204"/>
      <c r="T30" s="625" t="s">
        <v>555</v>
      </c>
    </row>
    <row r="31" spans="1:21" ht="17.25" thickBot="1" x14ac:dyDescent="0.35">
      <c r="B31" s="581"/>
      <c r="C31" s="184"/>
      <c r="D31" s="184"/>
      <c r="E31" s="582"/>
      <c r="F31" s="156"/>
      <c r="G31" s="155"/>
      <c r="H31" s="155"/>
      <c r="I31" s="155"/>
      <c r="J31" s="184"/>
      <c r="K31" s="199"/>
      <c r="L31" s="55"/>
      <c r="M31" s="164"/>
      <c r="N31" s="158"/>
      <c r="O31" s="1498"/>
      <c r="P31" s="1499"/>
      <c r="Q31" s="570"/>
      <c r="R31" s="571"/>
      <c r="S31" s="204"/>
    </row>
    <row r="32" spans="1:21" ht="17.25" thickBot="1" x14ac:dyDescent="0.35">
      <c r="B32" s="587" t="s">
        <v>2</v>
      </c>
      <c r="C32" s="588"/>
      <c r="D32" s="588"/>
      <c r="E32" s="589"/>
      <c r="F32" s="270" t="s">
        <v>267</v>
      </c>
      <c r="G32" s="590"/>
      <c r="H32" s="590"/>
      <c r="I32" s="590"/>
      <c r="J32" s="590"/>
      <c r="K32" s="590"/>
      <c r="L32" s="591"/>
      <c r="M32" s="592"/>
      <c r="N32" s="593"/>
      <c r="O32" s="1324"/>
      <c r="P32" s="1325"/>
      <c r="Q32" s="1336"/>
      <c r="R32" s="1337"/>
      <c r="S32" s="115"/>
    </row>
    <row r="33" spans="1:21" x14ac:dyDescent="0.3">
      <c r="B33" s="500"/>
      <c r="C33" s="501" t="s">
        <v>2</v>
      </c>
      <c r="D33" s="144"/>
      <c r="E33" s="145"/>
      <c r="F33" s="146" t="s">
        <v>418</v>
      </c>
      <c r="G33" s="144"/>
      <c r="H33" s="176" t="s">
        <v>60</v>
      </c>
      <c r="I33" s="144"/>
      <c r="J33" s="144">
        <v>1</v>
      </c>
      <c r="K33" s="157">
        <v>5000000</v>
      </c>
      <c r="L33" s="157">
        <v>5000000</v>
      </c>
      <c r="M33" s="163">
        <f>J33*K33</f>
        <v>5000000</v>
      </c>
      <c r="N33" s="148">
        <v>0.3</v>
      </c>
      <c r="O33" s="1480">
        <f t="shared" ref="O33:O48" si="12">J33*L33*(1+N33)</f>
        <v>6500000</v>
      </c>
      <c r="P33" s="1481"/>
      <c r="Q33" s="1482"/>
      <c r="R33" s="1483"/>
      <c r="S33" s="287"/>
    </row>
    <row r="34" spans="1:21" s="84" customFormat="1" x14ac:dyDescent="0.3">
      <c r="B34" s="594"/>
      <c r="C34" s="176"/>
      <c r="D34" s="176" t="s">
        <v>2</v>
      </c>
      <c r="E34" s="595"/>
      <c r="F34" s="156" t="s">
        <v>247</v>
      </c>
      <c r="G34" s="155" t="s">
        <v>248</v>
      </c>
      <c r="H34" s="155" t="s">
        <v>249</v>
      </c>
      <c r="I34" s="155" t="s">
        <v>249</v>
      </c>
      <c r="J34" s="155">
        <v>1</v>
      </c>
      <c r="K34" s="157">
        <v>530000</v>
      </c>
      <c r="L34" s="157">
        <v>530000</v>
      </c>
      <c r="M34" s="164">
        <f>J34*K34</f>
        <v>530000</v>
      </c>
      <c r="N34" s="158">
        <v>0.3</v>
      </c>
      <c r="O34" s="1328">
        <f t="shared" si="12"/>
        <v>689000</v>
      </c>
      <c r="P34" s="1329"/>
      <c r="Q34" s="570"/>
      <c r="R34" s="571"/>
      <c r="S34" s="152"/>
      <c r="T34" s="625"/>
    </row>
    <row r="35" spans="1:21" s="84" customFormat="1" x14ac:dyDescent="0.3">
      <c r="B35" s="181"/>
      <c r="C35" s="182"/>
      <c r="D35" s="182" t="s">
        <v>2</v>
      </c>
      <c r="E35" s="183"/>
      <c r="F35" s="156" t="s">
        <v>250</v>
      </c>
      <c r="G35" s="155" t="s">
        <v>329</v>
      </c>
      <c r="H35" s="155" t="s">
        <v>330</v>
      </c>
      <c r="I35" s="155" t="s">
        <v>251</v>
      </c>
      <c r="J35" s="155">
        <v>1</v>
      </c>
      <c r="K35" s="157">
        <v>200000</v>
      </c>
      <c r="L35" s="157">
        <v>200000</v>
      </c>
      <c r="M35" s="164">
        <f>J35*K35</f>
        <v>200000</v>
      </c>
      <c r="N35" s="158">
        <v>0.3</v>
      </c>
      <c r="O35" s="1365">
        <f t="shared" si="12"/>
        <v>260000</v>
      </c>
      <c r="P35" s="1366"/>
      <c r="Q35" s="1330"/>
      <c r="R35" s="1331"/>
      <c r="S35" s="152"/>
      <c r="T35"/>
      <c r="U35"/>
    </row>
    <row r="36" spans="1:21" s="82" customFormat="1" x14ac:dyDescent="0.3">
      <c r="B36" s="181"/>
      <c r="C36" s="182"/>
      <c r="D36" s="182" t="s">
        <v>2</v>
      </c>
      <c r="E36" s="183"/>
      <c r="F36" s="156" t="s">
        <v>252</v>
      </c>
      <c r="G36" s="155" t="s">
        <v>253</v>
      </c>
      <c r="H36" s="155" t="s">
        <v>254</v>
      </c>
      <c r="I36" s="155" t="s">
        <v>254</v>
      </c>
      <c r="J36" s="186">
        <v>1</v>
      </c>
      <c r="K36" s="387">
        <v>3000000</v>
      </c>
      <c r="L36" s="387">
        <v>3000000</v>
      </c>
      <c r="M36" s="164">
        <f>J36*K36</f>
        <v>3000000</v>
      </c>
      <c r="N36" s="158">
        <v>0.3</v>
      </c>
      <c r="O36" s="1365">
        <f t="shared" si="12"/>
        <v>3900000</v>
      </c>
      <c r="P36" s="1366"/>
      <c r="Q36" s="570"/>
      <c r="R36" s="571"/>
      <c r="S36" s="204"/>
    </row>
    <row r="37" spans="1:21" s="82" customFormat="1" x14ac:dyDescent="0.3">
      <c r="B37" s="149"/>
      <c r="C37" s="150"/>
      <c r="D37" s="155" t="s">
        <v>2</v>
      </c>
      <c r="E37" s="151"/>
      <c r="F37" s="156" t="s">
        <v>245</v>
      </c>
      <c r="G37" s="155" t="s">
        <v>246</v>
      </c>
      <c r="H37" s="155" t="s">
        <v>183</v>
      </c>
      <c r="I37" s="155"/>
      <c r="J37" s="155">
        <v>1</v>
      </c>
      <c r="K37" s="157">
        <v>200000</v>
      </c>
      <c r="L37" s="157">
        <v>200000</v>
      </c>
      <c r="M37" s="164">
        <f t="shared" ref="M37" si="13">J37*K37</f>
        <v>200000</v>
      </c>
      <c r="N37" s="158">
        <v>0.3</v>
      </c>
      <c r="O37" s="1365">
        <f t="shared" si="12"/>
        <v>260000</v>
      </c>
      <c r="P37" s="1366"/>
      <c r="Q37" s="1330"/>
      <c r="R37" s="1331"/>
      <c r="S37" s="152"/>
    </row>
    <row r="38" spans="1:21" s="82" customFormat="1" x14ac:dyDescent="0.3">
      <c r="B38" s="365"/>
      <c r="C38" s="291"/>
      <c r="D38" s="291" t="s">
        <v>2</v>
      </c>
      <c r="E38" s="367"/>
      <c r="F38" s="156" t="s">
        <v>343</v>
      </c>
      <c r="G38" s="155" t="s">
        <v>334</v>
      </c>
      <c r="H38" s="155" t="s">
        <v>328</v>
      </c>
      <c r="I38" s="155"/>
      <c r="J38" s="186">
        <v>1</v>
      </c>
      <c r="K38" s="169">
        <v>450000</v>
      </c>
      <c r="L38" s="169">
        <v>500000</v>
      </c>
      <c r="M38" s="164">
        <f>J38*K38</f>
        <v>450000</v>
      </c>
      <c r="N38" s="158">
        <v>0</v>
      </c>
      <c r="O38" s="1365">
        <f t="shared" si="12"/>
        <v>500000</v>
      </c>
      <c r="P38" s="1366"/>
      <c r="Q38" s="1330" t="s">
        <v>522</v>
      </c>
      <c r="R38" s="1331"/>
      <c r="S38" s="204"/>
    </row>
    <row r="39" spans="1:21" s="82" customFormat="1" x14ac:dyDescent="0.3">
      <c r="B39" s="181"/>
      <c r="C39" s="182" t="s">
        <v>2</v>
      </c>
      <c r="D39" s="366"/>
      <c r="E39" s="183"/>
      <c r="F39" s="388" t="s">
        <v>268</v>
      </c>
      <c r="G39" s="182"/>
      <c r="H39" s="182"/>
      <c r="I39" s="155"/>
      <c r="J39" s="155">
        <v>1</v>
      </c>
      <c r="K39" s="157"/>
      <c r="L39" s="157"/>
      <c r="M39" s="164">
        <f t="shared" ref="M39:M43" si="14">J39*K39</f>
        <v>0</v>
      </c>
      <c r="N39" s="158">
        <v>0.3</v>
      </c>
      <c r="O39" s="1365">
        <f t="shared" si="12"/>
        <v>0</v>
      </c>
      <c r="P39" s="1366"/>
      <c r="Q39" s="550"/>
      <c r="R39" s="551"/>
      <c r="S39" s="152"/>
    </row>
    <row r="40" spans="1:21" s="84" customFormat="1" x14ac:dyDescent="0.3">
      <c r="B40" s="181"/>
      <c r="C40" s="182"/>
      <c r="D40" s="182" t="s">
        <v>2</v>
      </c>
      <c r="E40" s="183"/>
      <c r="F40" s="388" t="s">
        <v>284</v>
      </c>
      <c r="G40" s="182"/>
      <c r="H40" s="182" t="s">
        <v>60</v>
      </c>
      <c r="I40" s="155"/>
      <c r="J40" s="155">
        <v>1</v>
      </c>
      <c r="K40" s="157">
        <v>1000000</v>
      </c>
      <c r="L40" s="157">
        <v>1000000</v>
      </c>
      <c r="M40" s="164">
        <f>J40*K40</f>
        <v>1000000</v>
      </c>
      <c r="N40" s="158">
        <v>0.3</v>
      </c>
      <c r="O40" s="1365">
        <f t="shared" si="12"/>
        <v>1300000</v>
      </c>
      <c r="P40" s="1366"/>
      <c r="Q40" s="550"/>
      <c r="R40" s="551"/>
      <c r="S40" s="152"/>
    </row>
    <row r="41" spans="1:21" s="413" customFormat="1" x14ac:dyDescent="0.3">
      <c r="A41" s="82"/>
      <c r="B41" s="181"/>
      <c r="C41" s="182"/>
      <c r="D41" s="366" t="s">
        <v>2</v>
      </c>
      <c r="E41" s="183"/>
      <c r="F41" s="388" t="s">
        <v>519</v>
      </c>
      <c r="G41" s="182" t="s">
        <v>520</v>
      </c>
      <c r="H41" s="182" t="s">
        <v>521</v>
      </c>
      <c r="I41" s="155"/>
      <c r="J41" s="155">
        <v>3</v>
      </c>
      <c r="K41" s="157">
        <v>20000</v>
      </c>
      <c r="L41" s="157">
        <v>20000</v>
      </c>
      <c r="M41" s="164">
        <f t="shared" ref="M41:M42" si="15">J41*K41</f>
        <v>60000</v>
      </c>
      <c r="N41" s="158">
        <v>0.3</v>
      </c>
      <c r="O41" s="1365">
        <f t="shared" si="12"/>
        <v>78000</v>
      </c>
      <c r="P41" s="1366"/>
      <c r="Q41" s="558"/>
      <c r="R41" s="559"/>
      <c r="S41" s="152"/>
    </row>
    <row r="42" spans="1:21" s="413" customFormat="1" x14ac:dyDescent="0.3">
      <c r="A42" s="82"/>
      <c r="B42" s="607"/>
      <c r="C42" s="608"/>
      <c r="D42" s="617" t="s">
        <v>2</v>
      </c>
      <c r="E42" s="622"/>
      <c r="F42" s="623" t="s">
        <v>269</v>
      </c>
      <c r="G42" s="608" t="s">
        <v>270</v>
      </c>
      <c r="H42" s="608" t="s">
        <v>271</v>
      </c>
      <c r="I42" s="611"/>
      <c r="J42" s="611">
        <v>5</v>
      </c>
      <c r="K42" s="612">
        <v>120000</v>
      </c>
      <c r="L42" s="612">
        <v>120000</v>
      </c>
      <c r="M42" s="613">
        <f t="shared" si="15"/>
        <v>600000</v>
      </c>
      <c r="N42" s="614">
        <v>0.3</v>
      </c>
      <c r="O42" s="1566">
        <f t="shared" si="12"/>
        <v>780000</v>
      </c>
      <c r="P42" s="1567"/>
      <c r="Q42" s="558"/>
      <c r="R42" s="559"/>
      <c r="S42" s="152"/>
    </row>
    <row r="43" spans="1:21" s="84" customFormat="1" x14ac:dyDescent="0.3">
      <c r="B43" s="181"/>
      <c r="C43" s="182"/>
      <c r="D43" s="182" t="s">
        <v>2</v>
      </c>
      <c r="E43" s="183"/>
      <c r="F43" s="388" t="s">
        <v>272</v>
      </c>
      <c r="G43" s="366" t="s">
        <v>286</v>
      </c>
      <c r="H43" s="366" t="s">
        <v>287</v>
      </c>
      <c r="I43" s="155"/>
      <c r="J43" s="155">
        <v>1</v>
      </c>
      <c r="K43" s="157">
        <v>230000</v>
      </c>
      <c r="L43" s="157">
        <v>230000</v>
      </c>
      <c r="M43" s="164">
        <f t="shared" si="14"/>
        <v>230000</v>
      </c>
      <c r="N43" s="158">
        <v>0.3</v>
      </c>
      <c r="O43" s="1365">
        <f t="shared" si="12"/>
        <v>299000</v>
      </c>
      <c r="P43" s="1366"/>
      <c r="Q43" s="1330" t="s">
        <v>572</v>
      </c>
      <c r="R43" s="1331"/>
      <c r="S43" s="152"/>
    </row>
    <row r="44" spans="1:21" s="82" customFormat="1" x14ac:dyDescent="0.3">
      <c r="B44" s="181"/>
      <c r="C44" s="182"/>
      <c r="D44" s="182" t="s">
        <v>2</v>
      </c>
      <c r="E44" s="183"/>
      <c r="F44" s="389" t="s">
        <v>355</v>
      </c>
      <c r="G44" s="366" t="s">
        <v>285</v>
      </c>
      <c r="H44" s="366" t="s">
        <v>277</v>
      </c>
      <c r="I44" s="155"/>
      <c r="J44" s="155">
        <v>1</v>
      </c>
      <c r="K44" s="157">
        <v>70000</v>
      </c>
      <c r="L44" s="157">
        <v>70000</v>
      </c>
      <c r="M44" s="164">
        <f>J44*K44</f>
        <v>70000</v>
      </c>
      <c r="N44" s="158">
        <v>0.3</v>
      </c>
      <c r="O44" s="1365">
        <f t="shared" si="12"/>
        <v>91000</v>
      </c>
      <c r="P44" s="1366"/>
      <c r="Q44" s="1330" t="s">
        <v>571</v>
      </c>
      <c r="R44" s="1331"/>
      <c r="S44" s="152"/>
    </row>
    <row r="45" spans="1:21" s="82" customFormat="1" x14ac:dyDescent="0.3">
      <c r="B45" s="181"/>
      <c r="C45" s="182"/>
      <c r="D45" s="182" t="s">
        <v>2</v>
      </c>
      <c r="E45" s="183"/>
      <c r="F45" s="388" t="s">
        <v>354</v>
      </c>
      <c r="G45" s="366" t="s">
        <v>353</v>
      </c>
      <c r="H45" s="182" t="s">
        <v>277</v>
      </c>
      <c r="I45" s="155"/>
      <c r="J45" s="155">
        <v>1</v>
      </c>
      <c r="K45" s="157">
        <v>70000</v>
      </c>
      <c r="L45" s="157">
        <v>70000</v>
      </c>
      <c r="M45" s="164">
        <f>J45*K45</f>
        <v>70000</v>
      </c>
      <c r="N45" s="158">
        <v>0.3</v>
      </c>
      <c r="O45" s="1365">
        <f t="shared" si="12"/>
        <v>91000</v>
      </c>
      <c r="P45" s="1366"/>
      <c r="Q45" s="1330" t="s">
        <v>561</v>
      </c>
      <c r="R45" s="1331"/>
      <c r="S45" s="152"/>
    </row>
    <row r="46" spans="1:21" s="82" customFormat="1" x14ac:dyDescent="0.3">
      <c r="B46" s="181"/>
      <c r="C46" s="182"/>
      <c r="D46" s="182" t="s">
        <v>2</v>
      </c>
      <c r="E46" s="183"/>
      <c r="F46" s="388" t="s">
        <v>357</v>
      </c>
      <c r="G46" s="366" t="s">
        <v>285</v>
      </c>
      <c r="H46" s="182" t="s">
        <v>277</v>
      </c>
      <c r="I46" s="155"/>
      <c r="J46" s="155">
        <v>1</v>
      </c>
      <c r="K46" s="157">
        <v>70000</v>
      </c>
      <c r="L46" s="157">
        <v>70000</v>
      </c>
      <c r="M46" s="157">
        <v>70000</v>
      </c>
      <c r="N46" s="158">
        <v>0.3</v>
      </c>
      <c r="O46" s="1365">
        <f t="shared" si="12"/>
        <v>91000</v>
      </c>
      <c r="P46" s="1366"/>
      <c r="Q46" s="1330" t="s">
        <v>361</v>
      </c>
      <c r="R46" s="1331"/>
      <c r="S46" s="152"/>
    </row>
    <row r="47" spans="1:21" s="413" customFormat="1" x14ac:dyDescent="0.3">
      <c r="A47" s="82"/>
      <c r="B47" s="181"/>
      <c r="C47" s="182"/>
      <c r="D47" s="182" t="s">
        <v>2</v>
      </c>
      <c r="E47" s="183"/>
      <c r="F47" s="388" t="s">
        <v>471</v>
      </c>
      <c r="G47" s="366"/>
      <c r="H47" s="182"/>
      <c r="I47" s="155"/>
      <c r="J47" s="155">
        <v>3</v>
      </c>
      <c r="K47" s="157">
        <v>20000</v>
      </c>
      <c r="L47" s="157">
        <v>20000</v>
      </c>
      <c r="M47" s="157">
        <f t="shared" ref="M47" si="16">J47*K47</f>
        <v>60000</v>
      </c>
      <c r="N47" s="158">
        <v>0.3</v>
      </c>
      <c r="O47" s="1365">
        <f t="shared" si="12"/>
        <v>78000</v>
      </c>
      <c r="P47" s="1366"/>
      <c r="Q47" s="1330" t="s">
        <v>569</v>
      </c>
      <c r="R47" s="1331"/>
      <c r="S47" s="152"/>
    </row>
    <row r="48" spans="1:21" s="82" customFormat="1" x14ac:dyDescent="0.3">
      <c r="B48" s="181"/>
      <c r="C48" s="182" t="s">
        <v>2</v>
      </c>
      <c r="D48" s="366"/>
      <c r="E48" s="183"/>
      <c r="F48" s="388" t="s">
        <v>419</v>
      </c>
      <c r="G48" s="182"/>
      <c r="H48" s="182" t="s">
        <v>60</v>
      </c>
      <c r="I48" s="155"/>
      <c r="J48" s="155">
        <v>1</v>
      </c>
      <c r="K48" s="157">
        <v>3000000</v>
      </c>
      <c r="L48" s="157">
        <v>3000000</v>
      </c>
      <c r="M48" s="164">
        <f>J48*K48</f>
        <v>3000000</v>
      </c>
      <c r="N48" s="158">
        <v>0.3</v>
      </c>
      <c r="O48" s="1365">
        <f t="shared" si="12"/>
        <v>3900000</v>
      </c>
      <c r="P48" s="1366"/>
      <c r="Q48" s="550"/>
      <c r="R48" s="551"/>
      <c r="S48" s="152"/>
    </row>
    <row r="49" spans="2:19" s="82" customFormat="1" ht="17.25" thickBot="1" x14ac:dyDescent="0.35">
      <c r="B49" s="365"/>
      <c r="C49" s="366"/>
      <c r="D49" s="366"/>
      <c r="E49" s="367"/>
      <c r="F49" s="156"/>
      <c r="G49" s="155"/>
      <c r="H49" s="155"/>
      <c r="I49" s="155"/>
      <c r="J49" s="186"/>
      <c r="K49" s="199"/>
      <c r="L49" s="55"/>
      <c r="M49" s="164"/>
      <c r="N49" s="158"/>
      <c r="O49" s="548"/>
      <c r="P49" s="549"/>
      <c r="Q49" s="550"/>
      <c r="R49" s="551"/>
      <c r="S49" s="204"/>
    </row>
    <row r="50" spans="2:19" s="82" customFormat="1" ht="18" thickBot="1" x14ac:dyDescent="0.35">
      <c r="B50" s="1338" t="s">
        <v>53</v>
      </c>
      <c r="C50" s="1339"/>
      <c r="D50" s="1339"/>
      <c r="E50" s="1339"/>
      <c r="F50" s="1339"/>
      <c r="G50" s="1339"/>
      <c r="H50" s="1339"/>
      <c r="I50" s="1339"/>
      <c r="J50" s="1339"/>
      <c r="K50" s="1339"/>
      <c r="L50" s="1340"/>
      <c r="M50" s="123">
        <f>SUM(M5:M49)</f>
        <v>80463962.522</v>
      </c>
      <c r="N50" s="136"/>
      <c r="O50" s="1341">
        <f>SUM(O5:P49)</f>
        <v>114051000</v>
      </c>
      <c r="P50" s="1342"/>
      <c r="Q50" s="1343"/>
      <c r="R50" s="1344"/>
      <c r="S50" s="130"/>
    </row>
    <row r="51" spans="2:19" s="82" customFormat="1" ht="17.25" thickBot="1" x14ac:dyDescent="0.35">
      <c r="B51" s="122" t="s">
        <v>2</v>
      </c>
      <c r="C51" s="116"/>
      <c r="D51" s="116"/>
      <c r="E51" s="117"/>
      <c r="F51" s="118" t="s">
        <v>242</v>
      </c>
      <c r="G51" s="119"/>
      <c r="H51" s="119"/>
      <c r="I51" s="119"/>
      <c r="J51" s="119"/>
      <c r="K51" s="119"/>
      <c r="L51" s="120"/>
      <c r="M51" s="121"/>
      <c r="N51" s="135"/>
      <c r="O51" s="1447"/>
      <c r="P51" s="1448"/>
      <c r="Q51" s="1326"/>
      <c r="R51" s="1327"/>
      <c r="S51" s="115"/>
    </row>
    <row r="52" spans="2:19" s="82" customFormat="1" x14ac:dyDescent="0.3">
      <c r="B52" s="131"/>
      <c r="C52" s="132" t="s">
        <v>73</v>
      </c>
      <c r="D52" s="133"/>
      <c r="E52" s="165"/>
      <c r="F52" s="227" t="s">
        <v>319</v>
      </c>
      <c r="G52" s="222" t="s">
        <v>94</v>
      </c>
      <c r="H52" s="222" t="s">
        <v>130</v>
      </c>
      <c r="I52" s="222" t="s">
        <v>131</v>
      </c>
      <c r="J52" s="371">
        <v>10</v>
      </c>
      <c r="K52" s="55">
        <v>307000</v>
      </c>
      <c r="L52" s="55">
        <v>307000</v>
      </c>
      <c r="M52" s="230">
        <f t="shared" ref="M52:M53" si="17">J52*K52</f>
        <v>3070000</v>
      </c>
      <c r="N52" s="148"/>
      <c r="O52" s="1365">
        <f t="shared" ref="O52:O53" si="18">L52*J52</f>
        <v>3070000</v>
      </c>
      <c r="P52" s="1366"/>
      <c r="Q52" s="1492"/>
      <c r="R52" s="1493"/>
      <c r="S52" s="207"/>
    </row>
    <row r="53" spans="2:19" s="84" customFormat="1" x14ac:dyDescent="0.3">
      <c r="B53" s="628"/>
      <c r="C53" s="629" t="s">
        <v>73</v>
      </c>
      <c r="D53" s="630"/>
      <c r="E53" s="631"/>
      <c r="F53" s="632" t="s">
        <v>320</v>
      </c>
      <c r="G53" s="633" t="s">
        <v>94</v>
      </c>
      <c r="H53" s="633" t="s">
        <v>130</v>
      </c>
      <c r="I53" s="633" t="s">
        <v>131</v>
      </c>
      <c r="J53" s="634">
        <v>30</v>
      </c>
      <c r="K53" s="620">
        <v>307000</v>
      </c>
      <c r="L53" s="620">
        <v>307000</v>
      </c>
      <c r="M53" s="635">
        <f t="shared" si="17"/>
        <v>9210000</v>
      </c>
      <c r="N53" s="614"/>
      <c r="O53" s="1566">
        <f t="shared" si="18"/>
        <v>9210000</v>
      </c>
      <c r="P53" s="1567"/>
      <c r="Q53" s="1494"/>
      <c r="R53" s="1495"/>
      <c r="S53" s="212"/>
    </row>
    <row r="54" spans="2:19" s="84" customFormat="1" ht="17.25" thickBot="1" x14ac:dyDescent="0.35">
      <c r="B54" s="213"/>
      <c r="C54" s="214"/>
      <c r="D54" s="215"/>
      <c r="E54" s="216"/>
      <c r="F54" s="229"/>
      <c r="G54" s="224"/>
      <c r="H54" s="224"/>
      <c r="I54" s="224"/>
      <c r="J54" s="373"/>
      <c r="K54" s="225"/>
      <c r="L54" s="225"/>
      <c r="M54" s="226"/>
      <c r="N54" s="162"/>
      <c r="O54" s="1365">
        <f t="shared" ref="O54" si="19">L54</f>
        <v>0</v>
      </c>
      <c r="P54" s="1366"/>
      <c r="Q54" s="1453"/>
      <c r="R54" s="1454"/>
      <c r="S54" s="217"/>
    </row>
    <row r="55" spans="2:19" s="84" customFormat="1" ht="17.25" thickBot="1" x14ac:dyDescent="0.35">
      <c r="B55" s="122" t="s">
        <v>2</v>
      </c>
      <c r="C55" s="116"/>
      <c r="D55" s="116"/>
      <c r="E55" s="117"/>
      <c r="F55" s="218" t="s">
        <v>243</v>
      </c>
      <c r="G55" s="219"/>
      <c r="H55" s="219"/>
      <c r="I55" s="219"/>
      <c r="J55" s="219"/>
      <c r="K55" s="220"/>
      <c r="L55" s="220"/>
      <c r="M55" s="221"/>
      <c r="N55" s="135"/>
      <c r="O55" s="1447"/>
      <c r="P55" s="1448"/>
      <c r="Q55" s="1447"/>
      <c r="R55" s="1448"/>
      <c r="S55" s="115"/>
    </row>
    <row r="56" spans="2:19" s="84" customFormat="1" x14ac:dyDescent="0.3">
      <c r="B56" s="64"/>
      <c r="C56" s="65" t="s">
        <v>2</v>
      </c>
      <c r="D56" s="65"/>
      <c r="E56" s="66"/>
      <c r="F56" s="88" t="s">
        <v>7</v>
      </c>
      <c r="G56" s="85"/>
      <c r="H56" s="223" t="s">
        <v>130</v>
      </c>
      <c r="I56" s="223" t="s">
        <v>131</v>
      </c>
      <c r="J56" s="80">
        <v>5</v>
      </c>
      <c r="K56" s="55">
        <v>307000</v>
      </c>
      <c r="L56" s="55">
        <v>307000</v>
      </c>
      <c r="M56" s="112">
        <f>K56*J56</f>
        <v>1535000</v>
      </c>
      <c r="N56" s="137"/>
      <c r="O56" s="1365">
        <f t="shared" ref="O56:O62" si="20">L56*J56</f>
        <v>1535000</v>
      </c>
      <c r="P56" s="1366"/>
      <c r="Q56" s="1359" t="s">
        <v>62</v>
      </c>
      <c r="R56" s="1360"/>
      <c r="S56" s="94"/>
    </row>
    <row r="57" spans="2:19" s="84" customFormat="1" x14ac:dyDescent="0.3">
      <c r="B57" s="62"/>
      <c r="C57" s="63" t="s">
        <v>2</v>
      </c>
      <c r="D57" s="63"/>
      <c r="E57" s="61"/>
      <c r="F57" s="89" t="s">
        <v>11</v>
      </c>
      <c r="G57" s="86"/>
      <c r="H57" s="223" t="s">
        <v>130</v>
      </c>
      <c r="I57" s="223" t="s">
        <v>131</v>
      </c>
      <c r="J57" s="56">
        <v>3</v>
      </c>
      <c r="K57" s="55">
        <v>307000</v>
      </c>
      <c r="L57" s="55">
        <v>307000</v>
      </c>
      <c r="M57" s="113">
        <f t="shared" ref="M57:M62" si="21">K57*J57</f>
        <v>921000</v>
      </c>
      <c r="N57" s="138"/>
      <c r="O57" s="1365">
        <f t="shared" si="20"/>
        <v>921000</v>
      </c>
      <c r="P57" s="1366"/>
      <c r="Q57" s="1361"/>
      <c r="R57" s="1362"/>
      <c r="S57" s="95"/>
    </row>
    <row r="58" spans="2:19" s="84" customFormat="1" x14ac:dyDescent="0.3">
      <c r="B58" s="62"/>
      <c r="C58" s="63" t="s">
        <v>2</v>
      </c>
      <c r="D58" s="63"/>
      <c r="E58" s="61"/>
      <c r="F58" s="89" t="s">
        <v>41</v>
      </c>
      <c r="G58" s="86"/>
      <c r="H58" s="223" t="s">
        <v>130</v>
      </c>
      <c r="I58" s="223" t="s">
        <v>131</v>
      </c>
      <c r="J58" s="56">
        <v>5</v>
      </c>
      <c r="K58" s="55">
        <v>307000</v>
      </c>
      <c r="L58" s="55">
        <v>307000</v>
      </c>
      <c r="M58" s="113">
        <f t="shared" si="21"/>
        <v>1535000</v>
      </c>
      <c r="N58" s="138"/>
      <c r="O58" s="1365">
        <f t="shared" si="20"/>
        <v>1535000</v>
      </c>
      <c r="P58" s="1366"/>
      <c r="Q58" s="1361"/>
      <c r="R58" s="1362"/>
      <c r="S58" s="95"/>
    </row>
    <row r="59" spans="2:19" x14ac:dyDescent="0.3">
      <c r="B59" s="62"/>
      <c r="C59" s="63" t="s">
        <v>2</v>
      </c>
      <c r="D59" s="63"/>
      <c r="E59" s="61"/>
      <c r="F59" s="89" t="s">
        <v>10</v>
      </c>
      <c r="G59" s="86"/>
      <c r="H59" s="223" t="s">
        <v>130</v>
      </c>
      <c r="I59" s="223" t="s">
        <v>131</v>
      </c>
      <c r="J59" s="56">
        <v>3</v>
      </c>
      <c r="K59" s="55">
        <v>307000</v>
      </c>
      <c r="L59" s="55">
        <v>307000</v>
      </c>
      <c r="M59" s="113">
        <f t="shared" si="21"/>
        <v>921000</v>
      </c>
      <c r="N59" s="138"/>
      <c r="O59" s="1365">
        <f t="shared" si="20"/>
        <v>921000</v>
      </c>
      <c r="P59" s="1366"/>
      <c r="Q59" s="1361"/>
      <c r="R59" s="1362"/>
      <c r="S59" s="95"/>
    </row>
    <row r="60" spans="2:19" x14ac:dyDescent="0.3">
      <c r="B60" s="62"/>
      <c r="C60" s="63" t="s">
        <v>2</v>
      </c>
      <c r="D60" s="63"/>
      <c r="E60" s="61"/>
      <c r="F60" s="89" t="s">
        <v>61</v>
      </c>
      <c r="G60" s="86"/>
      <c r="H60" s="223" t="s">
        <v>130</v>
      </c>
      <c r="I60" s="223" t="s">
        <v>131</v>
      </c>
      <c r="J60" s="56">
        <v>2</v>
      </c>
      <c r="K60" s="55">
        <v>307000</v>
      </c>
      <c r="L60" s="55">
        <v>307000</v>
      </c>
      <c r="M60" s="113">
        <f t="shared" si="21"/>
        <v>614000</v>
      </c>
      <c r="N60" s="138"/>
      <c r="O60" s="1365">
        <f t="shared" si="20"/>
        <v>614000</v>
      </c>
      <c r="P60" s="1366"/>
      <c r="Q60" s="1361"/>
      <c r="R60" s="1362"/>
      <c r="S60" s="95"/>
    </row>
    <row r="61" spans="2:19" x14ac:dyDescent="0.3">
      <c r="B61" s="67"/>
      <c r="C61" s="63" t="s">
        <v>2</v>
      </c>
      <c r="D61" s="68"/>
      <c r="E61" s="69"/>
      <c r="F61" s="90" t="s">
        <v>9</v>
      </c>
      <c r="G61" s="86"/>
      <c r="H61" s="223" t="s">
        <v>130</v>
      </c>
      <c r="I61" s="223" t="s">
        <v>131</v>
      </c>
      <c r="J61" s="56">
        <v>5</v>
      </c>
      <c r="K61" s="55">
        <v>307000</v>
      </c>
      <c r="L61" s="55">
        <v>307000</v>
      </c>
      <c r="M61" s="113">
        <f t="shared" si="21"/>
        <v>1535000</v>
      </c>
      <c r="N61" s="138"/>
      <c r="O61" s="1365">
        <f t="shared" si="20"/>
        <v>1535000</v>
      </c>
      <c r="P61" s="1366"/>
      <c r="Q61" s="1361"/>
      <c r="R61" s="1362"/>
      <c r="S61" s="95"/>
    </row>
    <row r="62" spans="2:19" ht="17.25" thickBot="1" x14ac:dyDescent="0.35">
      <c r="B62" s="57"/>
      <c r="C62" s="58" t="s">
        <v>2</v>
      </c>
      <c r="D62" s="58"/>
      <c r="E62" s="60"/>
      <c r="F62" s="91" t="s">
        <v>8</v>
      </c>
      <c r="G62" s="87"/>
      <c r="H62" s="223" t="s">
        <v>130</v>
      </c>
      <c r="I62" s="223" t="s">
        <v>131</v>
      </c>
      <c r="J62" s="59">
        <v>2</v>
      </c>
      <c r="K62" s="55">
        <v>307000</v>
      </c>
      <c r="L62" s="55">
        <v>307000</v>
      </c>
      <c r="M62" s="114">
        <f t="shared" si="21"/>
        <v>614000</v>
      </c>
      <c r="N62" s="139"/>
      <c r="O62" s="1365">
        <f t="shared" si="20"/>
        <v>614000</v>
      </c>
      <c r="P62" s="1366"/>
      <c r="Q62" s="1363"/>
      <c r="R62" s="1364"/>
      <c r="S62" s="96"/>
    </row>
    <row r="63" spans="2:19" ht="18" thickBot="1" x14ac:dyDescent="0.35">
      <c r="B63" s="1345" t="s">
        <v>46</v>
      </c>
      <c r="C63" s="1346"/>
      <c r="D63" s="1346"/>
      <c r="E63" s="1346"/>
      <c r="F63" s="1346"/>
      <c r="G63" s="1346"/>
      <c r="H63" s="1346"/>
      <c r="I63" s="1346"/>
      <c r="J63" s="1346"/>
      <c r="K63" s="1346"/>
      <c r="L63" s="1347"/>
      <c r="M63" s="124">
        <f>SUM(M51:M62)</f>
        <v>19955000</v>
      </c>
      <c r="N63" s="140"/>
      <c r="O63" s="1348">
        <f>SUM(O51:P62)</f>
        <v>19955000</v>
      </c>
      <c r="P63" s="1349"/>
      <c r="Q63" s="1350"/>
      <c r="R63" s="1350"/>
      <c r="S63" s="1351"/>
    </row>
    <row r="64" spans="2:19" ht="20.25" thickBot="1" x14ac:dyDescent="0.35">
      <c r="B64" s="1352" t="s">
        <v>52</v>
      </c>
      <c r="C64" s="1353"/>
      <c r="D64" s="1353"/>
      <c r="E64" s="1353"/>
      <c r="F64" s="1353"/>
      <c r="G64" s="1353"/>
      <c r="H64" s="1353"/>
      <c r="I64" s="1353"/>
      <c r="J64" s="1353"/>
      <c r="K64" s="1353"/>
      <c r="L64" s="1353"/>
      <c r="M64" s="125"/>
      <c r="N64" s="134">
        <v>0.03</v>
      </c>
      <c r="O64" s="1354">
        <f>ROUNDDOWN(O50*N64,-3)</f>
        <v>3421000</v>
      </c>
      <c r="P64" s="1355"/>
      <c r="Q64" s="1356"/>
      <c r="R64" s="1357"/>
      <c r="S64" s="1358"/>
    </row>
    <row r="65" spans="2:19" ht="20.25" thickBot="1" x14ac:dyDescent="0.35">
      <c r="B65" s="1352" t="s">
        <v>54</v>
      </c>
      <c r="C65" s="1353"/>
      <c r="D65" s="1353"/>
      <c r="E65" s="1353"/>
      <c r="F65" s="1353"/>
      <c r="G65" s="1353"/>
      <c r="H65" s="1353"/>
      <c r="I65" s="1353"/>
      <c r="J65" s="1353"/>
      <c r="K65" s="1353"/>
      <c r="L65" s="1353"/>
      <c r="M65" s="127"/>
      <c r="N65" s="128"/>
      <c r="O65" s="1354">
        <f>SUM(O64,O63,O50)</f>
        <v>137427000</v>
      </c>
      <c r="P65" s="1355"/>
      <c r="Q65" s="1374"/>
      <c r="R65" s="1375"/>
      <c r="S65" s="1376"/>
    </row>
    <row r="66" spans="2:19" ht="20.25" thickBot="1" x14ac:dyDescent="0.35">
      <c r="B66" s="1352" t="s">
        <v>51</v>
      </c>
      <c r="C66" s="1353"/>
      <c r="D66" s="1353"/>
      <c r="E66" s="1353"/>
      <c r="F66" s="1353"/>
      <c r="G66" s="1353"/>
      <c r="H66" s="1353"/>
      <c r="I66" s="1353"/>
      <c r="J66" s="1353"/>
      <c r="K66" s="1353"/>
      <c r="L66" s="1353"/>
      <c r="M66" s="129"/>
      <c r="N66" s="126">
        <v>0.1</v>
      </c>
      <c r="O66" s="1381">
        <f>ROUNDDOWN(O65*N66,-3)</f>
        <v>13742000</v>
      </c>
      <c r="P66" s="1382"/>
      <c r="Q66" s="1383"/>
      <c r="R66" s="1384"/>
      <c r="S66" s="1385"/>
    </row>
    <row r="67" spans="2:19" ht="21" thickBot="1" x14ac:dyDescent="0.35">
      <c r="B67" s="1367" t="s">
        <v>44</v>
      </c>
      <c r="C67" s="1368"/>
      <c r="D67" s="1368"/>
      <c r="E67" s="1368"/>
      <c r="F67" s="1368"/>
      <c r="G67" s="1368"/>
      <c r="H67" s="1368"/>
      <c r="I67" s="1368"/>
      <c r="J67" s="1368"/>
      <c r="K67" s="1368"/>
      <c r="L67" s="1368"/>
      <c r="M67" s="92"/>
      <c r="N67" s="111"/>
      <c r="O67" s="1369">
        <f>ROUNDDOWN(SUM(O65:P66), -6)</f>
        <v>151000000</v>
      </c>
      <c r="P67" s="1370"/>
      <c r="Q67" s="1371"/>
      <c r="R67" s="1372"/>
      <c r="S67" s="1373"/>
    </row>
    <row r="68" spans="2:19" ht="21" thickBot="1" x14ac:dyDescent="0.35">
      <c r="B68" s="104"/>
      <c r="C68" s="104"/>
      <c r="D68" s="104"/>
      <c r="E68" s="104"/>
      <c r="F68" s="105"/>
      <c r="G68" s="105"/>
      <c r="H68" s="105"/>
      <c r="I68" s="105"/>
      <c r="J68" s="105"/>
      <c r="K68" s="105"/>
      <c r="L68" s="105"/>
      <c r="M68" s="106"/>
      <c r="N68" s="107"/>
      <c r="O68" s="107"/>
      <c r="P68" s="107"/>
      <c r="Q68" s="108"/>
      <c r="R68" s="108"/>
      <c r="S68" s="108"/>
    </row>
    <row r="69" spans="2:19" ht="18" thickBot="1" x14ac:dyDescent="0.35">
      <c r="B69" s="1374" t="s">
        <v>50</v>
      </c>
      <c r="C69" s="1375"/>
      <c r="D69" s="1375"/>
      <c r="E69" s="1376"/>
      <c r="F69" s="109"/>
      <c r="G69" s="109"/>
      <c r="H69" s="109"/>
      <c r="I69" s="109"/>
      <c r="J69" s="109"/>
      <c r="K69" s="110"/>
      <c r="L69" s="110"/>
      <c r="M69" s="110"/>
      <c r="N69" s="77" t="s">
        <v>14</v>
      </c>
      <c r="O69" s="1377" t="s">
        <v>15</v>
      </c>
      <c r="P69" s="1378"/>
      <c r="Q69" s="1379" t="s">
        <v>17</v>
      </c>
      <c r="R69" s="1380"/>
      <c r="S69" s="166" t="s">
        <v>16</v>
      </c>
    </row>
    <row r="70" spans="2:19" x14ac:dyDescent="0.3">
      <c r="B70" s="102">
        <v>1</v>
      </c>
      <c r="C70" s="1400"/>
      <c r="D70" s="1401"/>
      <c r="E70" s="1401"/>
      <c r="F70" s="1401"/>
      <c r="G70" s="1401"/>
      <c r="H70" s="1401"/>
      <c r="I70" s="1401"/>
      <c r="J70" s="1402"/>
      <c r="N70" s="11">
        <v>0</v>
      </c>
      <c r="O70" s="1403">
        <f>$O$67/(1+N70)</f>
        <v>151000000</v>
      </c>
      <c r="P70" s="1404"/>
      <c r="Q70" s="1405">
        <f>O70-$M$50</f>
        <v>70536037.478</v>
      </c>
      <c r="R70" s="1406"/>
      <c r="S70" s="160">
        <f>Q70/O70</f>
        <v>0.46712607601324502</v>
      </c>
    </row>
    <row r="71" spans="2:19" x14ac:dyDescent="0.3">
      <c r="B71" s="100">
        <v>2</v>
      </c>
      <c r="C71" s="1458"/>
      <c r="D71" s="1456"/>
      <c r="E71" s="1456"/>
      <c r="F71" s="1456"/>
      <c r="G71" s="1456"/>
      <c r="H71" s="1456"/>
      <c r="I71" s="1456"/>
      <c r="J71" s="1457"/>
      <c r="N71" s="9">
        <v>0.1</v>
      </c>
      <c r="O71" s="1389">
        <f>$O$67/(1+N71)</f>
        <v>137272727.27272725</v>
      </c>
      <c r="P71" s="1390"/>
      <c r="Q71" s="1391">
        <f t="shared" ref="Q71:Q74" si="22">O71-$M$50</f>
        <v>56808764.750727251</v>
      </c>
      <c r="R71" s="1392"/>
      <c r="S71" s="161">
        <f t="shared" ref="S71:S74" si="23">Q71/O71</f>
        <v>0.41383868361456944</v>
      </c>
    </row>
    <row r="72" spans="2:19" x14ac:dyDescent="0.3">
      <c r="B72" s="100">
        <v>3</v>
      </c>
      <c r="C72" s="1455"/>
      <c r="D72" s="1456"/>
      <c r="E72" s="1456"/>
      <c r="F72" s="1456"/>
      <c r="G72" s="1456"/>
      <c r="H72" s="1456"/>
      <c r="I72" s="1456"/>
      <c r="J72" s="1457"/>
      <c r="N72" s="10">
        <v>0.15</v>
      </c>
      <c r="O72" s="1389">
        <f t="shared" ref="O72:O73" si="24">$O$67/(1+N72)</f>
        <v>131304347.82608697</v>
      </c>
      <c r="P72" s="1390"/>
      <c r="Q72" s="1391">
        <f t="shared" si="22"/>
        <v>50840385.304086968</v>
      </c>
      <c r="R72" s="1392"/>
      <c r="S72" s="161">
        <f t="shared" si="23"/>
        <v>0.38719498741523184</v>
      </c>
    </row>
    <row r="73" spans="2:19" ht="18" customHeight="1" x14ac:dyDescent="0.3">
      <c r="B73" s="100">
        <v>4</v>
      </c>
      <c r="C73" s="1455"/>
      <c r="D73" s="1456"/>
      <c r="E73" s="1456"/>
      <c r="F73" s="1456"/>
      <c r="G73" s="1456"/>
      <c r="H73" s="1456"/>
      <c r="I73" s="1456"/>
      <c r="J73" s="1457"/>
      <c r="N73" s="10">
        <v>0.2</v>
      </c>
      <c r="O73" s="1389">
        <f t="shared" si="24"/>
        <v>125833333.33333334</v>
      </c>
      <c r="P73" s="1390"/>
      <c r="Q73" s="1391">
        <f t="shared" si="22"/>
        <v>45369370.811333343</v>
      </c>
      <c r="R73" s="1392"/>
      <c r="S73" s="161">
        <f t="shared" si="23"/>
        <v>0.36055129121589408</v>
      </c>
    </row>
    <row r="74" spans="2:19" ht="18" customHeight="1" thickBot="1" x14ac:dyDescent="0.35">
      <c r="B74" s="100">
        <v>5</v>
      </c>
      <c r="C74" s="1393"/>
      <c r="D74" s="1394"/>
      <c r="E74" s="1394"/>
      <c r="F74" s="1394"/>
      <c r="G74" s="1394"/>
      <c r="H74" s="1394"/>
      <c r="I74" s="1394"/>
      <c r="J74" s="1395"/>
      <c r="N74" s="12" t="s">
        <v>45</v>
      </c>
      <c r="O74" s="1396">
        <v>0</v>
      </c>
      <c r="P74" s="1397"/>
      <c r="Q74" s="1398">
        <f t="shared" si="22"/>
        <v>-80463962.522</v>
      </c>
      <c r="R74" s="1399"/>
      <c r="S74" s="99" t="e">
        <f t="shared" si="23"/>
        <v>#DIV/0!</v>
      </c>
    </row>
    <row r="75" spans="2:19" ht="18" customHeight="1" thickBot="1" x14ac:dyDescent="0.35">
      <c r="B75" s="100">
        <v>6</v>
      </c>
      <c r="C75" s="1393"/>
      <c r="D75" s="1394"/>
      <c r="E75" s="1394"/>
      <c r="F75" s="1394"/>
      <c r="G75" s="1394"/>
      <c r="H75" s="1394"/>
      <c r="I75" s="1394"/>
      <c r="J75" s="1395"/>
    </row>
    <row r="76" spans="2:19" s="103" customFormat="1" ht="18" customHeight="1" thickBot="1" x14ac:dyDescent="0.35">
      <c r="B76" s="100">
        <v>7</v>
      </c>
      <c r="C76" s="552"/>
      <c r="D76" s="553"/>
      <c r="E76" s="553"/>
      <c r="F76" s="553"/>
      <c r="G76" s="553"/>
      <c r="H76" s="553"/>
      <c r="I76" s="553"/>
      <c r="J76" s="554"/>
      <c r="K76" s="1"/>
      <c r="L76" s="1"/>
      <c r="M76" s="1"/>
      <c r="N76" s="1410" t="s">
        <v>47</v>
      </c>
      <c r="O76" s="1411"/>
      <c r="P76" s="1412" t="s">
        <v>48</v>
      </c>
      <c r="Q76" s="1413"/>
      <c r="R76" s="1414" t="s">
        <v>49</v>
      </c>
      <c r="S76" s="1415"/>
    </row>
    <row r="77" spans="2:19" ht="18" customHeight="1" x14ac:dyDescent="0.3">
      <c r="B77" s="100">
        <v>8</v>
      </c>
      <c r="C77" s="1393"/>
      <c r="D77" s="1394"/>
      <c r="E77" s="1394"/>
      <c r="F77" s="1394"/>
      <c r="G77" s="1394"/>
      <c r="H77" s="1394"/>
      <c r="I77" s="1394"/>
      <c r="J77" s="1395"/>
      <c r="N77" s="1416"/>
      <c r="O77" s="1417"/>
      <c r="P77" s="1422"/>
      <c r="Q77" s="1423"/>
      <c r="R77" s="1428"/>
      <c r="S77" s="1429"/>
    </row>
    <row r="78" spans="2:19" ht="18" customHeight="1" x14ac:dyDescent="0.3">
      <c r="B78" s="100"/>
      <c r="C78" s="1434"/>
      <c r="D78" s="1435"/>
      <c r="E78" s="1435"/>
      <c r="F78" s="1435"/>
      <c r="G78" s="1435"/>
      <c r="H78" s="1435"/>
      <c r="I78" s="1435"/>
      <c r="J78" s="1436"/>
      <c r="N78" s="1418"/>
      <c r="O78" s="1419"/>
      <c r="P78" s="1424"/>
      <c r="Q78" s="1425"/>
      <c r="R78" s="1430"/>
      <c r="S78" s="1431"/>
    </row>
    <row r="79" spans="2:19" ht="18" customHeight="1" x14ac:dyDescent="0.3">
      <c r="B79" s="100"/>
      <c r="C79" s="1434"/>
      <c r="D79" s="1435"/>
      <c r="E79" s="1435"/>
      <c r="F79" s="1435"/>
      <c r="G79" s="1435"/>
      <c r="H79" s="1435"/>
      <c r="I79" s="1435"/>
      <c r="J79" s="1436"/>
      <c r="N79" s="1418"/>
      <c r="O79" s="1419"/>
      <c r="P79" s="1424"/>
      <c r="Q79" s="1425"/>
      <c r="R79" s="1430"/>
      <c r="S79" s="1431"/>
    </row>
    <row r="80" spans="2:19" ht="18" customHeight="1" thickBot="1" x14ac:dyDescent="0.35">
      <c r="B80" s="101"/>
      <c r="C80" s="1407"/>
      <c r="D80" s="1408"/>
      <c r="E80" s="1408"/>
      <c r="F80" s="1408"/>
      <c r="G80" s="1408"/>
      <c r="H80" s="1408"/>
      <c r="I80" s="1408"/>
      <c r="J80" s="1409"/>
      <c r="N80" s="1420"/>
      <c r="O80" s="1421"/>
      <c r="P80" s="1426"/>
      <c r="Q80" s="1427"/>
      <c r="R80" s="1432"/>
      <c r="S80" s="1433"/>
    </row>
    <row r="81" spans="1:19" ht="18" customHeight="1" x14ac:dyDescent="0.3"/>
    <row r="82" spans="1:19" ht="18" customHeight="1" x14ac:dyDescent="0.3"/>
    <row r="83" spans="1:19" ht="18" customHeight="1" x14ac:dyDescent="0.3"/>
    <row r="84" spans="1:19" s="3" customFormat="1" x14ac:dyDescent="0.3">
      <c r="A84"/>
      <c r="B84" s="2"/>
      <c r="C84" s="2"/>
      <c r="D84" s="2"/>
      <c r="E84" s="2"/>
      <c r="K84" s="1"/>
      <c r="L84" s="1"/>
      <c r="M84" s="1"/>
      <c r="N84" s="5"/>
      <c r="O84" s="1"/>
      <c r="P84" s="1"/>
      <c r="Q84"/>
      <c r="R84"/>
      <c r="S84" s="93"/>
    </row>
    <row r="85" spans="1:19" s="3" customFormat="1" x14ac:dyDescent="0.3">
      <c r="A85"/>
      <c r="B85" s="2"/>
      <c r="C85" s="2"/>
      <c r="D85" s="2"/>
      <c r="E85" s="2"/>
      <c r="K85" s="1"/>
      <c r="L85" s="1"/>
      <c r="M85" s="1"/>
      <c r="N85" s="5"/>
      <c r="O85" s="1"/>
      <c r="P85" s="1"/>
      <c r="Q85"/>
      <c r="R85"/>
      <c r="S85" s="93"/>
    </row>
    <row r="86" spans="1:19" s="3" customFormat="1" x14ac:dyDescent="0.3">
      <c r="A86"/>
      <c r="B86" s="2"/>
      <c r="C86" s="2"/>
      <c r="D86" s="2"/>
      <c r="E86" s="2"/>
      <c r="K86" s="1"/>
      <c r="L86" s="1"/>
      <c r="M86" s="1"/>
      <c r="N86" s="5"/>
      <c r="O86" s="1"/>
      <c r="P86" s="1"/>
      <c r="Q86"/>
      <c r="R86"/>
      <c r="S86" s="93"/>
    </row>
    <row r="87" spans="1:19" s="3" customFormat="1" x14ac:dyDescent="0.3">
      <c r="A87"/>
      <c r="B87" s="2"/>
      <c r="C87" s="2"/>
      <c r="D87" s="2"/>
      <c r="E87" s="2"/>
      <c r="K87" s="1"/>
      <c r="L87" s="1"/>
      <c r="M87" s="1"/>
      <c r="N87" s="5"/>
      <c r="O87" s="1"/>
      <c r="P87" s="1"/>
      <c r="Q87"/>
      <c r="R87"/>
      <c r="S87" s="93"/>
    </row>
    <row r="88" spans="1:19" s="3" customFormat="1" x14ac:dyDescent="0.3">
      <c r="A88"/>
      <c r="B88" s="2"/>
      <c r="C88" s="2"/>
      <c r="D88" s="2"/>
      <c r="E88" s="2"/>
      <c r="K88" s="1"/>
      <c r="L88" s="1"/>
      <c r="M88" s="1"/>
      <c r="N88" s="5"/>
      <c r="O88" s="1"/>
      <c r="P88" s="1"/>
      <c r="Q88"/>
      <c r="R88"/>
      <c r="S88" s="93"/>
    </row>
  </sheetData>
  <mergeCells count="134">
    <mergeCell ref="C77:J77"/>
    <mergeCell ref="N77:O80"/>
    <mergeCell ref="P77:Q80"/>
    <mergeCell ref="R77:S80"/>
    <mergeCell ref="C78:J78"/>
    <mergeCell ref="C79:J79"/>
    <mergeCell ref="C80:J80"/>
    <mergeCell ref="C74:J74"/>
    <mergeCell ref="O74:P74"/>
    <mergeCell ref="Q74:R74"/>
    <mergeCell ref="C75:J75"/>
    <mergeCell ref="N76:O76"/>
    <mergeCell ref="P76:Q76"/>
    <mergeCell ref="R76:S76"/>
    <mergeCell ref="C72:J72"/>
    <mergeCell ref="O72:P72"/>
    <mergeCell ref="Q72:R72"/>
    <mergeCell ref="C73:J73"/>
    <mergeCell ref="O73:P73"/>
    <mergeCell ref="Q73:R73"/>
    <mergeCell ref="C70:J70"/>
    <mergeCell ref="O70:P70"/>
    <mergeCell ref="Q70:R70"/>
    <mergeCell ref="C71:J71"/>
    <mergeCell ref="O71:P71"/>
    <mergeCell ref="Q71:R71"/>
    <mergeCell ref="B67:L67"/>
    <mergeCell ref="O67:P67"/>
    <mergeCell ref="Q67:S67"/>
    <mergeCell ref="B69:E69"/>
    <mergeCell ref="O69:P69"/>
    <mergeCell ref="Q69:R69"/>
    <mergeCell ref="B65:L65"/>
    <mergeCell ref="O65:P65"/>
    <mergeCell ref="Q65:S65"/>
    <mergeCell ref="B66:L66"/>
    <mergeCell ref="O66:P66"/>
    <mergeCell ref="Q66:S66"/>
    <mergeCell ref="B63:L63"/>
    <mergeCell ref="O63:P63"/>
    <mergeCell ref="Q63:S63"/>
    <mergeCell ref="B64:L64"/>
    <mergeCell ref="O64:P64"/>
    <mergeCell ref="Q64:S64"/>
    <mergeCell ref="O55:P55"/>
    <mergeCell ref="Q55:R55"/>
    <mergeCell ref="O56:P56"/>
    <mergeCell ref="Q56:R62"/>
    <mergeCell ref="O57:P57"/>
    <mergeCell ref="O58:P58"/>
    <mergeCell ref="O59:P59"/>
    <mergeCell ref="O60:P60"/>
    <mergeCell ref="O61:P61"/>
    <mergeCell ref="O62:P62"/>
    <mergeCell ref="O52:P52"/>
    <mergeCell ref="Q52:R52"/>
    <mergeCell ref="O53:P53"/>
    <mergeCell ref="Q53:R53"/>
    <mergeCell ref="O54:P54"/>
    <mergeCell ref="Q54:R54"/>
    <mergeCell ref="O48:P48"/>
    <mergeCell ref="B50:L50"/>
    <mergeCell ref="O50:P50"/>
    <mergeCell ref="Q50:R50"/>
    <mergeCell ref="O51:P51"/>
    <mergeCell ref="Q51:R51"/>
    <mergeCell ref="O45:P45"/>
    <mergeCell ref="Q45:R45"/>
    <mergeCell ref="O46:P46"/>
    <mergeCell ref="Q46:R46"/>
    <mergeCell ref="O47:P47"/>
    <mergeCell ref="Q47:R47"/>
    <mergeCell ref="O40:P40"/>
    <mergeCell ref="O43:P43"/>
    <mergeCell ref="Q43:R43"/>
    <mergeCell ref="O44:P44"/>
    <mergeCell ref="Q44:R44"/>
    <mergeCell ref="O41:P41"/>
    <mergeCell ref="O42:P42"/>
    <mergeCell ref="O36:P36"/>
    <mergeCell ref="O37:P37"/>
    <mergeCell ref="Q37:R37"/>
    <mergeCell ref="O38:P38"/>
    <mergeCell ref="Q38:R38"/>
    <mergeCell ref="O39:P39"/>
    <mergeCell ref="O32:P32"/>
    <mergeCell ref="Q32:R32"/>
    <mergeCell ref="O33:P33"/>
    <mergeCell ref="Q33:R33"/>
    <mergeCell ref="O34:P34"/>
    <mergeCell ref="O35:P35"/>
    <mergeCell ref="Q35:R35"/>
    <mergeCell ref="O29:P29"/>
    <mergeCell ref="Q29:R29"/>
    <mergeCell ref="O30:P30"/>
    <mergeCell ref="Q30:R30"/>
    <mergeCell ref="O31:P31"/>
    <mergeCell ref="Q25:R25"/>
    <mergeCell ref="O26:P26"/>
    <mergeCell ref="Q26:R26"/>
    <mergeCell ref="O27:P27"/>
    <mergeCell ref="Q27:R27"/>
    <mergeCell ref="O28:P28"/>
    <mergeCell ref="Q28:R28"/>
    <mergeCell ref="Q18:R19"/>
    <mergeCell ref="O20:P20"/>
    <mergeCell ref="Q20:R21"/>
    <mergeCell ref="O21:P21"/>
    <mergeCell ref="O12:P12"/>
    <mergeCell ref="Q12:R12"/>
    <mergeCell ref="O13:P13"/>
    <mergeCell ref="Q13:R13"/>
    <mergeCell ref="O14:P14"/>
    <mergeCell ref="Q14:R15"/>
    <mergeCell ref="O15:P15"/>
    <mergeCell ref="O10:P10"/>
    <mergeCell ref="Q10:R10"/>
    <mergeCell ref="O11:P11"/>
    <mergeCell ref="Q11:R11"/>
    <mergeCell ref="O6:P6"/>
    <mergeCell ref="Q6:R6"/>
    <mergeCell ref="O7:P7"/>
    <mergeCell ref="Q7:R7"/>
    <mergeCell ref="O8:P8"/>
    <mergeCell ref="Q8:R8"/>
    <mergeCell ref="A2:S2"/>
    <mergeCell ref="Q3:S3"/>
    <mergeCell ref="B4:E4"/>
    <mergeCell ref="O4:P4"/>
    <mergeCell ref="Q4:R4"/>
    <mergeCell ref="O5:P5"/>
    <mergeCell ref="Q5:R5"/>
    <mergeCell ref="O9:P9"/>
    <mergeCell ref="Q9:R9"/>
  </mergeCells>
  <phoneticPr fontId="2" type="noConversion"/>
  <pageMargins left="0.25" right="0.25" top="0.75" bottom="0.75" header="0.3" footer="0.3"/>
  <pageSetup paperSize="9" scale="46" fitToWidth="0" orientation="landscape" horizontalDpi="300" r:id="rId1"/>
  <headerFooter>
    <oddFooter>&amp;R&amp;D</oddFooter>
  </headerFooter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B85F-AE0A-4FC4-A34D-E1FD6F51CD52}">
  <sheetPr>
    <pageSetUpPr fitToPage="1"/>
  </sheetPr>
  <dimension ref="A1:AD88"/>
  <sheetViews>
    <sheetView zoomScale="85" zoomScaleNormal="85" zoomScaleSheetLayoutView="100" zoomScalePageLayoutView="85" workbookViewId="0">
      <selection activeCell="F13" sqref="F13"/>
    </sheetView>
  </sheetViews>
  <sheetFormatPr defaultRowHeight="16.5" x14ac:dyDescent="0.3"/>
  <cols>
    <col min="1" max="1" width="1.625" customWidth="1"/>
    <col min="2" max="5" width="3.375" style="2" customWidth="1"/>
    <col min="6" max="6" width="57.25" style="3" customWidth="1"/>
    <col min="7" max="7" width="25.625" style="3" bestFit="1" customWidth="1"/>
    <col min="8" max="9" width="16.625" style="3" customWidth="1"/>
    <col min="10" max="10" width="6.625" style="3" customWidth="1"/>
    <col min="11" max="13" width="16.625" style="1" customWidth="1"/>
    <col min="14" max="14" width="12.625" style="5" customWidth="1"/>
    <col min="15" max="15" width="9.625" style="1" customWidth="1"/>
    <col min="16" max="16" width="12.625" style="1" customWidth="1"/>
    <col min="17" max="18" width="22.375" customWidth="1"/>
    <col min="19" max="19" width="21.875" style="93" customWidth="1"/>
    <col min="20" max="20" width="9" style="562"/>
  </cols>
  <sheetData>
    <row r="1" spans="1:30" ht="9.9499999999999993" customHeight="1" x14ac:dyDescent="0.3"/>
    <row r="2" spans="1:30" ht="26.25" x14ac:dyDescent="0.3">
      <c r="A2" s="1445" t="s">
        <v>558</v>
      </c>
      <c r="B2" s="1445"/>
      <c r="C2" s="1445"/>
      <c r="D2" s="1445"/>
      <c r="E2" s="1445"/>
      <c r="F2" s="1445"/>
      <c r="G2" s="1445"/>
      <c r="H2" s="1445"/>
      <c r="I2" s="1445"/>
      <c r="J2" s="1445"/>
      <c r="K2" s="1445"/>
      <c r="L2" s="1445"/>
      <c r="M2" s="1445"/>
      <c r="N2" s="1445"/>
      <c r="O2" s="1445"/>
      <c r="P2" s="1445"/>
      <c r="Q2" s="1445"/>
      <c r="R2" s="1445"/>
      <c r="S2" s="1445"/>
    </row>
    <row r="3" spans="1:30" ht="17.25" thickBot="1" x14ac:dyDescent="0.35">
      <c r="Q3" s="1446">
        <v>45422</v>
      </c>
      <c r="R3" s="1446"/>
      <c r="S3" s="1446"/>
    </row>
    <row r="4" spans="1:30" ht="18" thickBot="1" x14ac:dyDescent="0.35">
      <c r="B4" s="1318" t="s">
        <v>491</v>
      </c>
      <c r="C4" s="1319"/>
      <c r="D4" s="1319"/>
      <c r="E4" s="1320"/>
      <c r="F4" s="6" t="s">
        <v>56</v>
      </c>
      <c r="G4" s="6" t="s">
        <v>55</v>
      </c>
      <c r="H4" s="6" t="s">
        <v>0</v>
      </c>
      <c r="I4" s="6" t="s">
        <v>43</v>
      </c>
      <c r="J4" s="6" t="s">
        <v>4</v>
      </c>
      <c r="K4" s="7" t="s">
        <v>12</v>
      </c>
      <c r="L4" s="8" t="s">
        <v>39</v>
      </c>
      <c r="M4" s="8" t="s">
        <v>5</v>
      </c>
      <c r="N4" s="141" t="s">
        <v>13</v>
      </c>
      <c r="O4" s="1321" t="s">
        <v>6</v>
      </c>
      <c r="P4" s="1322"/>
      <c r="Q4" s="1319" t="s">
        <v>3</v>
      </c>
      <c r="R4" s="1323"/>
      <c r="S4" s="71" t="s">
        <v>59</v>
      </c>
    </row>
    <row r="5" spans="1:30" s="82" customFormat="1" ht="17.25" thickBot="1" x14ac:dyDescent="0.35">
      <c r="B5" s="122" t="s">
        <v>2</v>
      </c>
      <c r="C5" s="116"/>
      <c r="D5" s="116"/>
      <c r="E5" s="117"/>
      <c r="F5" s="118" t="s">
        <v>265</v>
      </c>
      <c r="G5" s="119"/>
      <c r="H5" s="119"/>
      <c r="I5" s="119"/>
      <c r="J5" s="119"/>
      <c r="K5" s="272"/>
      <c r="L5" s="120"/>
      <c r="M5" s="121"/>
      <c r="N5" s="135"/>
      <c r="O5" s="1447"/>
      <c r="P5" s="1448"/>
      <c r="Q5" s="1326"/>
      <c r="R5" s="1327"/>
      <c r="S5" s="115"/>
      <c r="T5" s="562"/>
      <c r="U5"/>
      <c r="V5"/>
      <c r="W5"/>
      <c r="X5"/>
      <c r="Y5"/>
      <c r="Z5"/>
      <c r="AA5"/>
      <c r="AB5"/>
    </row>
    <row r="6" spans="1:30" s="369" customFormat="1" x14ac:dyDescent="0.3">
      <c r="B6" s="498"/>
      <c r="C6" s="155" t="s">
        <v>2</v>
      </c>
      <c r="D6" s="155"/>
      <c r="E6" s="151"/>
      <c r="F6" s="269" t="s">
        <v>307</v>
      </c>
      <c r="G6" s="184" t="s">
        <v>433</v>
      </c>
      <c r="H6" s="185" t="s">
        <v>131</v>
      </c>
      <c r="I6" s="185" t="s">
        <v>131</v>
      </c>
      <c r="J6" s="184">
        <v>1</v>
      </c>
      <c r="K6" s="169">
        <f>(8210+3030+1140+2160+440)*0.6*1.071*1400</f>
        <v>13476607.199999999</v>
      </c>
      <c r="L6" s="55">
        <v>24756000</v>
      </c>
      <c r="M6" s="164">
        <f>J6*K6</f>
        <v>13476607.199999999</v>
      </c>
      <c r="N6" s="158">
        <v>0</v>
      </c>
      <c r="O6" s="1328">
        <f t="shared" ref="O6:O13" si="0">J6*L6/(1-N6)</f>
        <v>24756000</v>
      </c>
      <c r="P6" s="1329"/>
      <c r="Q6" s="1330" t="s">
        <v>437</v>
      </c>
      <c r="R6" s="1331"/>
      <c r="S6" s="470"/>
      <c r="T6" s="562"/>
      <c r="U6" s="370"/>
      <c r="V6" s="370"/>
      <c r="W6" s="370"/>
      <c r="X6" s="370"/>
      <c r="Y6" s="370"/>
      <c r="Z6" s="370"/>
      <c r="AA6" s="370"/>
      <c r="AB6" s="370"/>
    </row>
    <row r="7" spans="1:30" s="369" customFormat="1" x14ac:dyDescent="0.3">
      <c r="B7" s="62"/>
      <c r="C7" s="56"/>
      <c r="D7" s="63" t="s">
        <v>73</v>
      </c>
      <c r="E7" s="61"/>
      <c r="F7" s="174" t="s">
        <v>372</v>
      </c>
      <c r="G7" s="56">
        <v>720268</v>
      </c>
      <c r="H7" s="482" t="s">
        <v>131</v>
      </c>
      <c r="I7" s="482" t="s">
        <v>131</v>
      </c>
      <c r="J7" s="56">
        <v>2</v>
      </c>
      <c r="K7" s="169">
        <f>(1190)*0.606*1.071*1400</f>
        <v>1081277.3159999999</v>
      </c>
      <c r="L7" s="55">
        <v>1806000</v>
      </c>
      <c r="M7" s="475">
        <f t="shared" ref="M7:M10" si="1">J7*K7</f>
        <v>2162554.6319999998</v>
      </c>
      <c r="N7" s="503">
        <v>0</v>
      </c>
      <c r="O7" s="1472">
        <f t="shared" si="0"/>
        <v>3612000</v>
      </c>
      <c r="P7" s="1473"/>
      <c r="Q7" s="1474" t="s">
        <v>505</v>
      </c>
      <c r="R7" s="1475"/>
      <c r="S7" s="470"/>
      <c r="T7" s="562" t="s">
        <v>501</v>
      </c>
      <c r="U7" s="370"/>
      <c r="V7" s="370"/>
      <c r="W7" s="370"/>
      <c r="X7" s="370"/>
      <c r="Y7" s="370"/>
      <c r="Z7" s="370"/>
      <c r="AA7" s="370"/>
      <c r="AB7" s="370"/>
      <c r="AC7" s="370"/>
      <c r="AD7" s="370"/>
    </row>
    <row r="8" spans="1:30" ht="16.149999999999999" customHeight="1" x14ac:dyDescent="0.3">
      <c r="B8" s="62"/>
      <c r="C8" s="56"/>
      <c r="D8" s="56"/>
      <c r="E8" s="61" t="s">
        <v>73</v>
      </c>
      <c r="F8" s="174" t="s">
        <v>281</v>
      </c>
      <c r="G8" s="56">
        <v>758933</v>
      </c>
      <c r="H8" s="482" t="s">
        <v>131</v>
      </c>
      <c r="I8" s="482" t="s">
        <v>131</v>
      </c>
      <c r="J8" s="56">
        <v>2</v>
      </c>
      <c r="K8" s="169">
        <f>(35)*0.643*1.071*1400</f>
        <v>33743.996999999996</v>
      </c>
      <c r="L8" s="392">
        <v>62000</v>
      </c>
      <c r="M8" s="475">
        <f t="shared" si="1"/>
        <v>67487.993999999992</v>
      </c>
      <c r="N8" s="503">
        <v>0</v>
      </c>
      <c r="O8" s="1472">
        <f t="shared" si="0"/>
        <v>124000</v>
      </c>
      <c r="P8" s="1473"/>
      <c r="Q8" s="1474" t="s">
        <v>506</v>
      </c>
      <c r="R8" s="1475"/>
      <c r="S8" s="470"/>
    </row>
    <row r="9" spans="1:30" ht="16.149999999999999" customHeight="1" x14ac:dyDescent="0.3">
      <c r="B9" s="62"/>
      <c r="C9" s="56"/>
      <c r="D9" s="56"/>
      <c r="E9" s="61" t="s">
        <v>73</v>
      </c>
      <c r="F9" s="174" t="s">
        <v>283</v>
      </c>
      <c r="G9" s="56">
        <v>758921</v>
      </c>
      <c r="H9" s="482" t="s">
        <v>131</v>
      </c>
      <c r="I9" s="482" t="s">
        <v>131</v>
      </c>
      <c r="J9" s="56">
        <v>2</v>
      </c>
      <c r="K9" s="169">
        <f>(30)*0.643*1.071*1400</f>
        <v>28923.425999999996</v>
      </c>
      <c r="L9" s="392">
        <v>54000</v>
      </c>
      <c r="M9" s="475">
        <f t="shared" si="1"/>
        <v>57846.851999999992</v>
      </c>
      <c r="N9" s="503">
        <v>0</v>
      </c>
      <c r="O9" s="1472">
        <f t="shared" si="0"/>
        <v>108000</v>
      </c>
      <c r="P9" s="1473"/>
      <c r="Q9" s="1474" t="s">
        <v>507</v>
      </c>
      <c r="R9" s="1475"/>
      <c r="S9" s="470"/>
    </row>
    <row r="10" spans="1:30" ht="16.149999999999999" customHeight="1" x14ac:dyDescent="0.3">
      <c r="B10" s="62"/>
      <c r="C10" s="56"/>
      <c r="D10" s="56"/>
      <c r="E10" s="61" t="s">
        <v>73</v>
      </c>
      <c r="F10" s="174" t="s">
        <v>377</v>
      </c>
      <c r="G10" s="56">
        <v>758924</v>
      </c>
      <c r="H10" s="482" t="s">
        <v>131</v>
      </c>
      <c r="I10" s="482" t="s">
        <v>131</v>
      </c>
      <c r="J10" s="56">
        <v>1</v>
      </c>
      <c r="K10" s="169">
        <f>(60)*0.643*1.071*1400</f>
        <v>57846.851999999992</v>
      </c>
      <c r="L10" s="392">
        <v>109000</v>
      </c>
      <c r="M10" s="475">
        <f t="shared" si="1"/>
        <v>57846.851999999992</v>
      </c>
      <c r="N10" s="503">
        <v>0</v>
      </c>
      <c r="O10" s="1472">
        <f t="shared" si="0"/>
        <v>109000</v>
      </c>
      <c r="P10" s="1473"/>
      <c r="Q10" s="1474" t="s">
        <v>508</v>
      </c>
      <c r="R10" s="1475"/>
      <c r="S10" s="470"/>
    </row>
    <row r="11" spans="1:30" s="369" customFormat="1" x14ac:dyDescent="0.3">
      <c r="B11" s="62"/>
      <c r="C11" s="56"/>
      <c r="D11" s="63"/>
      <c r="E11" s="61" t="s">
        <v>73</v>
      </c>
      <c r="F11" s="269" t="s">
        <v>489</v>
      </c>
      <c r="G11" s="56">
        <v>702916</v>
      </c>
      <c r="H11" s="482" t="s">
        <v>131</v>
      </c>
      <c r="I11" s="482" t="s">
        <v>131</v>
      </c>
      <c r="J11" s="56">
        <v>1</v>
      </c>
      <c r="K11" s="169">
        <f>(6450)*0.6*1.071*1400</f>
        <v>5802677.9999999991</v>
      </c>
      <c r="L11" s="55">
        <v>8712000</v>
      </c>
      <c r="M11" s="418">
        <f>J11*K11</f>
        <v>5802677.9999999991</v>
      </c>
      <c r="N11" s="503">
        <v>0</v>
      </c>
      <c r="O11" s="1472">
        <f>J11*L11/(1-N11)</f>
        <v>8712000</v>
      </c>
      <c r="P11" s="1473"/>
      <c r="Q11" s="1474" t="s">
        <v>444</v>
      </c>
      <c r="R11" s="1475"/>
      <c r="S11" s="470"/>
      <c r="T11" s="566" t="s">
        <v>503</v>
      </c>
      <c r="U11" s="370"/>
      <c r="V11" s="370"/>
      <c r="W11" s="370"/>
      <c r="X11" s="370"/>
      <c r="Y11" s="370"/>
      <c r="Z11" s="370"/>
      <c r="AA11" s="370"/>
      <c r="AB11" s="370"/>
    </row>
    <row r="12" spans="1:30" s="369" customFormat="1" x14ac:dyDescent="0.3">
      <c r="B12" s="62"/>
      <c r="C12" s="56"/>
      <c r="D12" s="63" t="s">
        <v>73</v>
      </c>
      <c r="E12" s="61"/>
      <c r="F12" s="174" t="s">
        <v>368</v>
      </c>
      <c r="G12" s="56">
        <v>701265</v>
      </c>
      <c r="H12" s="482" t="s">
        <v>131</v>
      </c>
      <c r="I12" s="482" t="s">
        <v>131</v>
      </c>
      <c r="J12" s="56">
        <v>2</v>
      </c>
      <c r="K12" s="169">
        <f>(1140)*0.606*1.071*1400</f>
        <v>1035845.4959999999</v>
      </c>
      <c r="L12" s="55">
        <v>1723000</v>
      </c>
      <c r="M12" s="475">
        <f t="shared" ref="M12" si="2">J12*K12</f>
        <v>2071690.9919999999</v>
      </c>
      <c r="N12" s="503">
        <v>0</v>
      </c>
      <c r="O12" s="1472">
        <f t="shared" si="0"/>
        <v>3446000</v>
      </c>
      <c r="P12" s="1473"/>
      <c r="Q12" s="1474" t="s">
        <v>292</v>
      </c>
      <c r="R12" s="1475"/>
      <c r="S12" s="470"/>
      <c r="T12" s="562"/>
      <c r="U12" s="370"/>
      <c r="V12" s="370"/>
      <c r="W12" s="370"/>
      <c r="X12" s="370"/>
      <c r="Y12" s="370"/>
      <c r="Z12" s="370"/>
      <c r="AA12" s="370"/>
      <c r="AB12" s="370"/>
      <c r="AC12" s="370"/>
      <c r="AD12" s="370"/>
    </row>
    <row r="13" spans="1:30" s="84" customFormat="1" x14ac:dyDescent="0.3">
      <c r="B13" s="498"/>
      <c r="C13" s="499" t="s">
        <v>73</v>
      </c>
      <c r="D13" s="499"/>
      <c r="E13" s="151"/>
      <c r="F13" s="156" t="s">
        <v>546</v>
      </c>
      <c r="G13" s="393" t="s">
        <v>425</v>
      </c>
      <c r="H13" s="155" t="s">
        <v>142</v>
      </c>
      <c r="I13" s="56" t="s">
        <v>64</v>
      </c>
      <c r="J13" s="155">
        <v>4</v>
      </c>
      <c r="K13" s="55">
        <f>L13*0.75</f>
        <v>1731750</v>
      </c>
      <c r="L13" s="55">
        <v>2309000</v>
      </c>
      <c r="M13" s="164">
        <f>J13*K13</f>
        <v>6927000</v>
      </c>
      <c r="N13" s="158">
        <v>0</v>
      </c>
      <c r="O13" s="1328">
        <f t="shared" si="0"/>
        <v>9236000</v>
      </c>
      <c r="P13" s="1329"/>
      <c r="Q13" s="1330" t="s">
        <v>482</v>
      </c>
      <c r="R13" s="1331"/>
      <c r="S13" s="470"/>
      <c r="T13" s="562"/>
      <c r="U13"/>
      <c r="V13"/>
      <c r="W13"/>
      <c r="X13"/>
      <c r="Y13"/>
      <c r="Z13"/>
      <c r="AA13"/>
      <c r="AB13"/>
    </row>
    <row r="14" spans="1:30" s="528" customFormat="1" x14ac:dyDescent="0.3">
      <c r="B14" s="62"/>
      <c r="C14" s="63" t="s">
        <v>2</v>
      </c>
      <c r="D14" s="63"/>
      <c r="E14" s="61"/>
      <c r="F14" s="174" t="s">
        <v>459</v>
      </c>
      <c r="G14" s="507" t="s">
        <v>195</v>
      </c>
      <c r="H14" s="56" t="s">
        <v>142</v>
      </c>
      <c r="I14" s="56" t="s">
        <v>64</v>
      </c>
      <c r="J14" s="56">
        <v>1</v>
      </c>
      <c r="K14" s="55">
        <f>L14*0.75</f>
        <v>14394750</v>
      </c>
      <c r="L14" s="55">
        <f>19193000</f>
        <v>19193000</v>
      </c>
      <c r="M14" s="418">
        <f t="shared" ref="M14:M17" si="3">J14*K14</f>
        <v>14394750</v>
      </c>
      <c r="N14" s="503">
        <v>0</v>
      </c>
      <c r="O14" s="1472">
        <f>L14*J14</f>
        <v>19193000</v>
      </c>
      <c r="P14" s="1473"/>
      <c r="Q14" s="1484" t="s">
        <v>401</v>
      </c>
      <c r="R14" s="1485"/>
      <c r="S14" s="212"/>
      <c r="T14" s="563" t="s">
        <v>504</v>
      </c>
      <c r="U14" s="70"/>
      <c r="V14" s="70"/>
      <c r="W14" s="70"/>
      <c r="X14" s="70"/>
    </row>
    <row r="15" spans="1:30" s="528" customFormat="1" x14ac:dyDescent="0.3">
      <c r="B15" s="62"/>
      <c r="C15" s="63"/>
      <c r="D15" s="63" t="s">
        <v>2</v>
      </c>
      <c r="E15" s="61"/>
      <c r="F15" s="174" t="s">
        <v>460</v>
      </c>
      <c r="G15" s="507" t="s">
        <v>461</v>
      </c>
      <c r="H15" s="56" t="s">
        <v>142</v>
      </c>
      <c r="I15" s="56" t="s">
        <v>64</v>
      </c>
      <c r="J15" s="56">
        <v>1</v>
      </c>
      <c r="K15" s="55">
        <f>L15*0.75</f>
        <v>14008500</v>
      </c>
      <c r="L15" s="55">
        <v>18678000</v>
      </c>
      <c r="M15" s="418">
        <f t="shared" si="3"/>
        <v>14008500</v>
      </c>
      <c r="N15" s="503">
        <v>0</v>
      </c>
      <c r="O15" s="1472">
        <f>L15*J15</f>
        <v>18678000</v>
      </c>
      <c r="P15" s="1473"/>
      <c r="Q15" s="1486"/>
      <c r="R15" s="1487"/>
      <c r="S15" s="212"/>
      <c r="T15" s="563"/>
      <c r="U15" s="70"/>
      <c r="V15" s="70"/>
      <c r="W15" s="70"/>
      <c r="X15" s="70"/>
    </row>
    <row r="16" spans="1:30" s="84" customFormat="1" x14ac:dyDescent="0.3">
      <c r="B16" s="494"/>
      <c r="C16" s="495"/>
      <c r="D16" s="403"/>
      <c r="E16" s="495"/>
      <c r="F16" s="404" t="s">
        <v>473</v>
      </c>
      <c r="G16" s="403" t="s">
        <v>474</v>
      </c>
      <c r="H16" s="403" t="s">
        <v>510</v>
      </c>
      <c r="I16" s="405"/>
      <c r="J16" s="403">
        <v>0</v>
      </c>
      <c r="K16" s="406">
        <f>L16*0.85</f>
        <v>1929500</v>
      </c>
      <c r="L16" s="406">
        <v>2270000</v>
      </c>
      <c r="M16" s="407">
        <f t="shared" si="3"/>
        <v>0</v>
      </c>
      <c r="N16" s="408">
        <v>0</v>
      </c>
      <c r="O16" s="597">
        <f t="shared" ref="O16:O17" si="4">J16*L16/(1-N16)</f>
        <v>0</v>
      </c>
      <c r="P16" s="598"/>
      <c r="Q16" s="572" t="s">
        <v>477</v>
      </c>
      <c r="R16" s="573"/>
      <c r="S16" s="204"/>
      <c r="T16" s="562"/>
      <c r="U16"/>
      <c r="V16"/>
      <c r="W16"/>
      <c r="X16"/>
      <c r="Y16"/>
      <c r="Z16"/>
      <c r="AA16"/>
      <c r="AB16"/>
    </row>
    <row r="17" spans="1:30" s="84" customFormat="1" x14ac:dyDescent="0.3">
      <c r="B17" s="494"/>
      <c r="C17" s="495"/>
      <c r="D17" s="403"/>
      <c r="E17" s="495"/>
      <c r="F17" s="404" t="s">
        <v>476</v>
      </c>
      <c r="G17" s="403" t="s">
        <v>475</v>
      </c>
      <c r="H17" s="403" t="s">
        <v>510</v>
      </c>
      <c r="I17" s="405"/>
      <c r="J17" s="403">
        <v>0</v>
      </c>
      <c r="K17" s="406">
        <f t="shared" ref="K17" si="5">L17*0.85</f>
        <v>1164500</v>
      </c>
      <c r="L17" s="406">
        <v>1370000</v>
      </c>
      <c r="M17" s="407">
        <f t="shared" si="3"/>
        <v>0</v>
      </c>
      <c r="N17" s="408">
        <v>0</v>
      </c>
      <c r="O17" s="597">
        <f t="shared" si="4"/>
        <v>0</v>
      </c>
      <c r="P17" s="598"/>
      <c r="Q17" s="572"/>
      <c r="R17" s="573"/>
      <c r="S17" s="204"/>
      <c r="T17" s="562"/>
      <c r="U17"/>
      <c r="V17"/>
      <c r="W17"/>
      <c r="X17"/>
      <c r="Y17"/>
      <c r="Z17"/>
      <c r="AA17"/>
      <c r="AB17"/>
    </row>
    <row r="18" spans="1:30" s="82" customFormat="1" x14ac:dyDescent="0.3">
      <c r="B18" s="494"/>
      <c r="C18" s="495"/>
      <c r="D18" s="403"/>
      <c r="E18" s="495"/>
      <c r="F18" s="404" t="s">
        <v>256</v>
      </c>
      <c r="G18" s="403" t="s">
        <v>336</v>
      </c>
      <c r="H18" s="403" t="s">
        <v>337</v>
      </c>
      <c r="I18" s="405"/>
      <c r="J18" s="403">
        <v>0</v>
      </c>
      <c r="K18" s="406"/>
      <c r="L18" s="406">
        <v>11140000</v>
      </c>
      <c r="M18" s="407">
        <f t="shared" ref="M18:M24" si="6">J18*K18</f>
        <v>0</v>
      </c>
      <c r="N18" s="408">
        <v>0</v>
      </c>
      <c r="O18" s="597">
        <f>J18*L18/(1-N18)</f>
        <v>0</v>
      </c>
      <c r="P18" s="598"/>
      <c r="Q18" s="1548" t="s">
        <v>481</v>
      </c>
      <c r="R18" s="1549"/>
      <c r="S18" s="555"/>
      <c r="T18" s="562"/>
      <c r="U18"/>
      <c r="V18"/>
      <c r="W18"/>
      <c r="X18"/>
      <c r="Y18"/>
      <c r="Z18"/>
      <c r="AA18"/>
      <c r="AB18"/>
    </row>
    <row r="19" spans="1:30" s="413" customFormat="1" x14ac:dyDescent="0.3">
      <c r="B19" s="494"/>
      <c r="C19" s="495"/>
      <c r="D19" s="403"/>
      <c r="E19" s="495"/>
      <c r="F19" s="404" t="s">
        <v>256</v>
      </c>
      <c r="G19" s="403" t="s">
        <v>395</v>
      </c>
      <c r="H19" s="403" t="s">
        <v>394</v>
      </c>
      <c r="I19" s="405"/>
      <c r="J19" s="403">
        <v>0</v>
      </c>
      <c r="K19" s="406">
        <f t="shared" ref="K19:K21" si="7">L19*0.75</f>
        <v>7717500</v>
      </c>
      <c r="L19" s="406">
        <v>10290000</v>
      </c>
      <c r="M19" s="407">
        <f t="shared" si="6"/>
        <v>0</v>
      </c>
      <c r="N19" s="408">
        <v>0</v>
      </c>
      <c r="O19" s="597">
        <f>J19*L19/(1-N19)</f>
        <v>0</v>
      </c>
      <c r="P19" s="598"/>
      <c r="Q19" s="1550"/>
      <c r="R19" s="1551"/>
      <c r="S19" s="470"/>
      <c r="T19" s="563"/>
      <c r="U19" s="70"/>
      <c r="V19" s="70"/>
      <c r="W19" s="70"/>
      <c r="X19" s="70"/>
      <c r="Y19" s="70"/>
      <c r="Z19" s="70"/>
      <c r="AA19" s="70"/>
      <c r="AB19" s="70"/>
    </row>
    <row r="20" spans="1:30" s="394" customFormat="1" x14ac:dyDescent="0.3">
      <c r="A20" s="369"/>
      <c r="B20" s="583"/>
      <c r="C20" s="584"/>
      <c r="D20" s="584"/>
      <c r="E20" s="518"/>
      <c r="F20" s="519" t="s">
        <v>423</v>
      </c>
      <c r="G20" s="405" t="s">
        <v>273</v>
      </c>
      <c r="H20" s="405" t="s">
        <v>255</v>
      </c>
      <c r="I20" s="405"/>
      <c r="J20" s="405">
        <v>0</v>
      </c>
      <c r="K20" s="520">
        <f t="shared" si="7"/>
        <v>27652500</v>
      </c>
      <c r="L20" s="520">
        <v>36870000</v>
      </c>
      <c r="M20" s="407">
        <f t="shared" si="6"/>
        <v>0</v>
      </c>
      <c r="N20" s="521">
        <v>0</v>
      </c>
      <c r="O20" s="1546">
        <f>J20*L20/(1-N20)</f>
        <v>0</v>
      </c>
      <c r="P20" s="1547"/>
      <c r="Q20" s="1548" t="s">
        <v>462</v>
      </c>
      <c r="R20" s="1549"/>
      <c r="S20" s="212"/>
      <c r="T20" s="563"/>
      <c r="U20" s="400"/>
      <c r="V20" s="400"/>
      <c r="W20" s="400"/>
    </row>
    <row r="21" spans="1:30" s="528" customFormat="1" x14ac:dyDescent="0.3">
      <c r="A21" s="84"/>
      <c r="B21" s="583"/>
      <c r="C21" s="584"/>
      <c r="D21" s="584"/>
      <c r="E21" s="518"/>
      <c r="F21" s="519" t="s">
        <v>424</v>
      </c>
      <c r="G21" s="405" t="s">
        <v>274</v>
      </c>
      <c r="H21" s="405" t="s">
        <v>255</v>
      </c>
      <c r="I21" s="405"/>
      <c r="J21" s="405">
        <v>0</v>
      </c>
      <c r="K21" s="520">
        <f t="shared" si="7"/>
        <v>23730000</v>
      </c>
      <c r="L21" s="520">
        <v>31640000</v>
      </c>
      <c r="M21" s="407">
        <f t="shared" si="6"/>
        <v>0</v>
      </c>
      <c r="N21" s="521">
        <v>0</v>
      </c>
      <c r="O21" s="1546">
        <f>J21*L21/(1-N21)</f>
        <v>0</v>
      </c>
      <c r="P21" s="1547"/>
      <c r="Q21" s="1550" t="s">
        <v>401</v>
      </c>
      <c r="R21" s="1551"/>
      <c r="S21" s="212"/>
      <c r="T21" s="563"/>
      <c r="U21" s="70"/>
      <c r="V21" s="70"/>
      <c r="W21" s="70"/>
      <c r="X21" s="70"/>
      <c r="Y21" s="70"/>
    </row>
    <row r="22" spans="1:30" s="528" customFormat="1" x14ac:dyDescent="0.3">
      <c r="A22" s="512"/>
      <c r="B22" s="494"/>
      <c r="C22" s="495"/>
      <c r="D22" s="403"/>
      <c r="E22" s="495"/>
      <c r="F22" s="404" t="s">
        <v>435</v>
      </c>
      <c r="G22" s="403">
        <v>720254</v>
      </c>
      <c r="H22" s="403" t="s">
        <v>40</v>
      </c>
      <c r="I22" s="405" t="s">
        <v>40</v>
      </c>
      <c r="J22" s="403">
        <v>0</v>
      </c>
      <c r="K22" s="406">
        <f>(1950)*0.57*1.071*1400</f>
        <v>1666583.1</v>
      </c>
      <c r="L22" s="406">
        <v>2737000</v>
      </c>
      <c r="M22" s="407">
        <f t="shared" si="6"/>
        <v>0</v>
      </c>
      <c r="N22" s="408">
        <v>0</v>
      </c>
      <c r="O22" s="597">
        <f t="shared" ref="O22:O24" si="8">J22*L22/(1-N22)</f>
        <v>0</v>
      </c>
      <c r="P22" s="598"/>
      <c r="Q22" s="572" t="s">
        <v>464</v>
      </c>
      <c r="R22" s="573"/>
      <c r="S22" s="212"/>
      <c r="T22" s="562" t="s">
        <v>502</v>
      </c>
      <c r="U22" s="70"/>
      <c r="V22" s="70"/>
      <c r="W22" s="70"/>
      <c r="X22" s="70"/>
    </row>
    <row r="23" spans="1:30" s="528" customFormat="1" x14ac:dyDescent="0.3">
      <c r="A23" s="512"/>
      <c r="B23" s="494"/>
      <c r="C23" s="495"/>
      <c r="D23" s="403"/>
      <c r="E23" s="495"/>
      <c r="F23" s="404" t="s">
        <v>466</v>
      </c>
      <c r="G23" s="403">
        <v>701901</v>
      </c>
      <c r="H23" s="403" t="s">
        <v>40</v>
      </c>
      <c r="I23" s="405" t="s">
        <v>40</v>
      </c>
      <c r="J23" s="403">
        <v>0</v>
      </c>
      <c r="K23" s="406">
        <f>(50)*0.642*1.071*1400</f>
        <v>48130.74</v>
      </c>
      <c r="L23" s="406">
        <v>104000</v>
      </c>
      <c r="M23" s="407">
        <f t="shared" si="6"/>
        <v>0</v>
      </c>
      <c r="N23" s="408">
        <v>0</v>
      </c>
      <c r="O23" s="597">
        <f t="shared" si="8"/>
        <v>0</v>
      </c>
      <c r="P23" s="598"/>
      <c r="Q23" s="572" t="s">
        <v>467</v>
      </c>
      <c r="R23" s="573"/>
      <c r="S23" s="470"/>
      <c r="T23" s="562" t="s">
        <v>302</v>
      </c>
      <c r="U23" s="70"/>
      <c r="V23" s="70"/>
      <c r="W23" s="70"/>
      <c r="X23" s="70"/>
    </row>
    <row r="24" spans="1:30" ht="16.149999999999999" customHeight="1" x14ac:dyDescent="0.3">
      <c r="B24" s="494"/>
      <c r="C24" s="495"/>
      <c r="D24" s="403"/>
      <c r="E24" s="495"/>
      <c r="F24" s="404" t="s">
        <v>283</v>
      </c>
      <c r="G24" s="403">
        <v>758921</v>
      </c>
      <c r="H24" s="403" t="s">
        <v>40</v>
      </c>
      <c r="I24" s="405" t="s">
        <v>131</v>
      </c>
      <c r="J24" s="403">
        <v>0</v>
      </c>
      <c r="K24" s="406">
        <f>(30)*0.643*1.071*1400</f>
        <v>28923.425999999996</v>
      </c>
      <c r="L24" s="406">
        <v>54000</v>
      </c>
      <c r="M24" s="407">
        <f t="shared" si="6"/>
        <v>0</v>
      </c>
      <c r="N24" s="408">
        <v>0</v>
      </c>
      <c r="O24" s="597">
        <f t="shared" si="8"/>
        <v>0</v>
      </c>
      <c r="P24" s="598"/>
      <c r="Q24" s="572" t="s">
        <v>465</v>
      </c>
      <c r="R24" s="573"/>
      <c r="S24" s="470"/>
    </row>
    <row r="25" spans="1:30" ht="16.149999999999999" customHeight="1" thickBot="1" x14ac:dyDescent="0.35">
      <c r="B25" s="581"/>
      <c r="C25" s="184"/>
      <c r="D25" s="184"/>
      <c r="E25" s="582"/>
      <c r="F25" s="156"/>
      <c r="G25" s="155"/>
      <c r="H25" s="155"/>
      <c r="I25" s="155"/>
      <c r="J25" s="184"/>
      <c r="K25" s="199"/>
      <c r="L25" s="55"/>
      <c r="M25" s="164"/>
      <c r="N25" s="158"/>
      <c r="O25" s="577"/>
      <c r="P25" s="578"/>
      <c r="Q25" s="1488"/>
      <c r="R25" s="1489"/>
      <c r="S25" s="470"/>
    </row>
    <row r="26" spans="1:30" s="369" customFormat="1" ht="17.25" thickBot="1" x14ac:dyDescent="0.35">
      <c r="B26" s="587" t="s">
        <v>2</v>
      </c>
      <c r="C26" s="588"/>
      <c r="D26" s="588"/>
      <c r="E26" s="589"/>
      <c r="F26" s="270" t="s">
        <v>266</v>
      </c>
      <c r="G26" s="590"/>
      <c r="H26" s="590"/>
      <c r="I26" s="590"/>
      <c r="J26" s="590"/>
      <c r="K26" s="590"/>
      <c r="L26" s="591"/>
      <c r="M26" s="592"/>
      <c r="N26" s="593"/>
      <c r="O26" s="1324"/>
      <c r="P26" s="1325"/>
      <c r="Q26" s="1326"/>
      <c r="R26" s="1327"/>
      <c r="S26" s="115"/>
      <c r="T26" s="562"/>
      <c r="U26" s="370"/>
      <c r="V26" s="370"/>
      <c r="W26" s="370"/>
      <c r="X26" s="370"/>
      <c r="Y26" s="370"/>
      <c r="Z26" s="370"/>
      <c r="AA26" s="370"/>
      <c r="AB26" s="370"/>
    </row>
    <row r="27" spans="1:30" s="84" customFormat="1" x14ac:dyDescent="0.3">
      <c r="B27" s="500"/>
      <c r="C27" s="501" t="s">
        <v>2</v>
      </c>
      <c r="D27" s="144"/>
      <c r="E27" s="145"/>
      <c r="F27" s="146" t="s">
        <v>540</v>
      </c>
      <c r="G27" s="144" t="s">
        <v>278</v>
      </c>
      <c r="H27" s="144" t="s">
        <v>80</v>
      </c>
      <c r="I27" s="144" t="s">
        <v>240</v>
      </c>
      <c r="J27" s="144">
        <v>1</v>
      </c>
      <c r="K27" s="157">
        <f t="shared" ref="K27:K30" si="9">L27*0.95</f>
        <v>2422500</v>
      </c>
      <c r="L27" s="147">
        <v>2550000</v>
      </c>
      <c r="M27" s="163">
        <f>J27*K27</f>
        <v>2422500</v>
      </c>
      <c r="N27" s="148">
        <v>0</v>
      </c>
      <c r="O27" s="1480">
        <f t="shared" ref="O27:O30" si="10">J27*L27/(1-N27)</f>
        <v>2550000</v>
      </c>
      <c r="P27" s="1481"/>
      <c r="Q27" s="1482"/>
      <c r="R27" s="1483"/>
      <c r="S27" s="287"/>
      <c r="T27" s="273"/>
      <c r="U27"/>
      <c r="V27"/>
      <c r="W27"/>
      <c r="X27"/>
      <c r="Y27"/>
      <c r="Z27"/>
      <c r="AA27"/>
      <c r="AB27"/>
    </row>
    <row r="28" spans="1:30" s="84" customFormat="1" x14ac:dyDescent="0.3">
      <c r="B28" s="615"/>
      <c r="C28" s="621"/>
      <c r="D28" s="621" t="s">
        <v>2</v>
      </c>
      <c r="E28" s="609"/>
      <c r="F28" s="610" t="s">
        <v>538</v>
      </c>
      <c r="G28" s="611" t="s">
        <v>311</v>
      </c>
      <c r="H28" s="611" t="s">
        <v>80</v>
      </c>
      <c r="I28" s="611" t="s">
        <v>430</v>
      </c>
      <c r="J28" s="611">
        <v>1</v>
      </c>
      <c r="K28" s="612">
        <f t="shared" si="9"/>
        <v>2242000</v>
      </c>
      <c r="L28" s="612">
        <v>2360000</v>
      </c>
      <c r="M28" s="613">
        <f t="shared" ref="M28" si="11">J28*K28</f>
        <v>2242000</v>
      </c>
      <c r="N28" s="614">
        <v>0</v>
      </c>
      <c r="O28" s="1566">
        <f t="shared" si="10"/>
        <v>2360000</v>
      </c>
      <c r="P28" s="1567"/>
      <c r="Q28" s="1568" t="s">
        <v>559</v>
      </c>
      <c r="R28" s="1569"/>
      <c r="S28" s="289"/>
      <c r="T28" s="606" t="s">
        <v>552</v>
      </c>
      <c r="U28"/>
    </row>
    <row r="29" spans="1:30" s="84" customFormat="1" x14ac:dyDescent="0.3">
      <c r="B29" s="498"/>
      <c r="C29" s="499"/>
      <c r="D29" s="499" t="s">
        <v>2</v>
      </c>
      <c r="E29" s="151"/>
      <c r="F29" s="156" t="s">
        <v>536</v>
      </c>
      <c r="G29" s="155" t="s">
        <v>316</v>
      </c>
      <c r="H29" s="155" t="s">
        <v>80</v>
      </c>
      <c r="I29" s="155" t="s">
        <v>430</v>
      </c>
      <c r="J29" s="155">
        <v>1</v>
      </c>
      <c r="K29" s="157">
        <f t="shared" si="9"/>
        <v>836000</v>
      </c>
      <c r="L29" s="157">
        <v>880000</v>
      </c>
      <c r="M29" s="164">
        <f t="shared" ref="M29:M30" si="12">J29*K29</f>
        <v>836000</v>
      </c>
      <c r="N29" s="158">
        <v>0</v>
      </c>
      <c r="O29" s="1328">
        <f t="shared" si="10"/>
        <v>880000</v>
      </c>
      <c r="P29" s="1329"/>
      <c r="Q29" s="1330" t="s">
        <v>580</v>
      </c>
      <c r="R29" s="1331"/>
      <c r="S29" s="289"/>
      <c r="T29" s="82" t="s">
        <v>533</v>
      </c>
      <c r="U29"/>
      <c r="V29"/>
      <c r="W29"/>
      <c r="X29"/>
      <c r="Y29"/>
      <c r="Z29"/>
      <c r="AA29"/>
      <c r="AB29"/>
      <c r="AC29"/>
      <c r="AD29"/>
    </row>
    <row r="30" spans="1:30" s="82" customFormat="1" x14ac:dyDescent="0.3">
      <c r="B30" s="626"/>
      <c r="C30" s="621"/>
      <c r="D30" s="621" t="s">
        <v>2</v>
      </c>
      <c r="E30" s="627"/>
      <c r="F30" s="610" t="s">
        <v>534</v>
      </c>
      <c r="G30" s="611" t="s">
        <v>554</v>
      </c>
      <c r="H30" s="611" t="s">
        <v>80</v>
      </c>
      <c r="I30" s="611" t="s">
        <v>430</v>
      </c>
      <c r="J30" s="617">
        <v>1</v>
      </c>
      <c r="K30" s="620">
        <f t="shared" si="9"/>
        <v>1396500</v>
      </c>
      <c r="L30" s="620">
        <v>1470000</v>
      </c>
      <c r="M30" s="613">
        <f t="shared" si="12"/>
        <v>1396500</v>
      </c>
      <c r="N30" s="614">
        <v>0</v>
      </c>
      <c r="O30" s="1566">
        <f t="shared" si="10"/>
        <v>1470000</v>
      </c>
      <c r="P30" s="1567"/>
      <c r="Q30" s="1568" t="s">
        <v>523</v>
      </c>
      <c r="R30" s="1569"/>
      <c r="S30" s="204"/>
      <c r="T30" s="625" t="s">
        <v>555</v>
      </c>
    </row>
    <row r="31" spans="1:30" ht="17.25" thickBot="1" x14ac:dyDescent="0.35">
      <c r="B31" s="365"/>
      <c r="C31" s="366"/>
      <c r="D31" s="366"/>
      <c r="E31" s="367"/>
      <c r="F31" s="156"/>
      <c r="G31" s="155"/>
      <c r="H31" s="155"/>
      <c r="I31" s="155"/>
      <c r="J31" s="186"/>
      <c r="K31" s="199"/>
      <c r="L31" s="55"/>
      <c r="M31" s="164"/>
      <c r="N31" s="158"/>
      <c r="O31" s="548"/>
      <c r="P31" s="549"/>
      <c r="Q31" s="570"/>
      <c r="R31" s="571"/>
      <c r="S31" s="204"/>
    </row>
    <row r="32" spans="1:30" ht="17.25" thickBot="1" x14ac:dyDescent="0.35">
      <c r="B32" s="122" t="s">
        <v>2</v>
      </c>
      <c r="C32" s="116"/>
      <c r="D32" s="116"/>
      <c r="E32" s="117"/>
      <c r="F32" s="118" t="s">
        <v>267</v>
      </c>
      <c r="G32" s="383"/>
      <c r="H32" s="383"/>
      <c r="I32" s="383"/>
      <c r="J32" s="383"/>
      <c r="K32" s="383"/>
      <c r="L32" s="384"/>
      <c r="M32" s="121"/>
      <c r="N32" s="135"/>
      <c r="O32" s="1447"/>
      <c r="P32" s="1448"/>
      <c r="Q32" s="1572"/>
      <c r="R32" s="1573"/>
      <c r="S32" s="115"/>
      <c r="T32" s="606"/>
    </row>
    <row r="33" spans="1:30" x14ac:dyDescent="0.3">
      <c r="B33" s="142"/>
      <c r="C33" s="143" t="s">
        <v>2</v>
      </c>
      <c r="D33" s="144"/>
      <c r="E33" s="145"/>
      <c r="F33" s="146" t="s">
        <v>418</v>
      </c>
      <c r="G33" s="144"/>
      <c r="H33" s="182" t="s">
        <v>60</v>
      </c>
      <c r="I33" s="144"/>
      <c r="J33" s="144">
        <v>1</v>
      </c>
      <c r="K33" s="157">
        <v>5000000</v>
      </c>
      <c r="L33" s="157">
        <v>5000000</v>
      </c>
      <c r="M33" s="163">
        <f>J33*K33</f>
        <v>5000000</v>
      </c>
      <c r="N33" s="148">
        <v>0.3</v>
      </c>
      <c r="O33" s="1574">
        <f t="shared" ref="O33:O48" si="13">J33*L33*(1+N33)</f>
        <v>6500000</v>
      </c>
      <c r="P33" s="1575"/>
      <c r="Q33" s="1482"/>
      <c r="R33" s="1483"/>
      <c r="S33" s="287"/>
    </row>
    <row r="34" spans="1:30" s="84" customFormat="1" x14ac:dyDescent="0.3">
      <c r="B34" s="181"/>
      <c r="C34" s="182"/>
      <c r="D34" s="182" t="s">
        <v>2</v>
      </c>
      <c r="E34" s="183"/>
      <c r="F34" s="156" t="s">
        <v>247</v>
      </c>
      <c r="G34" s="155" t="s">
        <v>248</v>
      </c>
      <c r="H34" s="155" t="s">
        <v>249</v>
      </c>
      <c r="I34" s="155" t="s">
        <v>249</v>
      </c>
      <c r="J34" s="155">
        <v>1</v>
      </c>
      <c r="K34" s="157">
        <v>530000</v>
      </c>
      <c r="L34" s="157">
        <v>530000</v>
      </c>
      <c r="M34" s="164">
        <f>J34*K34</f>
        <v>530000</v>
      </c>
      <c r="N34" s="158">
        <v>0.3</v>
      </c>
      <c r="O34" s="1365">
        <f t="shared" si="13"/>
        <v>689000</v>
      </c>
      <c r="P34" s="1366"/>
      <c r="Q34" s="570"/>
      <c r="R34" s="571"/>
      <c r="S34" s="152"/>
      <c r="T34" s="625"/>
      <c r="U34"/>
      <c r="V34"/>
      <c r="W34"/>
      <c r="X34"/>
      <c r="Y34"/>
      <c r="Z34"/>
      <c r="AA34"/>
      <c r="AB34"/>
    </row>
    <row r="35" spans="1:30" s="84" customFormat="1" x14ac:dyDescent="0.3">
      <c r="B35" s="181"/>
      <c r="C35" s="182"/>
      <c r="D35" s="182" t="s">
        <v>2</v>
      </c>
      <c r="E35" s="183"/>
      <c r="F35" s="156" t="s">
        <v>250</v>
      </c>
      <c r="G35" s="155" t="s">
        <v>329</v>
      </c>
      <c r="H35" s="155" t="s">
        <v>330</v>
      </c>
      <c r="I35" s="155" t="s">
        <v>251</v>
      </c>
      <c r="J35" s="155">
        <v>1</v>
      </c>
      <c r="K35" s="157">
        <v>200000</v>
      </c>
      <c r="L35" s="157">
        <v>200000</v>
      </c>
      <c r="M35" s="164">
        <f>J35*K35</f>
        <v>200000</v>
      </c>
      <c r="N35" s="158">
        <v>0.3</v>
      </c>
      <c r="O35" s="1365">
        <f t="shared" si="13"/>
        <v>260000</v>
      </c>
      <c r="P35" s="1366"/>
      <c r="Q35" s="1330"/>
      <c r="R35" s="1331"/>
      <c r="S35" s="152"/>
      <c r="T35" s="562"/>
      <c r="U35"/>
      <c r="V35"/>
      <c r="W35"/>
      <c r="X35"/>
      <c r="Y35"/>
      <c r="Z35"/>
      <c r="AA35"/>
      <c r="AB35"/>
      <c r="AC35"/>
      <c r="AD35"/>
    </row>
    <row r="36" spans="1:30" s="82" customFormat="1" x14ac:dyDescent="0.3">
      <c r="B36" s="181"/>
      <c r="C36" s="182"/>
      <c r="D36" s="182" t="s">
        <v>2</v>
      </c>
      <c r="E36" s="183"/>
      <c r="F36" s="156" t="s">
        <v>252</v>
      </c>
      <c r="G36" s="155" t="s">
        <v>253</v>
      </c>
      <c r="H36" s="155" t="s">
        <v>254</v>
      </c>
      <c r="I36" s="155" t="s">
        <v>254</v>
      </c>
      <c r="J36" s="186">
        <v>1</v>
      </c>
      <c r="K36" s="387">
        <v>3000000</v>
      </c>
      <c r="L36" s="387">
        <v>3000000</v>
      </c>
      <c r="M36" s="164">
        <f>J36*K36</f>
        <v>3000000</v>
      </c>
      <c r="N36" s="158">
        <v>0.3</v>
      </c>
      <c r="O36" s="1365">
        <f t="shared" si="13"/>
        <v>3900000</v>
      </c>
      <c r="P36" s="1366"/>
      <c r="Q36" s="570"/>
      <c r="R36" s="571"/>
      <c r="S36" s="204"/>
      <c r="T36" s="562"/>
    </row>
    <row r="37" spans="1:30" s="82" customFormat="1" x14ac:dyDescent="0.3">
      <c r="B37" s="149"/>
      <c r="C37" s="150"/>
      <c r="D37" s="155" t="s">
        <v>2</v>
      </c>
      <c r="E37" s="151"/>
      <c r="F37" s="156" t="s">
        <v>245</v>
      </c>
      <c r="G37" s="155" t="s">
        <v>246</v>
      </c>
      <c r="H37" s="155" t="s">
        <v>183</v>
      </c>
      <c r="I37" s="155"/>
      <c r="J37" s="155">
        <v>1</v>
      </c>
      <c r="K37" s="157">
        <v>200000</v>
      </c>
      <c r="L37" s="157">
        <v>200000</v>
      </c>
      <c r="M37" s="164">
        <f t="shared" ref="M37" si="14">J37*K37</f>
        <v>200000</v>
      </c>
      <c r="N37" s="158">
        <v>0.3</v>
      </c>
      <c r="O37" s="1365">
        <f t="shared" si="13"/>
        <v>260000</v>
      </c>
      <c r="P37" s="1366"/>
      <c r="Q37" s="1330"/>
      <c r="R37" s="1331"/>
      <c r="S37" s="152"/>
      <c r="T37" s="562"/>
    </row>
    <row r="38" spans="1:30" s="82" customFormat="1" x14ac:dyDescent="0.3">
      <c r="B38" s="365"/>
      <c r="C38" s="291"/>
      <c r="D38" s="291" t="s">
        <v>2</v>
      </c>
      <c r="E38" s="367"/>
      <c r="F38" s="156" t="s">
        <v>343</v>
      </c>
      <c r="G38" s="155" t="s">
        <v>334</v>
      </c>
      <c r="H38" s="155" t="s">
        <v>328</v>
      </c>
      <c r="I38" s="155"/>
      <c r="J38" s="186">
        <v>1</v>
      </c>
      <c r="K38" s="169">
        <v>450000</v>
      </c>
      <c r="L38" s="169">
        <v>500000</v>
      </c>
      <c r="M38" s="164">
        <f>J38*K38</f>
        <v>450000</v>
      </c>
      <c r="N38" s="158">
        <v>0</v>
      </c>
      <c r="O38" s="1365">
        <f t="shared" si="13"/>
        <v>500000</v>
      </c>
      <c r="P38" s="1366"/>
      <c r="Q38" s="1330" t="s">
        <v>522</v>
      </c>
      <c r="R38" s="1331"/>
      <c r="S38" s="204"/>
      <c r="T38" s="562"/>
    </row>
    <row r="39" spans="1:30" s="82" customFormat="1" x14ac:dyDescent="0.3">
      <c r="B39" s="181"/>
      <c r="C39" s="182" t="s">
        <v>2</v>
      </c>
      <c r="D39" s="366"/>
      <c r="E39" s="183"/>
      <c r="F39" s="388" t="s">
        <v>268</v>
      </c>
      <c r="G39" s="182"/>
      <c r="H39" s="182"/>
      <c r="I39" s="155"/>
      <c r="J39" s="155">
        <v>1</v>
      </c>
      <c r="K39" s="157"/>
      <c r="L39" s="157"/>
      <c r="M39" s="164">
        <f t="shared" ref="M39:M43" si="15">J39*K39</f>
        <v>0</v>
      </c>
      <c r="N39" s="158">
        <v>0.3</v>
      </c>
      <c r="O39" s="1365">
        <f t="shared" si="13"/>
        <v>0</v>
      </c>
      <c r="P39" s="1366"/>
      <c r="Q39" s="550"/>
      <c r="R39" s="551"/>
      <c r="S39" s="152"/>
      <c r="T39" s="562"/>
    </row>
    <row r="40" spans="1:30" s="84" customFormat="1" x14ac:dyDescent="0.3">
      <c r="B40" s="181"/>
      <c r="C40" s="182"/>
      <c r="D40" s="182" t="s">
        <v>2</v>
      </c>
      <c r="E40" s="183"/>
      <c r="F40" s="388" t="s">
        <v>284</v>
      </c>
      <c r="G40" s="182"/>
      <c r="H40" s="182" t="s">
        <v>60</v>
      </c>
      <c r="I40" s="155"/>
      <c r="J40" s="155">
        <v>1</v>
      </c>
      <c r="K40" s="157">
        <v>1000000</v>
      </c>
      <c r="L40" s="157">
        <v>1000000</v>
      </c>
      <c r="M40" s="164">
        <f>J40*K40</f>
        <v>1000000</v>
      </c>
      <c r="N40" s="158">
        <v>0.3</v>
      </c>
      <c r="O40" s="1365">
        <f t="shared" si="13"/>
        <v>1300000</v>
      </c>
      <c r="P40" s="1366"/>
      <c r="Q40" s="550"/>
      <c r="R40" s="551"/>
      <c r="S40" s="152"/>
      <c r="T40" s="562"/>
      <c r="U40"/>
      <c r="V40"/>
      <c r="W40"/>
      <c r="X40"/>
      <c r="Y40"/>
      <c r="Z40"/>
      <c r="AA40"/>
      <c r="AB40"/>
    </row>
    <row r="41" spans="1:30" s="413" customFormat="1" x14ac:dyDescent="0.3">
      <c r="A41" s="82"/>
      <c r="B41" s="181"/>
      <c r="C41" s="182"/>
      <c r="D41" s="366" t="s">
        <v>2</v>
      </c>
      <c r="E41" s="183"/>
      <c r="F41" s="388" t="s">
        <v>519</v>
      </c>
      <c r="G41" s="182" t="s">
        <v>520</v>
      </c>
      <c r="H41" s="182" t="s">
        <v>521</v>
      </c>
      <c r="I41" s="155"/>
      <c r="J41" s="155">
        <v>3</v>
      </c>
      <c r="K41" s="157">
        <v>20000</v>
      </c>
      <c r="L41" s="157">
        <v>20000</v>
      </c>
      <c r="M41" s="164">
        <f t="shared" ref="M41:M42" si="16">J41*K41</f>
        <v>60000</v>
      </c>
      <c r="N41" s="158">
        <v>0.3</v>
      </c>
      <c r="O41" s="1365">
        <f t="shared" si="13"/>
        <v>78000</v>
      </c>
      <c r="P41" s="1366"/>
      <c r="Q41" s="558"/>
      <c r="R41" s="559"/>
      <c r="S41" s="152"/>
    </row>
    <row r="42" spans="1:30" s="413" customFormat="1" x14ac:dyDescent="0.3">
      <c r="A42" s="82"/>
      <c r="B42" s="607"/>
      <c r="C42" s="608"/>
      <c r="D42" s="617" t="s">
        <v>2</v>
      </c>
      <c r="E42" s="622"/>
      <c r="F42" s="623" t="s">
        <v>269</v>
      </c>
      <c r="G42" s="608" t="s">
        <v>270</v>
      </c>
      <c r="H42" s="608" t="s">
        <v>271</v>
      </c>
      <c r="I42" s="611"/>
      <c r="J42" s="611">
        <v>5</v>
      </c>
      <c r="K42" s="612">
        <v>120000</v>
      </c>
      <c r="L42" s="612">
        <v>120000</v>
      </c>
      <c r="M42" s="613">
        <f t="shared" si="16"/>
        <v>600000</v>
      </c>
      <c r="N42" s="614">
        <v>0.3</v>
      </c>
      <c r="O42" s="1566">
        <f t="shared" si="13"/>
        <v>780000</v>
      </c>
      <c r="P42" s="1567"/>
      <c r="Q42" s="558"/>
      <c r="R42" s="559"/>
      <c r="S42" s="152"/>
    </row>
    <row r="43" spans="1:30" s="84" customFormat="1" x14ac:dyDescent="0.3">
      <c r="B43" s="181"/>
      <c r="C43" s="182"/>
      <c r="D43" s="182" t="s">
        <v>2</v>
      </c>
      <c r="E43" s="183"/>
      <c r="F43" s="388" t="s">
        <v>272</v>
      </c>
      <c r="G43" s="366" t="s">
        <v>286</v>
      </c>
      <c r="H43" s="366" t="s">
        <v>287</v>
      </c>
      <c r="I43" s="155"/>
      <c r="J43" s="155">
        <v>1</v>
      </c>
      <c r="K43" s="157">
        <v>230000</v>
      </c>
      <c r="L43" s="157">
        <v>230000</v>
      </c>
      <c r="M43" s="164">
        <f t="shared" si="15"/>
        <v>230000</v>
      </c>
      <c r="N43" s="158">
        <v>0.3</v>
      </c>
      <c r="O43" s="1365">
        <f t="shared" si="13"/>
        <v>299000</v>
      </c>
      <c r="P43" s="1366"/>
      <c r="Q43" s="1330" t="s">
        <v>572</v>
      </c>
      <c r="R43" s="1331"/>
      <c r="S43" s="152"/>
      <c r="T43" s="562"/>
      <c r="U43"/>
      <c r="V43"/>
      <c r="W43"/>
      <c r="X43"/>
      <c r="Y43"/>
      <c r="Z43"/>
      <c r="AA43"/>
      <c r="AB43"/>
    </row>
    <row r="44" spans="1:30" s="82" customFormat="1" x14ac:dyDescent="0.3">
      <c r="B44" s="181"/>
      <c r="C44" s="182"/>
      <c r="D44" s="182" t="s">
        <v>2</v>
      </c>
      <c r="E44" s="183"/>
      <c r="F44" s="389" t="s">
        <v>355</v>
      </c>
      <c r="G44" s="366" t="s">
        <v>285</v>
      </c>
      <c r="H44" s="366" t="s">
        <v>277</v>
      </c>
      <c r="I44" s="155"/>
      <c r="J44" s="155">
        <v>1</v>
      </c>
      <c r="K44" s="157">
        <v>70000</v>
      </c>
      <c r="L44" s="157">
        <v>70000</v>
      </c>
      <c r="M44" s="164">
        <f>J44*K44</f>
        <v>70000</v>
      </c>
      <c r="N44" s="158">
        <v>0.3</v>
      </c>
      <c r="O44" s="1365">
        <f t="shared" si="13"/>
        <v>91000</v>
      </c>
      <c r="P44" s="1366"/>
      <c r="Q44" s="1330" t="s">
        <v>571</v>
      </c>
      <c r="R44" s="1331"/>
      <c r="S44" s="152"/>
      <c r="T44" s="562"/>
    </row>
    <row r="45" spans="1:30" s="82" customFormat="1" x14ac:dyDescent="0.3">
      <c r="B45" s="181"/>
      <c r="C45" s="182"/>
      <c r="D45" s="182" t="s">
        <v>2</v>
      </c>
      <c r="E45" s="183"/>
      <c r="F45" s="388" t="s">
        <v>354</v>
      </c>
      <c r="G45" s="366" t="s">
        <v>353</v>
      </c>
      <c r="H45" s="182" t="s">
        <v>277</v>
      </c>
      <c r="I45" s="155"/>
      <c r="J45" s="155">
        <v>1</v>
      </c>
      <c r="K45" s="157">
        <v>70000</v>
      </c>
      <c r="L45" s="157">
        <v>70000</v>
      </c>
      <c r="M45" s="164">
        <f>J45*K45</f>
        <v>70000</v>
      </c>
      <c r="N45" s="158">
        <v>0.3</v>
      </c>
      <c r="O45" s="1365">
        <f t="shared" si="13"/>
        <v>91000</v>
      </c>
      <c r="P45" s="1366"/>
      <c r="Q45" s="1330" t="s">
        <v>561</v>
      </c>
      <c r="R45" s="1331"/>
      <c r="S45" s="152"/>
      <c r="T45" s="562"/>
    </row>
    <row r="46" spans="1:30" s="82" customFormat="1" x14ac:dyDescent="0.3">
      <c r="B46" s="181"/>
      <c r="C46" s="182"/>
      <c r="D46" s="182" t="s">
        <v>2</v>
      </c>
      <c r="E46" s="183"/>
      <c r="F46" s="388" t="s">
        <v>357</v>
      </c>
      <c r="G46" s="366" t="s">
        <v>285</v>
      </c>
      <c r="H46" s="182" t="s">
        <v>277</v>
      </c>
      <c r="I46" s="155"/>
      <c r="J46" s="155">
        <v>1</v>
      </c>
      <c r="K46" s="157">
        <v>70000</v>
      </c>
      <c r="L46" s="157">
        <v>70000</v>
      </c>
      <c r="M46" s="157">
        <v>70000</v>
      </c>
      <c r="N46" s="158">
        <v>0.3</v>
      </c>
      <c r="O46" s="1365">
        <f t="shared" si="13"/>
        <v>91000</v>
      </c>
      <c r="P46" s="1366"/>
      <c r="Q46" s="1330" t="s">
        <v>361</v>
      </c>
      <c r="R46" s="1331"/>
      <c r="S46" s="152"/>
      <c r="T46" s="562"/>
    </row>
    <row r="47" spans="1:30" s="413" customFormat="1" x14ac:dyDescent="0.3">
      <c r="A47" s="82"/>
      <c r="B47" s="181"/>
      <c r="C47" s="182"/>
      <c r="D47" s="182" t="s">
        <v>2</v>
      </c>
      <c r="E47" s="183"/>
      <c r="F47" s="388" t="s">
        <v>471</v>
      </c>
      <c r="G47" s="366"/>
      <c r="H47" s="182"/>
      <c r="I47" s="155"/>
      <c r="J47" s="155">
        <v>3</v>
      </c>
      <c r="K47" s="157">
        <v>20000</v>
      </c>
      <c r="L47" s="157">
        <v>20000</v>
      </c>
      <c r="M47" s="157">
        <f t="shared" ref="M47" si="17">J47*K47</f>
        <v>60000</v>
      </c>
      <c r="N47" s="158">
        <v>0.3</v>
      </c>
      <c r="O47" s="1365">
        <f t="shared" si="13"/>
        <v>78000</v>
      </c>
      <c r="P47" s="1366"/>
      <c r="Q47" s="1330" t="s">
        <v>569</v>
      </c>
      <c r="R47" s="1331"/>
      <c r="S47" s="152"/>
      <c r="T47" s="563"/>
    </row>
    <row r="48" spans="1:30" s="82" customFormat="1" x14ac:dyDescent="0.3">
      <c r="B48" s="181"/>
      <c r="C48" s="182" t="s">
        <v>2</v>
      </c>
      <c r="D48" s="366"/>
      <c r="E48" s="183"/>
      <c r="F48" s="388" t="s">
        <v>419</v>
      </c>
      <c r="G48" s="182"/>
      <c r="H48" s="182" t="s">
        <v>60</v>
      </c>
      <c r="I48" s="155"/>
      <c r="J48" s="155">
        <v>1</v>
      </c>
      <c r="K48" s="157">
        <v>3000000</v>
      </c>
      <c r="L48" s="157">
        <v>3000000</v>
      </c>
      <c r="M48" s="164">
        <f>J48*K48</f>
        <v>3000000</v>
      </c>
      <c r="N48" s="158">
        <v>0.3</v>
      </c>
      <c r="O48" s="1365">
        <f t="shared" si="13"/>
        <v>3900000</v>
      </c>
      <c r="P48" s="1366"/>
      <c r="Q48" s="550"/>
      <c r="R48" s="551"/>
      <c r="S48" s="152"/>
      <c r="T48" s="562"/>
    </row>
    <row r="49" spans="2:28" s="82" customFormat="1" ht="17.25" thickBot="1" x14ac:dyDescent="0.35">
      <c r="B49" s="365"/>
      <c r="C49" s="366"/>
      <c r="D49" s="366"/>
      <c r="E49" s="367"/>
      <c r="F49" s="156"/>
      <c r="G49" s="155"/>
      <c r="H49" s="155"/>
      <c r="I49" s="155"/>
      <c r="J49" s="186"/>
      <c r="K49" s="199"/>
      <c r="L49" s="55"/>
      <c r="M49" s="164"/>
      <c r="N49" s="158"/>
      <c r="O49" s="548"/>
      <c r="P49" s="549"/>
      <c r="Q49" s="550"/>
      <c r="R49" s="551"/>
      <c r="S49" s="204"/>
      <c r="T49" s="562"/>
    </row>
    <row r="50" spans="2:28" s="82" customFormat="1" ht="18" thickBot="1" x14ac:dyDescent="0.35">
      <c r="B50" s="1338" t="s">
        <v>53</v>
      </c>
      <c r="C50" s="1339"/>
      <c r="D50" s="1339"/>
      <c r="E50" s="1339"/>
      <c r="F50" s="1339"/>
      <c r="G50" s="1339"/>
      <c r="H50" s="1339"/>
      <c r="I50" s="1339"/>
      <c r="J50" s="1339"/>
      <c r="K50" s="1339"/>
      <c r="L50" s="1340"/>
      <c r="M50" s="123">
        <f>SUM(M5:M49)</f>
        <v>80463962.522</v>
      </c>
      <c r="N50" s="136"/>
      <c r="O50" s="1341">
        <f>SUM(O5:P49)</f>
        <v>114051000</v>
      </c>
      <c r="P50" s="1342"/>
      <c r="Q50" s="1343"/>
      <c r="R50" s="1344"/>
      <c r="S50" s="130"/>
      <c r="T50" s="562"/>
    </row>
    <row r="51" spans="2:28" s="82" customFormat="1" ht="17.25" thickBot="1" x14ac:dyDescent="0.35">
      <c r="B51" s="122" t="s">
        <v>2</v>
      </c>
      <c r="C51" s="116"/>
      <c r="D51" s="116"/>
      <c r="E51" s="117"/>
      <c r="F51" s="118" t="s">
        <v>242</v>
      </c>
      <c r="G51" s="119"/>
      <c r="H51" s="119"/>
      <c r="I51" s="119"/>
      <c r="J51" s="119"/>
      <c r="K51" s="119"/>
      <c r="L51" s="120"/>
      <c r="M51" s="121"/>
      <c r="N51" s="135"/>
      <c r="O51" s="1447"/>
      <c r="P51" s="1448"/>
      <c r="Q51" s="1326"/>
      <c r="R51" s="1327"/>
      <c r="S51" s="115"/>
      <c r="T51" s="562"/>
    </row>
    <row r="52" spans="2:28" s="82" customFormat="1" x14ac:dyDescent="0.3">
      <c r="B52" s="131"/>
      <c r="C52" s="132" t="s">
        <v>73</v>
      </c>
      <c r="D52" s="133"/>
      <c r="E52" s="165"/>
      <c r="F52" s="227" t="s">
        <v>319</v>
      </c>
      <c r="G52" s="222" t="s">
        <v>94</v>
      </c>
      <c r="H52" s="222" t="s">
        <v>130</v>
      </c>
      <c r="I52" s="222" t="s">
        <v>131</v>
      </c>
      <c r="J52" s="371">
        <v>10</v>
      </c>
      <c r="K52" s="55">
        <v>307000</v>
      </c>
      <c r="L52" s="55">
        <v>307000</v>
      </c>
      <c r="M52" s="230">
        <f t="shared" ref="M52:M53" si="18">J52*K52</f>
        <v>3070000</v>
      </c>
      <c r="N52" s="148"/>
      <c r="O52" s="1365">
        <f t="shared" ref="O52:O53" si="19">L52*J52</f>
        <v>3070000</v>
      </c>
      <c r="P52" s="1366"/>
      <c r="Q52" s="1492"/>
      <c r="R52" s="1493"/>
      <c r="S52" s="207"/>
      <c r="T52" s="562"/>
    </row>
    <row r="53" spans="2:28" s="84" customFormat="1" x14ac:dyDescent="0.3">
      <c r="B53" s="628"/>
      <c r="C53" s="629" t="s">
        <v>73</v>
      </c>
      <c r="D53" s="630"/>
      <c r="E53" s="631"/>
      <c r="F53" s="632" t="s">
        <v>320</v>
      </c>
      <c r="G53" s="633" t="s">
        <v>94</v>
      </c>
      <c r="H53" s="633" t="s">
        <v>130</v>
      </c>
      <c r="I53" s="633" t="s">
        <v>131</v>
      </c>
      <c r="J53" s="634">
        <v>30</v>
      </c>
      <c r="K53" s="620">
        <v>307000</v>
      </c>
      <c r="L53" s="620">
        <v>307000</v>
      </c>
      <c r="M53" s="635">
        <f t="shared" si="18"/>
        <v>9210000</v>
      </c>
      <c r="N53" s="614"/>
      <c r="O53" s="1566">
        <f t="shared" si="19"/>
        <v>9210000</v>
      </c>
      <c r="P53" s="1567"/>
      <c r="Q53" s="1494"/>
      <c r="R53" s="1495"/>
      <c r="S53" s="212"/>
      <c r="T53" s="562"/>
      <c r="U53"/>
      <c r="V53"/>
      <c r="W53"/>
      <c r="X53"/>
      <c r="Y53"/>
      <c r="Z53"/>
      <c r="AA53"/>
      <c r="AB53"/>
    </row>
    <row r="54" spans="2:28" s="84" customFormat="1" ht="17.25" thickBot="1" x14ac:dyDescent="0.35">
      <c r="B54" s="213"/>
      <c r="C54" s="214"/>
      <c r="D54" s="215"/>
      <c r="E54" s="216"/>
      <c r="F54" s="229"/>
      <c r="G54" s="224"/>
      <c r="H54" s="224"/>
      <c r="I54" s="224"/>
      <c r="J54" s="373"/>
      <c r="K54" s="225"/>
      <c r="L54" s="225"/>
      <c r="M54" s="226"/>
      <c r="N54" s="162"/>
      <c r="O54" s="1365">
        <f t="shared" ref="O54" si="20">L54</f>
        <v>0</v>
      </c>
      <c r="P54" s="1366"/>
      <c r="Q54" s="1453"/>
      <c r="R54" s="1454"/>
      <c r="S54" s="217"/>
      <c r="T54" s="562"/>
      <c r="U54"/>
      <c r="V54"/>
      <c r="W54"/>
      <c r="X54"/>
      <c r="Y54"/>
      <c r="Z54"/>
      <c r="AA54"/>
      <c r="AB54"/>
    </row>
    <row r="55" spans="2:28" s="84" customFormat="1" ht="17.25" thickBot="1" x14ac:dyDescent="0.35">
      <c r="B55" s="122" t="s">
        <v>2</v>
      </c>
      <c r="C55" s="116"/>
      <c r="D55" s="116"/>
      <c r="E55" s="117"/>
      <c r="F55" s="218" t="s">
        <v>243</v>
      </c>
      <c r="G55" s="219"/>
      <c r="H55" s="219"/>
      <c r="I55" s="219"/>
      <c r="J55" s="219"/>
      <c r="K55" s="220"/>
      <c r="L55" s="220"/>
      <c r="M55" s="221"/>
      <c r="N55" s="135"/>
      <c r="O55" s="1447"/>
      <c r="P55" s="1448"/>
      <c r="Q55" s="1447"/>
      <c r="R55" s="1448"/>
      <c r="S55" s="115"/>
      <c r="T55" s="562"/>
      <c r="U55"/>
      <c r="V55"/>
      <c r="W55"/>
      <c r="X55"/>
      <c r="Y55"/>
      <c r="Z55"/>
      <c r="AA55"/>
      <c r="AB55"/>
    </row>
    <row r="56" spans="2:28" s="84" customFormat="1" x14ac:dyDescent="0.3">
      <c r="B56" s="64"/>
      <c r="C56" s="65" t="s">
        <v>2</v>
      </c>
      <c r="D56" s="65"/>
      <c r="E56" s="66"/>
      <c r="F56" s="88" t="s">
        <v>7</v>
      </c>
      <c r="G56" s="85"/>
      <c r="H56" s="223" t="s">
        <v>130</v>
      </c>
      <c r="I56" s="223" t="s">
        <v>131</v>
      </c>
      <c r="J56" s="80">
        <v>5</v>
      </c>
      <c r="K56" s="55">
        <v>307000</v>
      </c>
      <c r="L56" s="55">
        <v>307000</v>
      </c>
      <c r="M56" s="112">
        <f>K56*J56</f>
        <v>1535000</v>
      </c>
      <c r="N56" s="137"/>
      <c r="O56" s="1365">
        <f t="shared" ref="O56:O62" si="21">L56*J56</f>
        <v>1535000</v>
      </c>
      <c r="P56" s="1366"/>
      <c r="Q56" s="1359" t="s">
        <v>62</v>
      </c>
      <c r="R56" s="1360"/>
      <c r="S56" s="94"/>
      <c r="T56" s="562"/>
      <c r="U56"/>
      <c r="V56"/>
      <c r="W56"/>
      <c r="X56"/>
      <c r="Y56"/>
      <c r="Z56"/>
      <c r="AA56"/>
      <c r="AB56"/>
    </row>
    <row r="57" spans="2:28" s="84" customFormat="1" x14ac:dyDescent="0.3">
      <c r="B57" s="62"/>
      <c r="C57" s="63" t="s">
        <v>2</v>
      </c>
      <c r="D57" s="63"/>
      <c r="E57" s="61"/>
      <c r="F57" s="89" t="s">
        <v>11</v>
      </c>
      <c r="G57" s="86"/>
      <c r="H57" s="223" t="s">
        <v>130</v>
      </c>
      <c r="I57" s="223" t="s">
        <v>131</v>
      </c>
      <c r="J57" s="56">
        <v>3</v>
      </c>
      <c r="K57" s="55">
        <v>307000</v>
      </c>
      <c r="L57" s="55">
        <v>307000</v>
      </c>
      <c r="M57" s="113">
        <f t="shared" ref="M57:M62" si="22">K57*J57</f>
        <v>921000</v>
      </c>
      <c r="N57" s="138"/>
      <c r="O57" s="1365">
        <f t="shared" si="21"/>
        <v>921000</v>
      </c>
      <c r="P57" s="1366"/>
      <c r="Q57" s="1361"/>
      <c r="R57" s="1362"/>
      <c r="S57" s="95"/>
      <c r="T57" s="562"/>
      <c r="U57"/>
      <c r="V57"/>
      <c r="W57"/>
      <c r="X57"/>
      <c r="Y57"/>
      <c r="Z57"/>
      <c r="AA57"/>
      <c r="AB57"/>
    </row>
    <row r="58" spans="2:28" s="84" customFormat="1" x14ac:dyDescent="0.3">
      <c r="B58" s="62"/>
      <c r="C58" s="63" t="s">
        <v>2</v>
      </c>
      <c r="D58" s="63"/>
      <c r="E58" s="61"/>
      <c r="F58" s="89" t="s">
        <v>41</v>
      </c>
      <c r="G58" s="86"/>
      <c r="H58" s="223" t="s">
        <v>130</v>
      </c>
      <c r="I58" s="223" t="s">
        <v>131</v>
      </c>
      <c r="J58" s="56">
        <v>5</v>
      </c>
      <c r="K58" s="55">
        <v>307000</v>
      </c>
      <c r="L58" s="55">
        <v>307000</v>
      </c>
      <c r="M58" s="113">
        <f t="shared" si="22"/>
        <v>1535000</v>
      </c>
      <c r="N58" s="138"/>
      <c r="O58" s="1365">
        <f t="shared" si="21"/>
        <v>1535000</v>
      </c>
      <c r="P58" s="1366"/>
      <c r="Q58" s="1361"/>
      <c r="R58" s="1362"/>
      <c r="S58" s="95"/>
      <c r="T58" s="562"/>
      <c r="U58"/>
      <c r="V58"/>
      <c r="W58"/>
      <c r="X58"/>
      <c r="Y58"/>
      <c r="Z58"/>
      <c r="AA58"/>
      <c r="AB58"/>
    </row>
    <row r="59" spans="2:28" x14ac:dyDescent="0.3">
      <c r="B59" s="62"/>
      <c r="C59" s="63" t="s">
        <v>2</v>
      </c>
      <c r="D59" s="63"/>
      <c r="E59" s="61"/>
      <c r="F59" s="89" t="s">
        <v>10</v>
      </c>
      <c r="G59" s="86"/>
      <c r="H59" s="223" t="s">
        <v>130</v>
      </c>
      <c r="I59" s="223" t="s">
        <v>131</v>
      </c>
      <c r="J59" s="56">
        <v>3</v>
      </c>
      <c r="K59" s="55">
        <v>307000</v>
      </c>
      <c r="L59" s="55">
        <v>307000</v>
      </c>
      <c r="M59" s="113">
        <f t="shared" si="22"/>
        <v>921000</v>
      </c>
      <c r="N59" s="138"/>
      <c r="O59" s="1365">
        <f t="shared" si="21"/>
        <v>921000</v>
      </c>
      <c r="P59" s="1366"/>
      <c r="Q59" s="1361"/>
      <c r="R59" s="1362"/>
      <c r="S59" s="95"/>
      <c r="T59" s="564"/>
      <c r="U59" s="103"/>
      <c r="V59" s="103"/>
      <c r="W59" s="103"/>
      <c r="X59" s="103"/>
      <c r="Y59" s="103"/>
      <c r="Z59" s="103"/>
      <c r="AA59" s="103"/>
      <c r="AB59" s="103"/>
    </row>
    <row r="60" spans="2:28" x14ac:dyDescent="0.3">
      <c r="B60" s="62"/>
      <c r="C60" s="63" t="s">
        <v>2</v>
      </c>
      <c r="D60" s="63"/>
      <c r="E60" s="61"/>
      <c r="F60" s="89" t="s">
        <v>61</v>
      </c>
      <c r="G60" s="86"/>
      <c r="H60" s="223" t="s">
        <v>130</v>
      </c>
      <c r="I60" s="223" t="s">
        <v>131</v>
      </c>
      <c r="J60" s="56">
        <v>2</v>
      </c>
      <c r="K60" s="55">
        <v>307000</v>
      </c>
      <c r="L60" s="55">
        <v>307000</v>
      </c>
      <c r="M60" s="113">
        <f t="shared" si="22"/>
        <v>614000</v>
      </c>
      <c r="N60" s="138"/>
      <c r="O60" s="1365">
        <f t="shared" si="21"/>
        <v>614000</v>
      </c>
      <c r="P60" s="1366"/>
      <c r="Q60" s="1361"/>
      <c r="R60" s="1362"/>
      <c r="S60" s="95"/>
    </row>
    <row r="61" spans="2:28" x14ac:dyDescent="0.3">
      <c r="B61" s="67"/>
      <c r="C61" s="63" t="s">
        <v>2</v>
      </c>
      <c r="D61" s="68"/>
      <c r="E61" s="69"/>
      <c r="F61" s="90" t="s">
        <v>9</v>
      </c>
      <c r="G61" s="86"/>
      <c r="H61" s="223" t="s">
        <v>130</v>
      </c>
      <c r="I61" s="223" t="s">
        <v>131</v>
      </c>
      <c r="J61" s="56">
        <v>5</v>
      </c>
      <c r="K61" s="55">
        <v>307000</v>
      </c>
      <c r="L61" s="55">
        <v>307000</v>
      </c>
      <c r="M61" s="113">
        <f t="shared" si="22"/>
        <v>1535000</v>
      </c>
      <c r="N61" s="138"/>
      <c r="O61" s="1365">
        <f t="shared" si="21"/>
        <v>1535000</v>
      </c>
      <c r="P61" s="1366"/>
      <c r="Q61" s="1361"/>
      <c r="R61" s="1362"/>
      <c r="S61" s="95"/>
    </row>
    <row r="62" spans="2:28" ht="17.25" thickBot="1" x14ac:dyDescent="0.35">
      <c r="B62" s="57"/>
      <c r="C62" s="58" t="s">
        <v>2</v>
      </c>
      <c r="D62" s="58"/>
      <c r="E62" s="60"/>
      <c r="F62" s="91" t="s">
        <v>8</v>
      </c>
      <c r="G62" s="87"/>
      <c r="H62" s="223" t="s">
        <v>130</v>
      </c>
      <c r="I62" s="223" t="s">
        <v>131</v>
      </c>
      <c r="J62" s="59">
        <v>2</v>
      </c>
      <c r="K62" s="55">
        <v>307000</v>
      </c>
      <c r="L62" s="55">
        <v>307000</v>
      </c>
      <c r="M62" s="114">
        <f t="shared" si="22"/>
        <v>614000</v>
      </c>
      <c r="N62" s="139"/>
      <c r="O62" s="1365">
        <f t="shared" si="21"/>
        <v>614000</v>
      </c>
      <c r="P62" s="1366"/>
      <c r="Q62" s="1363"/>
      <c r="R62" s="1364"/>
      <c r="S62" s="96"/>
    </row>
    <row r="63" spans="2:28" ht="18" thickBot="1" x14ac:dyDescent="0.35">
      <c r="B63" s="1345" t="s">
        <v>46</v>
      </c>
      <c r="C63" s="1346"/>
      <c r="D63" s="1346"/>
      <c r="E63" s="1346"/>
      <c r="F63" s="1346"/>
      <c r="G63" s="1346"/>
      <c r="H63" s="1346"/>
      <c r="I63" s="1346"/>
      <c r="J63" s="1346"/>
      <c r="K63" s="1346"/>
      <c r="L63" s="1347"/>
      <c r="M63" s="124">
        <f>SUM(M51:M62)</f>
        <v>19955000</v>
      </c>
      <c r="N63" s="140"/>
      <c r="O63" s="1348">
        <f>SUM(O51:P62)</f>
        <v>19955000</v>
      </c>
      <c r="P63" s="1349"/>
      <c r="Q63" s="1350"/>
      <c r="R63" s="1350"/>
      <c r="S63" s="1351"/>
    </row>
    <row r="64" spans="2:28" ht="20.25" thickBot="1" x14ac:dyDescent="0.35">
      <c r="B64" s="1352" t="s">
        <v>52</v>
      </c>
      <c r="C64" s="1353"/>
      <c r="D64" s="1353"/>
      <c r="E64" s="1353"/>
      <c r="F64" s="1353"/>
      <c r="G64" s="1353"/>
      <c r="H64" s="1353"/>
      <c r="I64" s="1353"/>
      <c r="J64" s="1353"/>
      <c r="K64" s="1353"/>
      <c r="L64" s="1353"/>
      <c r="M64" s="125"/>
      <c r="N64" s="134">
        <v>0.03</v>
      </c>
      <c r="O64" s="1354">
        <f>ROUNDDOWN(O50*N64,-3)</f>
        <v>3421000</v>
      </c>
      <c r="P64" s="1355"/>
      <c r="Q64" s="1356"/>
      <c r="R64" s="1357"/>
      <c r="S64" s="1358"/>
    </row>
    <row r="65" spans="2:28" ht="20.25" thickBot="1" x14ac:dyDescent="0.35">
      <c r="B65" s="1352" t="s">
        <v>54</v>
      </c>
      <c r="C65" s="1353"/>
      <c r="D65" s="1353"/>
      <c r="E65" s="1353"/>
      <c r="F65" s="1353"/>
      <c r="G65" s="1353"/>
      <c r="H65" s="1353"/>
      <c r="I65" s="1353"/>
      <c r="J65" s="1353"/>
      <c r="K65" s="1353"/>
      <c r="L65" s="1353"/>
      <c r="M65" s="127"/>
      <c r="N65" s="128"/>
      <c r="O65" s="1354">
        <f>SUM(O64,O63,O50)</f>
        <v>137427000</v>
      </c>
      <c r="P65" s="1355"/>
      <c r="Q65" s="1374"/>
      <c r="R65" s="1375"/>
      <c r="S65" s="1376"/>
    </row>
    <row r="66" spans="2:28" ht="20.25" thickBot="1" x14ac:dyDescent="0.35">
      <c r="B66" s="1352" t="s">
        <v>51</v>
      </c>
      <c r="C66" s="1353"/>
      <c r="D66" s="1353"/>
      <c r="E66" s="1353"/>
      <c r="F66" s="1353"/>
      <c r="G66" s="1353"/>
      <c r="H66" s="1353"/>
      <c r="I66" s="1353"/>
      <c r="J66" s="1353"/>
      <c r="K66" s="1353"/>
      <c r="L66" s="1353"/>
      <c r="M66" s="129"/>
      <c r="N66" s="126">
        <v>0.1</v>
      </c>
      <c r="O66" s="1381">
        <f>ROUNDDOWN(O65*N66,-3)</f>
        <v>13742000</v>
      </c>
      <c r="P66" s="1382"/>
      <c r="Q66" s="1383"/>
      <c r="R66" s="1384"/>
      <c r="S66" s="1385"/>
    </row>
    <row r="67" spans="2:28" ht="21" thickBot="1" x14ac:dyDescent="0.35">
      <c r="B67" s="1367" t="s">
        <v>44</v>
      </c>
      <c r="C67" s="1368"/>
      <c r="D67" s="1368"/>
      <c r="E67" s="1368"/>
      <c r="F67" s="1368"/>
      <c r="G67" s="1368"/>
      <c r="H67" s="1368"/>
      <c r="I67" s="1368"/>
      <c r="J67" s="1368"/>
      <c r="K67" s="1368"/>
      <c r="L67" s="1368"/>
      <c r="M67" s="92"/>
      <c r="N67" s="111"/>
      <c r="O67" s="1369">
        <f>ROUNDDOWN(SUM(O65:P66), -6)</f>
        <v>151000000</v>
      </c>
      <c r="P67" s="1370"/>
      <c r="Q67" s="1371"/>
      <c r="R67" s="1372"/>
      <c r="S67" s="1373"/>
      <c r="T67" s="565"/>
      <c r="U67" s="3"/>
      <c r="V67" s="3"/>
      <c r="W67" s="3"/>
      <c r="X67" s="3"/>
      <c r="Y67" s="3"/>
      <c r="Z67" s="3"/>
      <c r="AA67" s="3"/>
      <c r="AB67" s="3"/>
    </row>
    <row r="68" spans="2:28" ht="21" thickBot="1" x14ac:dyDescent="0.35">
      <c r="B68" s="104"/>
      <c r="C68" s="104"/>
      <c r="D68" s="104"/>
      <c r="E68" s="104"/>
      <c r="F68" s="105"/>
      <c r="G68" s="105"/>
      <c r="H68" s="105"/>
      <c r="I68" s="105"/>
      <c r="J68" s="105"/>
      <c r="K68" s="105"/>
      <c r="L68" s="105"/>
      <c r="M68" s="106"/>
      <c r="N68" s="107"/>
      <c r="O68" s="107"/>
      <c r="P68" s="107"/>
      <c r="Q68" s="108"/>
      <c r="R68" s="108"/>
      <c r="S68" s="108"/>
      <c r="T68" s="565"/>
      <c r="U68" s="3"/>
      <c r="V68" s="3"/>
      <c r="W68" s="3"/>
      <c r="X68" s="3"/>
      <c r="Y68" s="3"/>
      <c r="Z68" s="3"/>
      <c r="AA68" s="3"/>
      <c r="AB68" s="3"/>
    </row>
    <row r="69" spans="2:28" ht="18" thickBot="1" x14ac:dyDescent="0.35">
      <c r="B69" s="1374" t="s">
        <v>50</v>
      </c>
      <c r="C69" s="1375"/>
      <c r="D69" s="1375"/>
      <c r="E69" s="1376"/>
      <c r="F69" s="109"/>
      <c r="G69" s="109"/>
      <c r="H69" s="109"/>
      <c r="I69" s="109"/>
      <c r="J69" s="109"/>
      <c r="K69" s="110"/>
      <c r="L69" s="110"/>
      <c r="M69" s="110"/>
      <c r="N69" s="77" t="s">
        <v>14</v>
      </c>
      <c r="O69" s="1377" t="s">
        <v>15</v>
      </c>
      <c r="P69" s="1378"/>
      <c r="Q69" s="1379" t="s">
        <v>17</v>
      </c>
      <c r="R69" s="1380"/>
      <c r="S69" s="166" t="s">
        <v>16</v>
      </c>
      <c r="T69" s="565"/>
      <c r="U69" s="3"/>
      <c r="V69" s="3"/>
      <c r="W69" s="3"/>
      <c r="X69" s="3"/>
      <c r="Y69" s="3"/>
      <c r="Z69" s="3"/>
      <c r="AA69" s="3"/>
      <c r="AB69" s="3"/>
    </row>
    <row r="70" spans="2:28" x14ac:dyDescent="0.3">
      <c r="B70" s="102">
        <v>1</v>
      </c>
      <c r="C70" s="1400"/>
      <c r="D70" s="1401"/>
      <c r="E70" s="1401"/>
      <c r="F70" s="1401"/>
      <c r="G70" s="1401"/>
      <c r="H70" s="1401"/>
      <c r="I70" s="1401"/>
      <c r="J70" s="1402"/>
      <c r="N70" s="11">
        <v>0</v>
      </c>
      <c r="O70" s="1403">
        <f>$O$67/(1+N70)</f>
        <v>151000000</v>
      </c>
      <c r="P70" s="1404"/>
      <c r="Q70" s="1405">
        <f>O70-$M$50</f>
        <v>70536037.478</v>
      </c>
      <c r="R70" s="1406"/>
      <c r="S70" s="160">
        <f>Q70/O70</f>
        <v>0.46712607601324502</v>
      </c>
      <c r="T70" s="565"/>
      <c r="U70" s="3"/>
      <c r="V70" s="3"/>
      <c r="W70" s="3"/>
      <c r="X70" s="3"/>
      <c r="Y70" s="3"/>
      <c r="Z70" s="3"/>
      <c r="AA70" s="3"/>
      <c r="AB70" s="3"/>
    </row>
    <row r="71" spans="2:28" x14ac:dyDescent="0.3">
      <c r="B71" s="100">
        <v>2</v>
      </c>
      <c r="C71" s="1458"/>
      <c r="D71" s="1456"/>
      <c r="E71" s="1456"/>
      <c r="F71" s="1456"/>
      <c r="G71" s="1456"/>
      <c r="H71" s="1456"/>
      <c r="I71" s="1456"/>
      <c r="J71" s="1457"/>
      <c r="N71" s="9">
        <v>0.1</v>
      </c>
      <c r="O71" s="1389">
        <f>$O$67/(1+N71)</f>
        <v>137272727.27272725</v>
      </c>
      <c r="P71" s="1390"/>
      <c r="Q71" s="1391">
        <f t="shared" ref="Q71:Q74" si="23">O71-$M$50</f>
        <v>56808764.750727251</v>
      </c>
      <c r="R71" s="1392"/>
      <c r="S71" s="161">
        <f t="shared" ref="S71:S74" si="24">Q71/O71</f>
        <v>0.41383868361456944</v>
      </c>
      <c r="T71" s="565"/>
      <c r="U71" s="3"/>
      <c r="V71" s="3"/>
      <c r="W71" s="3"/>
      <c r="X71" s="3"/>
      <c r="Y71" s="3"/>
      <c r="Z71" s="3"/>
      <c r="AA71" s="3"/>
      <c r="AB71" s="3"/>
    </row>
    <row r="72" spans="2:28" x14ac:dyDescent="0.3">
      <c r="B72" s="100">
        <v>3</v>
      </c>
      <c r="C72" s="1455"/>
      <c r="D72" s="1456"/>
      <c r="E72" s="1456"/>
      <c r="F72" s="1456"/>
      <c r="G72" s="1456"/>
      <c r="H72" s="1456"/>
      <c r="I72" s="1456"/>
      <c r="J72" s="1457"/>
      <c r="N72" s="10">
        <v>0.15</v>
      </c>
      <c r="O72" s="1389">
        <f t="shared" ref="O72:O73" si="25">$O$67/(1+N72)</f>
        <v>131304347.82608697</v>
      </c>
      <c r="P72" s="1390"/>
      <c r="Q72" s="1391">
        <f t="shared" si="23"/>
        <v>50840385.304086968</v>
      </c>
      <c r="R72" s="1392"/>
      <c r="S72" s="161">
        <f t="shared" si="24"/>
        <v>0.38719498741523184</v>
      </c>
    </row>
    <row r="73" spans="2:28" ht="18" customHeight="1" x14ac:dyDescent="0.3">
      <c r="B73" s="100">
        <v>4</v>
      </c>
      <c r="C73" s="1455"/>
      <c r="D73" s="1456"/>
      <c r="E73" s="1456"/>
      <c r="F73" s="1456"/>
      <c r="G73" s="1456"/>
      <c r="H73" s="1456"/>
      <c r="I73" s="1456"/>
      <c r="J73" s="1457"/>
      <c r="N73" s="10">
        <v>0.2</v>
      </c>
      <c r="O73" s="1389">
        <f t="shared" si="25"/>
        <v>125833333.33333334</v>
      </c>
      <c r="P73" s="1390"/>
      <c r="Q73" s="1391">
        <f t="shared" si="23"/>
        <v>45369370.811333343</v>
      </c>
      <c r="R73" s="1392"/>
      <c r="S73" s="161">
        <f t="shared" si="24"/>
        <v>0.36055129121589408</v>
      </c>
    </row>
    <row r="74" spans="2:28" ht="18" customHeight="1" thickBot="1" x14ac:dyDescent="0.35">
      <c r="B74" s="100">
        <v>5</v>
      </c>
      <c r="C74" s="1393"/>
      <c r="D74" s="1394"/>
      <c r="E74" s="1394"/>
      <c r="F74" s="1394"/>
      <c r="G74" s="1394"/>
      <c r="H74" s="1394"/>
      <c r="I74" s="1394"/>
      <c r="J74" s="1395"/>
      <c r="N74" s="12" t="s">
        <v>45</v>
      </c>
      <c r="O74" s="1396">
        <v>0</v>
      </c>
      <c r="P74" s="1397"/>
      <c r="Q74" s="1398">
        <f t="shared" si="23"/>
        <v>-80463962.522</v>
      </c>
      <c r="R74" s="1399"/>
      <c r="S74" s="99" t="e">
        <f t="shared" si="24"/>
        <v>#DIV/0!</v>
      </c>
    </row>
    <row r="75" spans="2:28" ht="18" customHeight="1" thickBot="1" x14ac:dyDescent="0.35">
      <c r="B75" s="100">
        <v>6</v>
      </c>
      <c r="C75" s="1393"/>
      <c r="D75" s="1394"/>
      <c r="E75" s="1394"/>
      <c r="F75" s="1394"/>
      <c r="G75" s="1394"/>
      <c r="H75" s="1394"/>
      <c r="I75" s="1394"/>
      <c r="J75" s="1395"/>
    </row>
    <row r="76" spans="2:28" s="103" customFormat="1" ht="18" customHeight="1" thickBot="1" x14ac:dyDescent="0.35">
      <c r="B76" s="100">
        <v>7</v>
      </c>
      <c r="C76" s="552"/>
      <c r="D76" s="553"/>
      <c r="E76" s="553"/>
      <c r="F76" s="553"/>
      <c r="G76" s="553"/>
      <c r="H76" s="553"/>
      <c r="I76" s="553"/>
      <c r="J76" s="554"/>
      <c r="K76" s="1"/>
      <c r="L76" s="1"/>
      <c r="M76" s="1"/>
      <c r="N76" s="1410" t="s">
        <v>47</v>
      </c>
      <c r="O76" s="1411"/>
      <c r="P76" s="1412" t="s">
        <v>48</v>
      </c>
      <c r="Q76" s="1413"/>
      <c r="R76" s="1414" t="s">
        <v>49</v>
      </c>
      <c r="S76" s="1415"/>
      <c r="T76" s="562"/>
      <c r="U76"/>
      <c r="V76"/>
      <c r="W76"/>
      <c r="X76"/>
      <c r="Y76"/>
      <c r="Z76"/>
      <c r="AA76"/>
      <c r="AB76"/>
    </row>
    <row r="77" spans="2:28" ht="18" customHeight="1" x14ac:dyDescent="0.3">
      <c r="B77" s="100">
        <v>8</v>
      </c>
      <c r="C77" s="1393"/>
      <c r="D77" s="1394"/>
      <c r="E77" s="1394"/>
      <c r="F77" s="1394"/>
      <c r="G77" s="1394"/>
      <c r="H77" s="1394"/>
      <c r="I77" s="1394"/>
      <c r="J77" s="1395"/>
      <c r="N77" s="1416"/>
      <c r="O77" s="1417"/>
      <c r="P77" s="1422"/>
      <c r="Q77" s="1423"/>
      <c r="R77" s="1428"/>
      <c r="S77" s="1429"/>
    </row>
    <row r="78" spans="2:28" ht="18" customHeight="1" x14ac:dyDescent="0.3">
      <c r="B78" s="100"/>
      <c r="C78" s="1434"/>
      <c r="D78" s="1435"/>
      <c r="E78" s="1435"/>
      <c r="F78" s="1435"/>
      <c r="G78" s="1435"/>
      <c r="H78" s="1435"/>
      <c r="I78" s="1435"/>
      <c r="J78" s="1436"/>
      <c r="N78" s="1418"/>
      <c r="O78" s="1419"/>
      <c r="P78" s="1424"/>
      <c r="Q78" s="1425"/>
      <c r="R78" s="1430"/>
      <c r="S78" s="1431"/>
    </row>
    <row r="79" spans="2:28" ht="18" customHeight="1" x14ac:dyDescent="0.3">
      <c r="B79" s="100"/>
      <c r="C79" s="1434"/>
      <c r="D79" s="1435"/>
      <c r="E79" s="1435"/>
      <c r="F79" s="1435"/>
      <c r="G79" s="1435"/>
      <c r="H79" s="1435"/>
      <c r="I79" s="1435"/>
      <c r="J79" s="1436"/>
      <c r="N79" s="1418"/>
      <c r="O79" s="1419"/>
      <c r="P79" s="1424"/>
      <c r="Q79" s="1425"/>
      <c r="R79" s="1430"/>
      <c r="S79" s="1431"/>
    </row>
    <row r="80" spans="2:28" ht="18" customHeight="1" thickBot="1" x14ac:dyDescent="0.35">
      <c r="B80" s="101"/>
      <c r="C80" s="1407"/>
      <c r="D80" s="1408"/>
      <c r="E80" s="1408"/>
      <c r="F80" s="1408"/>
      <c r="G80" s="1408"/>
      <c r="H80" s="1408"/>
      <c r="I80" s="1408"/>
      <c r="J80" s="1409"/>
      <c r="N80" s="1420"/>
      <c r="O80" s="1421"/>
      <c r="P80" s="1426"/>
      <c r="Q80" s="1427"/>
      <c r="R80" s="1432"/>
      <c r="S80" s="1433"/>
    </row>
    <row r="81" spans="1:28" ht="18" customHeight="1" x14ac:dyDescent="0.3"/>
    <row r="82" spans="1:28" ht="18" customHeight="1" x14ac:dyDescent="0.3"/>
    <row r="83" spans="1:28" ht="18" customHeight="1" x14ac:dyDescent="0.3"/>
    <row r="84" spans="1:28" s="3" customFormat="1" x14ac:dyDescent="0.3">
      <c r="A84"/>
      <c r="B84" s="2"/>
      <c r="C84" s="2"/>
      <c r="D84" s="2"/>
      <c r="E84" s="2"/>
      <c r="K84" s="1"/>
      <c r="L84" s="1"/>
      <c r="M84" s="1"/>
      <c r="N84" s="5"/>
      <c r="O84" s="1"/>
      <c r="P84" s="1"/>
      <c r="Q84"/>
      <c r="R84"/>
      <c r="S84" s="93"/>
      <c r="T84" s="562"/>
      <c r="U84"/>
      <c r="V84"/>
      <c r="W84"/>
      <c r="X84"/>
      <c r="Y84"/>
      <c r="Z84"/>
      <c r="AA84"/>
      <c r="AB84"/>
    </row>
    <row r="85" spans="1:28" s="3" customFormat="1" x14ac:dyDescent="0.3">
      <c r="A85"/>
      <c r="B85" s="2"/>
      <c r="C85" s="2"/>
      <c r="D85" s="2"/>
      <c r="E85" s="2"/>
      <c r="K85" s="1"/>
      <c r="L85" s="1"/>
      <c r="M85" s="1"/>
      <c r="N85" s="5"/>
      <c r="O85" s="1"/>
      <c r="P85" s="1"/>
      <c r="Q85"/>
      <c r="R85"/>
      <c r="S85" s="93"/>
      <c r="T85" s="562"/>
      <c r="U85"/>
      <c r="V85"/>
      <c r="W85"/>
      <c r="X85"/>
      <c r="Y85"/>
      <c r="Z85"/>
      <c r="AA85"/>
      <c r="AB85"/>
    </row>
    <row r="86" spans="1:28" s="3" customFormat="1" x14ac:dyDescent="0.3">
      <c r="A86"/>
      <c r="B86" s="2"/>
      <c r="C86" s="2"/>
      <c r="D86" s="2"/>
      <c r="E86" s="2"/>
      <c r="K86" s="1"/>
      <c r="L86" s="1"/>
      <c r="M86" s="1"/>
      <c r="N86" s="5"/>
      <c r="O86" s="1"/>
      <c r="P86" s="1"/>
      <c r="Q86"/>
      <c r="R86"/>
      <c r="S86" s="93"/>
      <c r="T86" s="562"/>
      <c r="U86"/>
      <c r="V86"/>
      <c r="W86"/>
      <c r="X86"/>
      <c r="Y86"/>
      <c r="Z86"/>
      <c r="AA86"/>
      <c r="AB86"/>
    </row>
    <row r="87" spans="1:28" s="3" customFormat="1" x14ac:dyDescent="0.3">
      <c r="A87"/>
      <c r="B87" s="2"/>
      <c r="C87" s="2"/>
      <c r="D87" s="2"/>
      <c r="E87" s="2"/>
      <c r="K87" s="1"/>
      <c r="L87" s="1"/>
      <c r="M87" s="1"/>
      <c r="N87" s="5"/>
      <c r="O87" s="1"/>
      <c r="P87" s="1"/>
      <c r="Q87"/>
      <c r="R87"/>
      <c r="S87" s="93"/>
      <c r="T87" s="562"/>
      <c r="U87"/>
      <c r="V87"/>
      <c r="W87"/>
      <c r="X87"/>
      <c r="Y87"/>
      <c r="Z87"/>
      <c r="AA87"/>
      <c r="AB87"/>
    </row>
    <row r="88" spans="1:28" s="3" customFormat="1" x14ac:dyDescent="0.3">
      <c r="A88"/>
      <c r="B88" s="2"/>
      <c r="C88" s="2"/>
      <c r="D88" s="2"/>
      <c r="E88" s="2"/>
      <c r="K88" s="1"/>
      <c r="L88" s="1"/>
      <c r="M88" s="1"/>
      <c r="N88" s="5"/>
      <c r="O88" s="1"/>
      <c r="P88" s="1"/>
      <c r="Q88"/>
      <c r="R88"/>
      <c r="S88" s="93"/>
      <c r="T88" s="562"/>
      <c r="U88"/>
      <c r="V88"/>
      <c r="W88"/>
      <c r="X88"/>
      <c r="Y88"/>
      <c r="Z88"/>
      <c r="AA88"/>
      <c r="AB88"/>
    </row>
  </sheetData>
  <mergeCells count="133">
    <mergeCell ref="O41:P41"/>
    <mergeCell ref="O42:P42"/>
    <mergeCell ref="C77:J77"/>
    <mergeCell ref="N77:O80"/>
    <mergeCell ref="P77:Q80"/>
    <mergeCell ref="R77:S80"/>
    <mergeCell ref="C78:J78"/>
    <mergeCell ref="C79:J79"/>
    <mergeCell ref="C80:J80"/>
    <mergeCell ref="C74:J74"/>
    <mergeCell ref="O74:P74"/>
    <mergeCell ref="Q74:R74"/>
    <mergeCell ref="C75:J75"/>
    <mergeCell ref="N76:O76"/>
    <mergeCell ref="P76:Q76"/>
    <mergeCell ref="R76:S76"/>
    <mergeCell ref="C72:J72"/>
    <mergeCell ref="O72:P72"/>
    <mergeCell ref="Q72:R72"/>
    <mergeCell ref="C73:J73"/>
    <mergeCell ref="O73:P73"/>
    <mergeCell ref="Q73:R73"/>
    <mergeCell ref="C70:J70"/>
    <mergeCell ref="O70:P70"/>
    <mergeCell ref="Q70:R70"/>
    <mergeCell ref="C71:J71"/>
    <mergeCell ref="O71:P71"/>
    <mergeCell ref="Q71:R71"/>
    <mergeCell ref="B67:L67"/>
    <mergeCell ref="O67:P67"/>
    <mergeCell ref="Q67:S67"/>
    <mergeCell ref="B69:E69"/>
    <mergeCell ref="O69:P69"/>
    <mergeCell ref="Q69:R69"/>
    <mergeCell ref="B65:L65"/>
    <mergeCell ref="O65:P65"/>
    <mergeCell ref="Q65:S65"/>
    <mergeCell ref="B66:L66"/>
    <mergeCell ref="O66:P66"/>
    <mergeCell ref="Q66:S66"/>
    <mergeCell ref="B63:L63"/>
    <mergeCell ref="O63:P63"/>
    <mergeCell ref="Q63:S63"/>
    <mergeCell ref="B64:L64"/>
    <mergeCell ref="O64:P64"/>
    <mergeCell ref="Q64:S64"/>
    <mergeCell ref="O55:P55"/>
    <mergeCell ref="Q55:R55"/>
    <mergeCell ref="O56:P56"/>
    <mergeCell ref="Q56:R62"/>
    <mergeCell ref="O57:P57"/>
    <mergeCell ref="O58:P58"/>
    <mergeCell ref="O59:P59"/>
    <mergeCell ref="O60:P60"/>
    <mergeCell ref="O61:P61"/>
    <mergeCell ref="O62:P62"/>
    <mergeCell ref="O52:P52"/>
    <mergeCell ref="Q52:R52"/>
    <mergeCell ref="O53:P53"/>
    <mergeCell ref="Q53:R53"/>
    <mergeCell ref="O54:P54"/>
    <mergeCell ref="Q54:R54"/>
    <mergeCell ref="O48:P48"/>
    <mergeCell ref="B50:L50"/>
    <mergeCell ref="O50:P50"/>
    <mergeCell ref="Q50:R50"/>
    <mergeCell ref="O51:P51"/>
    <mergeCell ref="Q51:R51"/>
    <mergeCell ref="O45:P45"/>
    <mergeCell ref="Q45:R45"/>
    <mergeCell ref="O46:P46"/>
    <mergeCell ref="Q46:R46"/>
    <mergeCell ref="O47:P47"/>
    <mergeCell ref="Q47:R47"/>
    <mergeCell ref="O43:P43"/>
    <mergeCell ref="Q43:R43"/>
    <mergeCell ref="O44:P44"/>
    <mergeCell ref="Q44:R44"/>
    <mergeCell ref="O37:P37"/>
    <mergeCell ref="Q37:R37"/>
    <mergeCell ref="O38:P38"/>
    <mergeCell ref="Q38:R38"/>
    <mergeCell ref="O39:P39"/>
    <mergeCell ref="O40:P40"/>
    <mergeCell ref="O33:P33"/>
    <mergeCell ref="Q33:R33"/>
    <mergeCell ref="O34:P34"/>
    <mergeCell ref="O35:P35"/>
    <mergeCell ref="Q35:R35"/>
    <mergeCell ref="O36:P36"/>
    <mergeCell ref="O29:P29"/>
    <mergeCell ref="Q29:R29"/>
    <mergeCell ref="O30:P30"/>
    <mergeCell ref="Q30:R30"/>
    <mergeCell ref="O32:P32"/>
    <mergeCell ref="Q32:R32"/>
    <mergeCell ref="Q25:R25"/>
    <mergeCell ref="O26:P26"/>
    <mergeCell ref="Q26:R26"/>
    <mergeCell ref="O27:P27"/>
    <mergeCell ref="Q27:R27"/>
    <mergeCell ref="O28:P28"/>
    <mergeCell ref="Q28:R28"/>
    <mergeCell ref="Q18:R19"/>
    <mergeCell ref="O20:P20"/>
    <mergeCell ref="Q20:R21"/>
    <mergeCell ref="O21:P21"/>
    <mergeCell ref="O12:P12"/>
    <mergeCell ref="Q12:R12"/>
    <mergeCell ref="O13:P13"/>
    <mergeCell ref="Q13:R13"/>
    <mergeCell ref="O14:P14"/>
    <mergeCell ref="Q14:R15"/>
    <mergeCell ref="O15:P15"/>
    <mergeCell ref="O10:P10"/>
    <mergeCell ref="Q10:R10"/>
    <mergeCell ref="O11:P11"/>
    <mergeCell ref="Q11:R11"/>
    <mergeCell ref="O6:P6"/>
    <mergeCell ref="Q6:R6"/>
    <mergeCell ref="O7:P7"/>
    <mergeCell ref="Q7:R7"/>
    <mergeCell ref="O8:P8"/>
    <mergeCell ref="Q8:R8"/>
    <mergeCell ref="A2:S2"/>
    <mergeCell ref="Q3:S3"/>
    <mergeCell ref="B4:E4"/>
    <mergeCell ref="O4:P4"/>
    <mergeCell ref="Q4:R4"/>
    <mergeCell ref="O5:P5"/>
    <mergeCell ref="Q5:R5"/>
    <mergeCell ref="O9:P9"/>
    <mergeCell ref="Q9:R9"/>
  </mergeCells>
  <phoneticPr fontId="2" type="noConversion"/>
  <pageMargins left="0.25" right="0.25" top="0.75" bottom="0.75" header="0.3" footer="0.3"/>
  <pageSetup paperSize="9" scale="10" fitToWidth="0" orientation="landscape" horizontalDpi="300" r:id="rId1"/>
  <headerFooter>
    <oddFooter>&amp;R&amp;D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054A-70BF-44CA-AFDE-122F6AC492A8}">
  <sheetPr>
    <pageSetUpPr fitToPage="1"/>
  </sheetPr>
  <dimension ref="A1:AE91"/>
  <sheetViews>
    <sheetView zoomScale="85" zoomScaleNormal="85" zoomScaleSheetLayoutView="100" zoomScalePageLayoutView="85" workbookViewId="0">
      <selection activeCell="Q10" sqref="Q10:R10"/>
    </sheetView>
  </sheetViews>
  <sheetFormatPr defaultRowHeight="16.5" x14ac:dyDescent="0.3"/>
  <cols>
    <col min="1" max="1" width="1.625" customWidth="1"/>
    <col min="2" max="5" width="3.375" style="2" customWidth="1"/>
    <col min="6" max="6" width="57.25" style="3" customWidth="1"/>
    <col min="7" max="7" width="25.625" style="3" bestFit="1" customWidth="1"/>
    <col min="8" max="9" width="16.625" style="3" customWidth="1"/>
    <col min="10" max="10" width="6.625" style="3" customWidth="1"/>
    <col min="11" max="13" width="16.625" style="1" customWidth="1"/>
    <col min="14" max="14" width="12.625" style="5" customWidth="1"/>
    <col min="15" max="15" width="9.625" style="1" customWidth="1"/>
    <col min="16" max="16" width="12.625" style="1" customWidth="1"/>
    <col min="17" max="18" width="22.375" customWidth="1"/>
    <col min="19" max="19" width="21.875" style="93" customWidth="1"/>
    <col min="20" max="16384" width="9" style="70"/>
  </cols>
  <sheetData>
    <row r="1" spans="1:29" ht="9.9499999999999993" customHeight="1" x14ac:dyDescent="0.3"/>
    <row r="2" spans="1:29" ht="26.25" x14ac:dyDescent="0.3">
      <c r="A2" s="1445" t="s">
        <v>577</v>
      </c>
      <c r="B2" s="1445"/>
      <c r="C2" s="1445"/>
      <c r="D2" s="1445"/>
      <c r="E2" s="1445"/>
      <c r="F2" s="1445"/>
      <c r="G2" s="1445"/>
      <c r="H2" s="1445"/>
      <c r="I2" s="1445"/>
      <c r="J2" s="1445"/>
      <c r="K2" s="1445"/>
      <c r="L2" s="1445"/>
      <c r="M2" s="1445"/>
      <c r="N2" s="1445"/>
      <c r="O2" s="1445"/>
      <c r="P2" s="1445"/>
      <c r="Q2" s="1445"/>
      <c r="R2" s="1445"/>
      <c r="S2" s="1445"/>
    </row>
    <row r="3" spans="1:29" ht="17.25" thickBot="1" x14ac:dyDescent="0.35">
      <c r="Q3" s="1446">
        <v>45422</v>
      </c>
      <c r="R3" s="1446"/>
      <c r="S3" s="1446"/>
    </row>
    <row r="4" spans="1:29" ht="18" thickBot="1" x14ac:dyDescent="0.35">
      <c r="B4" s="1318" t="s">
        <v>491</v>
      </c>
      <c r="C4" s="1319"/>
      <c r="D4" s="1319"/>
      <c r="E4" s="1320"/>
      <c r="F4" s="6" t="s">
        <v>56</v>
      </c>
      <c r="G4" s="6" t="s">
        <v>55</v>
      </c>
      <c r="H4" s="6" t="s">
        <v>0</v>
      </c>
      <c r="I4" s="6" t="s">
        <v>43</v>
      </c>
      <c r="J4" s="6" t="s">
        <v>4</v>
      </c>
      <c r="K4" s="7" t="s">
        <v>12</v>
      </c>
      <c r="L4" s="8" t="s">
        <v>39</v>
      </c>
      <c r="M4" s="8" t="s">
        <v>5</v>
      </c>
      <c r="N4" s="141" t="s">
        <v>13</v>
      </c>
      <c r="O4" s="1321" t="s">
        <v>6</v>
      </c>
      <c r="P4" s="1322"/>
      <c r="Q4" s="1319" t="s">
        <v>3</v>
      </c>
      <c r="R4" s="1323"/>
      <c r="S4" s="71" t="s">
        <v>59</v>
      </c>
    </row>
    <row r="5" spans="1:29" s="413" customFormat="1" ht="17.25" thickBot="1" x14ac:dyDescent="0.35">
      <c r="A5" s="82"/>
      <c r="B5" s="122" t="s">
        <v>2</v>
      </c>
      <c r="C5" s="116"/>
      <c r="D5" s="116"/>
      <c r="E5" s="117"/>
      <c r="F5" s="118" t="s">
        <v>265</v>
      </c>
      <c r="G5" s="119"/>
      <c r="H5" s="119"/>
      <c r="I5" s="119"/>
      <c r="J5" s="119"/>
      <c r="K5" s="272"/>
      <c r="L5" s="120"/>
      <c r="M5" s="121"/>
      <c r="N5" s="135"/>
      <c r="O5" s="1447"/>
      <c r="P5" s="1448"/>
      <c r="Q5" s="1326"/>
      <c r="R5" s="1327"/>
      <c r="S5" s="115"/>
      <c r="T5" s="70"/>
      <c r="U5" s="70"/>
      <c r="V5" s="70"/>
      <c r="W5" s="70"/>
      <c r="X5" s="70"/>
      <c r="Y5" s="70"/>
      <c r="Z5" s="70"/>
      <c r="AA5" s="70"/>
      <c r="AB5" s="70"/>
      <c r="AC5" s="70"/>
    </row>
    <row r="6" spans="1:29" s="394" customFormat="1" x14ac:dyDescent="0.3">
      <c r="A6" s="369"/>
      <c r="B6" s="62"/>
      <c r="C6" s="56" t="s">
        <v>2</v>
      </c>
      <c r="D6" s="56"/>
      <c r="E6" s="61"/>
      <c r="F6" s="269" t="s">
        <v>307</v>
      </c>
      <c r="G6" s="184" t="s">
        <v>433</v>
      </c>
      <c r="H6" s="185" t="s">
        <v>131</v>
      </c>
      <c r="I6" s="185" t="s">
        <v>131</v>
      </c>
      <c r="J6" s="184">
        <v>1</v>
      </c>
      <c r="K6" s="169">
        <f>(8210+3030+1140+2160+440)*0.6*1.071*1400</f>
        <v>13476607.199999999</v>
      </c>
      <c r="L6" s="55">
        <v>24756000</v>
      </c>
      <c r="M6" s="164">
        <f>J6*K6</f>
        <v>13476607.199999999</v>
      </c>
      <c r="N6" s="503">
        <v>0</v>
      </c>
      <c r="O6" s="1472">
        <f t="shared" ref="O6:O10" si="0">J6*L6/(1-N6)</f>
        <v>24756000</v>
      </c>
      <c r="P6" s="1473"/>
      <c r="Q6" s="1330" t="s">
        <v>437</v>
      </c>
      <c r="R6" s="1331"/>
      <c r="S6" s="505"/>
      <c r="T6" s="400"/>
      <c r="U6" s="400"/>
      <c r="V6" s="400"/>
      <c r="W6" s="400"/>
      <c r="X6" s="400"/>
      <c r="Y6" s="400"/>
      <c r="Z6" s="400"/>
      <c r="AA6" s="400"/>
      <c r="AB6" s="400"/>
      <c r="AC6" s="400"/>
    </row>
    <row r="7" spans="1:29" s="394" customFormat="1" x14ac:dyDescent="0.3">
      <c r="B7" s="62"/>
      <c r="C7" s="56"/>
      <c r="D7" s="63" t="s">
        <v>73</v>
      </c>
      <c r="E7" s="61"/>
      <c r="F7" s="174" t="s">
        <v>372</v>
      </c>
      <c r="G7" s="56">
        <v>720268</v>
      </c>
      <c r="H7" s="482" t="s">
        <v>131</v>
      </c>
      <c r="I7" s="482" t="s">
        <v>131</v>
      </c>
      <c r="J7" s="56">
        <v>2</v>
      </c>
      <c r="K7" s="169">
        <f>(1190)*0.606*1.071*1400</f>
        <v>1081277.3159999999</v>
      </c>
      <c r="L7" s="55">
        <v>1806000</v>
      </c>
      <c r="M7" s="475">
        <f t="shared" ref="M7:M25" si="1">J7*K7</f>
        <v>2162554.6319999998</v>
      </c>
      <c r="N7" s="503">
        <v>0</v>
      </c>
      <c r="O7" s="1472">
        <f t="shared" si="0"/>
        <v>3612000</v>
      </c>
      <c r="P7" s="1473"/>
      <c r="Q7" s="1474" t="s">
        <v>542</v>
      </c>
      <c r="R7" s="1475"/>
      <c r="S7" s="399"/>
      <c r="T7" s="400"/>
      <c r="U7" s="400"/>
      <c r="V7" s="400"/>
      <c r="W7" s="400"/>
      <c r="X7" s="400"/>
      <c r="Y7" s="400"/>
      <c r="Z7" s="400"/>
      <c r="AA7" s="400"/>
      <c r="AB7" s="400"/>
      <c r="AC7" s="400"/>
    </row>
    <row r="8" spans="1:29" ht="16.149999999999999" customHeight="1" x14ac:dyDescent="0.3">
      <c r="B8" s="62"/>
      <c r="C8" s="56"/>
      <c r="D8" s="56"/>
      <c r="E8" s="61" t="s">
        <v>73</v>
      </c>
      <c r="F8" s="174" t="s">
        <v>281</v>
      </c>
      <c r="G8" s="56">
        <v>758933</v>
      </c>
      <c r="H8" s="482" t="s">
        <v>131</v>
      </c>
      <c r="I8" s="482" t="s">
        <v>131</v>
      </c>
      <c r="J8" s="56">
        <v>2</v>
      </c>
      <c r="K8" s="169">
        <f>(35)*0.643*1.071*1400</f>
        <v>33743.996999999996</v>
      </c>
      <c r="L8" s="392">
        <v>62000</v>
      </c>
      <c r="M8" s="475">
        <f t="shared" si="1"/>
        <v>67487.993999999992</v>
      </c>
      <c r="N8" s="503">
        <v>0</v>
      </c>
      <c r="O8" s="1472">
        <f t="shared" si="0"/>
        <v>124000</v>
      </c>
      <c r="P8" s="1473"/>
      <c r="Q8" s="1474" t="s">
        <v>543</v>
      </c>
      <c r="R8" s="1475"/>
      <c r="S8" s="212"/>
    </row>
    <row r="9" spans="1:29" ht="16.149999999999999" customHeight="1" x14ac:dyDescent="0.3">
      <c r="B9" s="62"/>
      <c r="C9" s="56"/>
      <c r="D9" s="56"/>
      <c r="E9" s="61" t="s">
        <v>73</v>
      </c>
      <c r="F9" s="174" t="s">
        <v>283</v>
      </c>
      <c r="G9" s="56">
        <v>758921</v>
      </c>
      <c r="H9" s="482" t="s">
        <v>131</v>
      </c>
      <c r="I9" s="482" t="s">
        <v>131</v>
      </c>
      <c r="J9" s="56">
        <v>2</v>
      </c>
      <c r="K9" s="169">
        <f>(30)*0.643*1.071*1400</f>
        <v>28923.425999999996</v>
      </c>
      <c r="L9" s="392">
        <v>54000</v>
      </c>
      <c r="M9" s="475">
        <f t="shared" si="1"/>
        <v>57846.851999999992</v>
      </c>
      <c r="N9" s="503">
        <v>0</v>
      </c>
      <c r="O9" s="1472">
        <f t="shared" si="0"/>
        <v>108000</v>
      </c>
      <c r="P9" s="1473"/>
      <c r="Q9" s="1474" t="s">
        <v>544</v>
      </c>
      <c r="R9" s="1475"/>
      <c r="S9" s="212"/>
    </row>
    <row r="10" spans="1:29" ht="16.149999999999999" customHeight="1" x14ac:dyDescent="0.3">
      <c r="B10" s="62"/>
      <c r="C10" s="56"/>
      <c r="D10" s="56"/>
      <c r="E10" s="61" t="s">
        <v>73</v>
      </c>
      <c r="F10" s="174" t="s">
        <v>377</v>
      </c>
      <c r="G10" s="56">
        <v>758924</v>
      </c>
      <c r="H10" s="482" t="s">
        <v>131</v>
      </c>
      <c r="I10" s="482" t="s">
        <v>131</v>
      </c>
      <c r="J10" s="56">
        <v>2</v>
      </c>
      <c r="K10" s="169">
        <f>(60)*0.643*1.071*1400</f>
        <v>57846.851999999992</v>
      </c>
      <c r="L10" s="392">
        <v>109000</v>
      </c>
      <c r="M10" s="475">
        <f t="shared" si="1"/>
        <v>115693.70399999998</v>
      </c>
      <c r="N10" s="503">
        <v>0</v>
      </c>
      <c r="O10" s="1472">
        <f t="shared" si="0"/>
        <v>218000</v>
      </c>
      <c r="P10" s="1473"/>
      <c r="Q10" s="1474" t="s">
        <v>545</v>
      </c>
      <c r="R10" s="1475"/>
      <c r="S10" s="212"/>
    </row>
    <row r="11" spans="1:29" s="394" customFormat="1" x14ac:dyDescent="0.3">
      <c r="A11" s="369"/>
      <c r="B11" s="62"/>
      <c r="C11" s="56"/>
      <c r="D11" s="63"/>
      <c r="E11" s="61" t="s">
        <v>73</v>
      </c>
      <c r="F11" s="504" t="s">
        <v>489</v>
      </c>
      <c r="G11" s="56">
        <v>702916</v>
      </c>
      <c r="H11" s="482" t="s">
        <v>131</v>
      </c>
      <c r="I11" s="482" t="s">
        <v>131</v>
      </c>
      <c r="J11" s="56">
        <v>1</v>
      </c>
      <c r="K11" s="169">
        <f>(6450)*0.6*1.071*1400</f>
        <v>5802677.9999999991</v>
      </c>
      <c r="L11" s="55">
        <v>8712000</v>
      </c>
      <c r="M11" s="418">
        <f>J11*K11</f>
        <v>5802677.9999999991</v>
      </c>
      <c r="N11" s="503">
        <v>0</v>
      </c>
      <c r="O11" s="1472">
        <f>J11*L11/(1-N11)</f>
        <v>8712000</v>
      </c>
      <c r="P11" s="1473"/>
      <c r="Q11" s="1474" t="s">
        <v>490</v>
      </c>
      <c r="R11" s="1475"/>
      <c r="S11" s="212"/>
      <c r="T11" s="400"/>
      <c r="U11" s="400"/>
      <c r="V11" s="400"/>
      <c r="W11" s="400"/>
      <c r="X11" s="400"/>
      <c r="Y11" s="400"/>
      <c r="Z11" s="400"/>
      <c r="AA11" s="400"/>
      <c r="AB11" s="400"/>
    </row>
    <row r="12" spans="1:29" s="394" customFormat="1" x14ac:dyDescent="0.3">
      <c r="A12" s="369"/>
      <c r="B12" s="62"/>
      <c r="C12" s="56"/>
      <c r="D12" s="63"/>
      <c r="E12" s="61" t="s">
        <v>73</v>
      </c>
      <c r="F12" s="504" t="s">
        <v>487</v>
      </c>
      <c r="G12" s="56">
        <v>701930</v>
      </c>
      <c r="H12" s="482" t="s">
        <v>40</v>
      </c>
      <c r="I12" s="482" t="s">
        <v>40</v>
      </c>
      <c r="J12" s="56">
        <v>1</v>
      </c>
      <c r="K12" s="169">
        <f>(3630)*0.704*1.071*1400</f>
        <v>3831746.6879999996</v>
      </c>
      <c r="L12" s="55">
        <v>5748000</v>
      </c>
      <c r="M12" s="418">
        <f>J12*K12</f>
        <v>3831746.6879999996</v>
      </c>
      <c r="N12" s="503">
        <v>0</v>
      </c>
      <c r="O12" s="1472">
        <f>J12*L12/(1-N12)</f>
        <v>5748000</v>
      </c>
      <c r="P12" s="1473"/>
      <c r="Q12" s="1474" t="s">
        <v>486</v>
      </c>
      <c r="R12" s="1475"/>
      <c r="S12" s="212"/>
      <c r="T12" s="400"/>
      <c r="U12" s="400"/>
      <c r="V12" s="400"/>
      <c r="W12" s="400"/>
      <c r="X12" s="400"/>
      <c r="Y12" s="400"/>
      <c r="Z12" s="400"/>
      <c r="AA12" s="400"/>
      <c r="AB12" s="400"/>
    </row>
    <row r="13" spans="1:29" ht="16.149999999999999" customHeight="1" x14ac:dyDescent="0.3">
      <c r="B13" s="62"/>
      <c r="C13" s="56"/>
      <c r="D13" s="63" t="s">
        <v>73</v>
      </c>
      <c r="E13" s="61"/>
      <c r="F13" s="174" t="s">
        <v>368</v>
      </c>
      <c r="G13" s="56">
        <v>701265</v>
      </c>
      <c r="H13" s="482" t="s">
        <v>131</v>
      </c>
      <c r="I13" s="482" t="s">
        <v>131</v>
      </c>
      <c r="J13" s="56">
        <v>3</v>
      </c>
      <c r="K13" s="169">
        <f>(1140)*0.606*1.071*1400</f>
        <v>1035845.4959999999</v>
      </c>
      <c r="L13" s="392">
        <v>1723000</v>
      </c>
      <c r="M13" s="475">
        <f>J13*K13</f>
        <v>3107536.4879999999</v>
      </c>
      <c r="N13" s="503">
        <v>0</v>
      </c>
      <c r="O13" s="1472">
        <f>J13*L13/(1-N13)</f>
        <v>5169000</v>
      </c>
      <c r="P13" s="1473"/>
      <c r="Q13" s="1474" t="s">
        <v>375</v>
      </c>
      <c r="R13" s="1475"/>
      <c r="S13" s="212"/>
    </row>
    <row r="14" spans="1:29" s="528" customFormat="1" x14ac:dyDescent="0.3">
      <c r="A14" s="84"/>
      <c r="B14" s="62"/>
      <c r="C14" s="63" t="s">
        <v>73</v>
      </c>
      <c r="D14" s="63"/>
      <c r="E14" s="61"/>
      <c r="F14" s="156" t="s">
        <v>546</v>
      </c>
      <c r="G14" s="393" t="s">
        <v>425</v>
      </c>
      <c r="H14" s="56" t="s">
        <v>142</v>
      </c>
      <c r="I14" s="56" t="s">
        <v>64</v>
      </c>
      <c r="J14" s="56">
        <v>6</v>
      </c>
      <c r="K14" s="55">
        <f>L14*0.75</f>
        <v>1731750</v>
      </c>
      <c r="L14" s="55">
        <v>2309000</v>
      </c>
      <c r="M14" s="418">
        <f>J14*K14</f>
        <v>10390500</v>
      </c>
      <c r="N14" s="503">
        <v>0</v>
      </c>
      <c r="O14" s="1472">
        <f t="shared" ref="O14" si="2">J14*L14/(1-N14)</f>
        <v>13854000</v>
      </c>
      <c r="P14" s="1473"/>
      <c r="Q14" s="1474" t="s">
        <v>484</v>
      </c>
      <c r="R14" s="1475"/>
      <c r="S14" s="212"/>
      <c r="T14" s="70"/>
      <c r="U14" s="70"/>
      <c r="V14" s="70"/>
      <c r="W14" s="70"/>
      <c r="X14" s="70"/>
      <c r="Y14" s="70"/>
      <c r="Z14" s="70"/>
      <c r="AA14" s="70"/>
      <c r="AB14" s="70"/>
    </row>
    <row r="15" spans="1:29" s="528" customFormat="1" x14ac:dyDescent="0.3">
      <c r="A15" s="512"/>
      <c r="B15" s="62"/>
      <c r="C15" s="63" t="s">
        <v>2</v>
      </c>
      <c r="D15" s="63"/>
      <c r="E15" s="61"/>
      <c r="F15" s="174" t="s">
        <v>459</v>
      </c>
      <c r="G15" s="507" t="s">
        <v>195</v>
      </c>
      <c r="H15" s="56" t="s">
        <v>142</v>
      </c>
      <c r="I15" s="56" t="s">
        <v>64</v>
      </c>
      <c r="J15" s="56">
        <v>1</v>
      </c>
      <c r="K15" s="55">
        <f>L15*0.75</f>
        <v>14394750</v>
      </c>
      <c r="L15" s="55">
        <f>19193000</f>
        <v>19193000</v>
      </c>
      <c r="M15" s="418">
        <f t="shared" si="1"/>
        <v>14394750</v>
      </c>
      <c r="N15" s="503">
        <v>0</v>
      </c>
      <c r="O15" s="1472">
        <f>L15*J15</f>
        <v>19193000</v>
      </c>
      <c r="P15" s="1473"/>
      <c r="Q15" s="1484" t="s">
        <v>410</v>
      </c>
      <c r="R15" s="1485"/>
      <c r="S15" s="212"/>
      <c r="T15" s="70"/>
      <c r="U15" s="70"/>
      <c r="V15" s="70"/>
      <c r="W15" s="70"/>
      <c r="X15" s="70"/>
      <c r="Y15" s="70"/>
      <c r="Z15" s="70"/>
      <c r="AA15" s="70"/>
      <c r="AB15" s="70"/>
    </row>
    <row r="16" spans="1:29" s="528" customFormat="1" x14ac:dyDescent="0.3">
      <c r="A16" s="512"/>
      <c r="B16" s="62"/>
      <c r="C16" s="63"/>
      <c r="D16" s="63" t="s">
        <v>2</v>
      </c>
      <c r="E16" s="61"/>
      <c r="F16" s="174" t="s">
        <v>460</v>
      </c>
      <c r="G16" s="507" t="s">
        <v>461</v>
      </c>
      <c r="H16" s="56" t="s">
        <v>142</v>
      </c>
      <c r="I16" s="56" t="s">
        <v>64</v>
      </c>
      <c r="J16" s="56">
        <f t="shared" ref="J16" si="3">1*2</f>
        <v>2</v>
      </c>
      <c r="K16" s="55">
        <f>L16*0.75</f>
        <v>14008500</v>
      </c>
      <c r="L16" s="55">
        <v>18678000</v>
      </c>
      <c r="M16" s="418">
        <f t="shared" si="1"/>
        <v>28017000</v>
      </c>
      <c r="N16" s="503">
        <v>0</v>
      </c>
      <c r="O16" s="1472">
        <f>L16*J16</f>
        <v>37356000</v>
      </c>
      <c r="P16" s="1473"/>
      <c r="Q16" s="1486"/>
      <c r="R16" s="1487"/>
      <c r="S16" s="212"/>
      <c r="T16" s="70"/>
      <c r="U16" s="70"/>
      <c r="V16" s="70"/>
      <c r="W16" s="70"/>
      <c r="X16" s="70"/>
      <c r="Y16" s="70"/>
      <c r="Z16" s="70"/>
      <c r="AA16" s="70"/>
      <c r="AB16" s="70"/>
    </row>
    <row r="17" spans="1:31" s="413" customFormat="1" x14ac:dyDescent="0.3">
      <c r="A17" s="82"/>
      <c r="B17" s="494"/>
      <c r="C17" s="495"/>
      <c r="D17" s="403"/>
      <c r="E17" s="495"/>
      <c r="F17" s="404" t="s">
        <v>256</v>
      </c>
      <c r="G17" s="403" t="s">
        <v>336</v>
      </c>
      <c r="H17" s="403" t="s">
        <v>337</v>
      </c>
      <c r="I17" s="405"/>
      <c r="J17" s="403">
        <v>0</v>
      </c>
      <c r="K17" s="406"/>
      <c r="L17" s="406">
        <v>11140000</v>
      </c>
      <c r="M17" s="407">
        <f t="shared" si="1"/>
        <v>0</v>
      </c>
      <c r="N17" s="408">
        <v>0</v>
      </c>
      <c r="O17" s="597">
        <f t="shared" ref="O17:O25" si="4">J17*L17/(1-N17)</f>
        <v>0</v>
      </c>
      <c r="P17" s="598"/>
      <c r="Q17" s="1548" t="s">
        <v>481</v>
      </c>
      <c r="R17" s="1549"/>
      <c r="S17" s="212"/>
      <c r="T17" s="70"/>
      <c r="U17" s="70"/>
      <c r="V17" s="70"/>
      <c r="W17" s="70"/>
      <c r="X17" s="70"/>
      <c r="Y17" s="70"/>
      <c r="Z17" s="70"/>
      <c r="AA17" s="70"/>
    </row>
    <row r="18" spans="1:31" s="413" customFormat="1" x14ac:dyDescent="0.3">
      <c r="A18" s="82"/>
      <c r="B18" s="494"/>
      <c r="C18" s="495"/>
      <c r="D18" s="403"/>
      <c r="E18" s="495"/>
      <c r="F18" s="404" t="s">
        <v>399</v>
      </c>
      <c r="G18" s="403" t="s">
        <v>395</v>
      </c>
      <c r="H18" s="403" t="s">
        <v>394</v>
      </c>
      <c r="I18" s="405"/>
      <c r="J18" s="403">
        <v>0</v>
      </c>
      <c r="K18" s="406">
        <f>L18*0.75</f>
        <v>7717500</v>
      </c>
      <c r="L18" s="406">
        <v>10290000</v>
      </c>
      <c r="M18" s="407">
        <f t="shared" si="1"/>
        <v>0</v>
      </c>
      <c r="N18" s="408">
        <v>0</v>
      </c>
      <c r="O18" s="597">
        <f t="shared" si="4"/>
        <v>0</v>
      </c>
      <c r="P18" s="598"/>
      <c r="Q18" s="1550"/>
      <c r="R18" s="1551"/>
      <c r="S18" s="556"/>
      <c r="T18" s="70"/>
      <c r="U18" s="70"/>
      <c r="V18" s="70"/>
      <c r="W18" s="70"/>
      <c r="X18" s="70"/>
      <c r="Y18" s="70"/>
      <c r="Z18" s="70"/>
      <c r="AA18" s="70"/>
    </row>
    <row r="19" spans="1:31" s="394" customFormat="1" x14ac:dyDescent="0.3">
      <c r="A19" s="369"/>
      <c r="B19" s="583"/>
      <c r="C19" s="584"/>
      <c r="D19" s="584"/>
      <c r="E19" s="518"/>
      <c r="F19" s="519" t="s">
        <v>423</v>
      </c>
      <c r="G19" s="405" t="s">
        <v>273</v>
      </c>
      <c r="H19" s="405" t="s">
        <v>255</v>
      </c>
      <c r="I19" s="405"/>
      <c r="J19" s="405">
        <v>0</v>
      </c>
      <c r="K19" s="520">
        <f t="shared" ref="K19:K20" si="5">L19*0.75</f>
        <v>27652500</v>
      </c>
      <c r="L19" s="520">
        <v>36870000</v>
      </c>
      <c r="M19" s="407">
        <f t="shared" si="1"/>
        <v>0</v>
      </c>
      <c r="N19" s="521">
        <v>0</v>
      </c>
      <c r="O19" s="1546">
        <f t="shared" si="4"/>
        <v>0</v>
      </c>
      <c r="P19" s="1547"/>
      <c r="Q19" s="1548" t="s">
        <v>462</v>
      </c>
      <c r="R19" s="1549"/>
      <c r="S19" s="212"/>
      <c r="T19" s="400"/>
      <c r="U19" s="400"/>
      <c r="V19" s="400"/>
      <c r="W19" s="400"/>
      <c r="X19" s="400"/>
      <c r="Y19" s="400"/>
      <c r="Z19" s="400"/>
      <c r="AA19" s="400"/>
    </row>
    <row r="20" spans="1:31" s="528" customFormat="1" x14ac:dyDescent="0.3">
      <c r="A20" s="84"/>
      <c r="B20" s="583"/>
      <c r="C20" s="584"/>
      <c r="D20" s="584"/>
      <c r="E20" s="518"/>
      <c r="F20" s="519" t="s">
        <v>424</v>
      </c>
      <c r="G20" s="405" t="s">
        <v>274</v>
      </c>
      <c r="H20" s="405" t="s">
        <v>255</v>
      </c>
      <c r="I20" s="405"/>
      <c r="J20" s="405">
        <v>0</v>
      </c>
      <c r="K20" s="520">
        <f t="shared" si="5"/>
        <v>23730000</v>
      </c>
      <c r="L20" s="520">
        <v>31640000</v>
      </c>
      <c r="M20" s="407">
        <f t="shared" si="1"/>
        <v>0</v>
      </c>
      <c r="N20" s="521">
        <v>0</v>
      </c>
      <c r="O20" s="1546">
        <f t="shared" si="4"/>
        <v>0</v>
      </c>
      <c r="P20" s="1547"/>
      <c r="Q20" s="1550"/>
      <c r="R20" s="1551"/>
      <c r="S20" s="212"/>
      <c r="T20" s="70"/>
      <c r="U20" s="70"/>
      <c r="V20" s="70"/>
      <c r="W20" s="70"/>
      <c r="X20" s="70"/>
      <c r="Y20" s="70"/>
      <c r="Z20" s="70"/>
      <c r="AA20" s="70"/>
      <c r="AB20" s="70"/>
      <c r="AC20" s="70"/>
    </row>
    <row r="21" spans="1:31" s="413" customFormat="1" x14ac:dyDescent="0.3">
      <c r="A21" s="82"/>
      <c r="B21" s="494"/>
      <c r="C21" s="495"/>
      <c r="D21" s="403"/>
      <c r="E21" s="495"/>
      <c r="F21" s="404" t="s">
        <v>452</v>
      </c>
      <c r="G21" s="403" t="s">
        <v>453</v>
      </c>
      <c r="H21" s="403" t="s">
        <v>40</v>
      </c>
      <c r="I21" s="405" t="s">
        <v>40</v>
      </c>
      <c r="J21" s="403">
        <v>0</v>
      </c>
      <c r="K21" s="406">
        <f>1347*0.4*1.071*1400</f>
        <v>807876.72</v>
      </c>
      <c r="L21" s="406">
        <v>1584000</v>
      </c>
      <c r="M21" s="407">
        <f>J21*K21</f>
        <v>0</v>
      </c>
      <c r="N21" s="408">
        <v>0</v>
      </c>
      <c r="O21" s="597">
        <f>J21*L21/(1-N21)</f>
        <v>0</v>
      </c>
      <c r="P21" s="598"/>
      <c r="Q21" s="1564" t="s">
        <v>451</v>
      </c>
      <c r="R21" s="1565"/>
      <c r="S21" s="212"/>
      <c r="T21" s="70"/>
      <c r="U21" s="70"/>
      <c r="V21" s="70"/>
      <c r="W21" s="70"/>
      <c r="X21" s="70"/>
      <c r="Y21" s="70"/>
      <c r="Z21" s="70"/>
      <c r="AA21" s="70"/>
    </row>
    <row r="22" spans="1:31" s="413" customFormat="1" x14ac:dyDescent="0.3">
      <c r="A22" s="82"/>
      <c r="B22" s="494"/>
      <c r="C22" s="495"/>
      <c r="D22" s="403"/>
      <c r="E22" s="495"/>
      <c r="F22" s="404" t="s">
        <v>454</v>
      </c>
      <c r="G22" s="403" t="s">
        <v>455</v>
      </c>
      <c r="H22" s="403" t="s">
        <v>40</v>
      </c>
      <c r="I22" s="405" t="s">
        <v>40</v>
      </c>
      <c r="J22" s="403">
        <v>0</v>
      </c>
      <c r="K22" s="406">
        <f>287*0.4*1.071*1400</f>
        <v>172131.12</v>
      </c>
      <c r="L22" s="406">
        <v>338000</v>
      </c>
      <c r="M22" s="407">
        <f>J22*K22</f>
        <v>0</v>
      </c>
      <c r="N22" s="408">
        <v>0</v>
      </c>
      <c r="O22" s="597">
        <f>J22*L22/(1-N22)</f>
        <v>0</v>
      </c>
      <c r="P22" s="598"/>
      <c r="Q22" s="1564" t="s">
        <v>451</v>
      </c>
      <c r="R22" s="1565"/>
      <c r="S22" s="212"/>
      <c r="T22" s="70"/>
      <c r="U22" s="70"/>
      <c r="V22" s="70"/>
      <c r="W22" s="70"/>
      <c r="X22" s="70"/>
      <c r="Y22" s="70"/>
      <c r="Z22" s="70"/>
      <c r="AA22" s="70"/>
    </row>
    <row r="23" spans="1:31" s="413" customFormat="1" x14ac:dyDescent="0.3">
      <c r="A23" s="82"/>
      <c r="B23" s="494"/>
      <c r="C23" s="495"/>
      <c r="D23" s="403"/>
      <c r="E23" s="495"/>
      <c r="F23" s="404" t="s">
        <v>456</v>
      </c>
      <c r="G23" s="403" t="s">
        <v>222</v>
      </c>
      <c r="H23" s="403" t="s">
        <v>40</v>
      </c>
      <c r="I23" s="405" t="s">
        <v>40</v>
      </c>
      <c r="J23" s="403">
        <v>0</v>
      </c>
      <c r="K23" s="406">
        <f>934*0.4*1.071*1400</f>
        <v>560175.84000000008</v>
      </c>
      <c r="L23" s="406">
        <v>1114000</v>
      </c>
      <c r="M23" s="407">
        <f>J23*K23</f>
        <v>0</v>
      </c>
      <c r="N23" s="408">
        <v>0</v>
      </c>
      <c r="O23" s="597">
        <f>J23*L23/(1-N23)</f>
        <v>0</v>
      </c>
      <c r="P23" s="598"/>
      <c r="Q23" s="1564" t="s">
        <v>451</v>
      </c>
      <c r="R23" s="1565"/>
      <c r="S23" s="212"/>
      <c r="T23" s="70"/>
      <c r="U23" s="70"/>
      <c r="V23" s="70"/>
      <c r="W23" s="70"/>
      <c r="X23" s="70"/>
      <c r="Y23" s="70"/>
      <c r="Z23" s="70"/>
      <c r="AA23" s="70"/>
    </row>
    <row r="24" spans="1:31" s="413" customFormat="1" x14ac:dyDescent="0.3">
      <c r="A24" s="82"/>
      <c r="B24" s="494"/>
      <c r="C24" s="495"/>
      <c r="D24" s="403"/>
      <c r="E24" s="495"/>
      <c r="F24" s="404" t="s">
        <v>457</v>
      </c>
      <c r="G24" s="403" t="s">
        <v>458</v>
      </c>
      <c r="H24" s="403" t="s">
        <v>40</v>
      </c>
      <c r="I24" s="405" t="s">
        <v>40</v>
      </c>
      <c r="J24" s="403">
        <v>0</v>
      </c>
      <c r="K24" s="406">
        <f>59*0.4*1.071*1400</f>
        <v>35385.840000000004</v>
      </c>
      <c r="L24" s="406">
        <v>97000</v>
      </c>
      <c r="M24" s="407">
        <f>J24*K24</f>
        <v>0</v>
      </c>
      <c r="N24" s="408">
        <v>0</v>
      </c>
      <c r="O24" s="597">
        <f>J24*L24/(1-N24)</f>
        <v>0</v>
      </c>
      <c r="P24" s="598"/>
      <c r="Q24" s="1564" t="s">
        <v>451</v>
      </c>
      <c r="R24" s="1565"/>
      <c r="S24" s="212"/>
      <c r="T24" s="70"/>
      <c r="U24" s="70"/>
      <c r="V24" s="70"/>
      <c r="W24" s="70"/>
      <c r="X24" s="70"/>
      <c r="Y24" s="70"/>
      <c r="Z24" s="70"/>
      <c r="AA24" s="70"/>
    </row>
    <row r="25" spans="1:31" s="394" customFormat="1" x14ac:dyDescent="0.3">
      <c r="B25" s="583"/>
      <c r="C25" s="405"/>
      <c r="D25" s="584"/>
      <c r="E25" s="518"/>
      <c r="F25" s="519" t="s">
        <v>449</v>
      </c>
      <c r="G25" s="405" t="s">
        <v>450</v>
      </c>
      <c r="H25" s="525" t="s">
        <v>40</v>
      </c>
      <c r="I25" s="525" t="s">
        <v>40</v>
      </c>
      <c r="J25" s="405">
        <v>0</v>
      </c>
      <c r="K25" s="406">
        <f>1417*0.45*1.071*1400</f>
        <v>956092.40999999992</v>
      </c>
      <c r="L25" s="520">
        <v>1385000</v>
      </c>
      <c r="M25" s="599">
        <f t="shared" si="1"/>
        <v>0</v>
      </c>
      <c r="N25" s="521">
        <v>0</v>
      </c>
      <c r="O25" s="1546">
        <f t="shared" si="4"/>
        <v>0</v>
      </c>
      <c r="P25" s="1547"/>
      <c r="Q25" s="1564" t="s">
        <v>451</v>
      </c>
      <c r="R25" s="1565"/>
      <c r="S25" s="212"/>
      <c r="T25" s="400"/>
      <c r="U25" s="400"/>
      <c r="V25" s="400"/>
      <c r="W25" s="400"/>
      <c r="X25" s="400"/>
      <c r="Y25" s="400"/>
      <c r="Z25" s="400"/>
      <c r="AA25" s="400"/>
      <c r="AB25" s="400"/>
      <c r="AC25" s="400"/>
    </row>
    <row r="26" spans="1:31" s="413" customFormat="1" x14ac:dyDescent="0.3">
      <c r="A26" s="82"/>
      <c r="B26" s="494"/>
      <c r="C26" s="495"/>
      <c r="D26" s="403"/>
      <c r="E26" s="495"/>
      <c r="F26" s="404" t="s">
        <v>435</v>
      </c>
      <c r="G26" s="403">
        <v>720254</v>
      </c>
      <c r="H26" s="403" t="s">
        <v>40</v>
      </c>
      <c r="I26" s="405" t="s">
        <v>40</v>
      </c>
      <c r="J26" s="403">
        <v>0</v>
      </c>
      <c r="K26" s="406">
        <f>(1950)*0.57*1.071*1400</f>
        <v>1666583.1</v>
      </c>
      <c r="L26" s="406">
        <v>2737000</v>
      </c>
      <c r="M26" s="407">
        <f t="shared" ref="M26:M28" si="6">J26*K26</f>
        <v>0</v>
      </c>
      <c r="N26" s="408">
        <v>0</v>
      </c>
      <c r="O26" s="597">
        <f>J26*L26/(1-N26)</f>
        <v>0</v>
      </c>
      <c r="P26" s="598"/>
      <c r="Q26" s="1548" t="s">
        <v>448</v>
      </c>
      <c r="R26" s="1549"/>
      <c r="S26" s="212"/>
      <c r="T26" s="70"/>
      <c r="U26" s="70"/>
      <c r="V26" s="70"/>
      <c r="W26" s="70"/>
      <c r="X26" s="70"/>
      <c r="Y26" s="70"/>
      <c r="Z26" s="70"/>
      <c r="AA26" s="70"/>
    </row>
    <row r="27" spans="1:31" s="413" customFormat="1" x14ac:dyDescent="0.3">
      <c r="A27" s="82"/>
      <c r="B27" s="494"/>
      <c r="C27" s="495"/>
      <c r="D27" s="403"/>
      <c r="E27" s="495"/>
      <c r="F27" s="404" t="s">
        <v>466</v>
      </c>
      <c r="G27" s="403">
        <v>701901</v>
      </c>
      <c r="H27" s="403" t="s">
        <v>40</v>
      </c>
      <c r="I27" s="405" t="s">
        <v>40</v>
      </c>
      <c r="J27" s="403">
        <v>0</v>
      </c>
      <c r="K27" s="406">
        <f>(50)*0.642*1.071*1400</f>
        <v>48130.74</v>
      </c>
      <c r="L27" s="406">
        <v>104000</v>
      </c>
      <c r="M27" s="407">
        <f t="shared" si="6"/>
        <v>0</v>
      </c>
      <c r="N27" s="408">
        <v>0</v>
      </c>
      <c r="O27" s="597">
        <f>J27*L27/(1-N27)</f>
        <v>0</v>
      </c>
      <c r="P27" s="598"/>
      <c r="Q27" s="1550" t="s">
        <v>468</v>
      </c>
      <c r="R27" s="1551"/>
      <c r="S27" s="561"/>
      <c r="T27" s="70"/>
      <c r="U27" s="70"/>
      <c r="V27" s="70"/>
      <c r="W27" s="70"/>
      <c r="X27" s="70"/>
      <c r="Y27" s="70"/>
      <c r="Z27" s="70"/>
      <c r="AA27" s="70"/>
    </row>
    <row r="28" spans="1:31" s="394" customFormat="1" x14ac:dyDescent="0.3">
      <c r="A28" s="369"/>
      <c r="B28" s="583"/>
      <c r="C28" s="584"/>
      <c r="D28" s="584"/>
      <c r="E28" s="518"/>
      <c r="F28" s="519" t="s">
        <v>283</v>
      </c>
      <c r="G28" s="405">
        <v>758921</v>
      </c>
      <c r="H28" s="405" t="s">
        <v>40</v>
      </c>
      <c r="I28" s="405" t="s">
        <v>131</v>
      </c>
      <c r="J28" s="405">
        <v>0</v>
      </c>
      <c r="K28" s="520">
        <f>(30)*0.643*1.071*1400</f>
        <v>28923.425999999996</v>
      </c>
      <c r="L28" s="520">
        <v>54000</v>
      </c>
      <c r="M28" s="407">
        <f t="shared" si="6"/>
        <v>0</v>
      </c>
      <c r="N28" s="521">
        <v>0</v>
      </c>
      <c r="O28" s="1546">
        <f>J28*L28/(1-N28)</f>
        <v>0</v>
      </c>
      <c r="P28" s="1547"/>
      <c r="Q28" s="572" t="s">
        <v>469</v>
      </c>
      <c r="R28" s="573"/>
      <c r="S28" s="212"/>
      <c r="T28" s="400"/>
      <c r="U28" s="400"/>
      <c r="V28" s="400"/>
      <c r="W28" s="400"/>
      <c r="X28" s="400"/>
      <c r="Y28" s="400"/>
      <c r="Z28" s="400"/>
      <c r="AA28" s="400"/>
    </row>
    <row r="29" spans="1:31" s="528" customFormat="1" ht="17.25" thickBot="1" x14ac:dyDescent="0.35">
      <c r="A29" s="84"/>
      <c r="B29" s="581"/>
      <c r="C29" s="184"/>
      <c r="D29" s="184"/>
      <c r="E29" s="582"/>
      <c r="F29" s="156"/>
      <c r="G29" s="155"/>
      <c r="H29" s="155"/>
      <c r="I29" s="155"/>
      <c r="J29" s="184"/>
      <c r="K29" s="199"/>
      <c r="L29" s="55"/>
      <c r="M29" s="164"/>
      <c r="N29" s="158"/>
      <c r="O29" s="1498"/>
      <c r="P29" s="1499"/>
      <c r="Q29" s="574"/>
      <c r="R29" s="575"/>
      <c r="S29" s="204"/>
      <c r="T29" s="70"/>
      <c r="U29" s="70"/>
      <c r="V29" s="70"/>
      <c r="W29" s="70"/>
      <c r="X29" s="70"/>
      <c r="Y29" s="70"/>
      <c r="Z29" s="70"/>
      <c r="AA29" s="70"/>
      <c r="AB29" s="70"/>
      <c r="AC29" s="70"/>
    </row>
    <row r="30" spans="1:31" s="528" customFormat="1" ht="17.25" thickBot="1" x14ac:dyDescent="0.35">
      <c r="A30" s="84"/>
      <c r="B30" s="587" t="s">
        <v>2</v>
      </c>
      <c r="C30" s="588"/>
      <c r="D30" s="588"/>
      <c r="E30" s="589"/>
      <c r="F30" s="270" t="s">
        <v>266</v>
      </c>
      <c r="G30" s="590"/>
      <c r="H30" s="590"/>
      <c r="I30" s="590"/>
      <c r="J30" s="590"/>
      <c r="K30" s="590"/>
      <c r="L30" s="591"/>
      <c r="M30" s="592"/>
      <c r="N30" s="593"/>
      <c r="O30" s="1324"/>
      <c r="P30" s="1325"/>
      <c r="Q30" s="1326"/>
      <c r="R30" s="1327"/>
      <c r="S30" s="115"/>
      <c r="T30" s="70"/>
      <c r="U30" s="70"/>
      <c r="V30" s="70"/>
      <c r="W30" s="70"/>
      <c r="X30" s="70"/>
      <c r="Y30" s="70"/>
      <c r="Z30" s="70"/>
      <c r="AA30" s="70"/>
      <c r="AB30" s="70"/>
      <c r="AC30" s="70"/>
    </row>
    <row r="31" spans="1:31" s="413" customFormat="1" x14ac:dyDescent="0.3">
      <c r="A31" s="82"/>
      <c r="B31" s="500"/>
      <c r="C31" s="501" t="s">
        <v>2</v>
      </c>
      <c r="D31" s="144"/>
      <c r="E31" s="145"/>
      <c r="F31" s="146" t="s">
        <v>541</v>
      </c>
      <c r="G31" s="144" t="s">
        <v>278</v>
      </c>
      <c r="H31" s="144" t="s">
        <v>80</v>
      </c>
      <c r="I31" s="144" t="s">
        <v>240</v>
      </c>
      <c r="J31" s="144">
        <v>1</v>
      </c>
      <c r="K31" s="157">
        <f t="shared" ref="K31:K32" si="7">L31*0.95</f>
        <v>2422500</v>
      </c>
      <c r="L31" s="147">
        <v>2550000</v>
      </c>
      <c r="M31" s="163">
        <f>J31*K31</f>
        <v>2422500</v>
      </c>
      <c r="N31" s="148">
        <v>0</v>
      </c>
      <c r="O31" s="1328">
        <f t="shared" ref="O31:O34" si="8">J31*L31/(1-N31)</f>
        <v>2550000</v>
      </c>
      <c r="P31" s="1329"/>
      <c r="Q31" s="1482"/>
      <c r="R31" s="1483"/>
      <c r="S31" s="287"/>
      <c r="T31" s="273"/>
    </row>
    <row r="32" spans="1:31" s="82" customFormat="1" x14ac:dyDescent="0.3">
      <c r="A32" s="84"/>
      <c r="B32" s="615"/>
      <c r="C32" s="621"/>
      <c r="D32" s="621" t="s">
        <v>2</v>
      </c>
      <c r="E32" s="609"/>
      <c r="F32" s="610" t="s">
        <v>538</v>
      </c>
      <c r="G32" s="611" t="s">
        <v>311</v>
      </c>
      <c r="H32" s="611" t="s">
        <v>80</v>
      </c>
      <c r="I32" s="611" t="s">
        <v>430</v>
      </c>
      <c r="J32" s="611">
        <v>2</v>
      </c>
      <c r="K32" s="612">
        <f t="shared" si="7"/>
        <v>2242000</v>
      </c>
      <c r="L32" s="612">
        <v>2360000</v>
      </c>
      <c r="M32" s="613">
        <f t="shared" ref="M32" si="9">J32*K32</f>
        <v>4484000</v>
      </c>
      <c r="N32" s="614">
        <v>0</v>
      </c>
      <c r="O32" s="1566">
        <f t="shared" si="8"/>
        <v>4720000</v>
      </c>
      <c r="P32" s="1567"/>
      <c r="Q32" s="1568" t="s">
        <v>560</v>
      </c>
      <c r="R32" s="1569"/>
      <c r="S32" s="289"/>
      <c r="T32" s="606" t="s">
        <v>552</v>
      </c>
      <c r="U32"/>
      <c r="V32"/>
      <c r="W32"/>
      <c r="X32"/>
      <c r="Y32"/>
      <c r="Z32"/>
      <c r="AA32"/>
      <c r="AB32"/>
      <c r="AC32"/>
      <c r="AD32"/>
      <c r="AE32"/>
    </row>
    <row r="33" spans="1:29" x14ac:dyDescent="0.3">
      <c r="B33" s="498"/>
      <c r="C33" s="499"/>
      <c r="D33" s="499" t="s">
        <v>2</v>
      </c>
      <c r="E33" s="151"/>
      <c r="F33" s="156" t="s">
        <v>536</v>
      </c>
      <c r="G33" s="155" t="s">
        <v>316</v>
      </c>
      <c r="H33" s="155" t="s">
        <v>80</v>
      </c>
      <c r="I33" s="155" t="s">
        <v>430</v>
      </c>
      <c r="J33" s="155">
        <v>1</v>
      </c>
      <c r="K33" s="157">
        <f t="shared" ref="K33:K34" si="10">L33*0.95</f>
        <v>836000</v>
      </c>
      <c r="L33" s="157">
        <v>880000</v>
      </c>
      <c r="M33" s="164">
        <f t="shared" ref="M33:M34" si="11">J33*K33</f>
        <v>836000</v>
      </c>
      <c r="N33" s="158">
        <v>0</v>
      </c>
      <c r="O33" s="1328">
        <f t="shared" si="8"/>
        <v>880000</v>
      </c>
      <c r="P33" s="1329"/>
      <c r="Q33" s="1330" t="s">
        <v>579</v>
      </c>
      <c r="R33" s="1331"/>
      <c r="S33" s="204"/>
      <c r="T33" s="82" t="s">
        <v>533</v>
      </c>
    </row>
    <row r="34" spans="1:29" s="528" customFormat="1" x14ac:dyDescent="0.3">
      <c r="A34" s="84"/>
      <c r="B34" s="626"/>
      <c r="C34" s="621"/>
      <c r="D34" s="621" t="s">
        <v>2</v>
      </c>
      <c r="E34" s="627"/>
      <c r="F34" s="610" t="s">
        <v>534</v>
      </c>
      <c r="G34" s="611" t="s">
        <v>554</v>
      </c>
      <c r="H34" s="611" t="s">
        <v>80</v>
      </c>
      <c r="I34" s="611" t="s">
        <v>430</v>
      </c>
      <c r="J34" s="617">
        <v>1</v>
      </c>
      <c r="K34" s="620">
        <f t="shared" si="10"/>
        <v>1396500</v>
      </c>
      <c r="L34" s="620">
        <v>1470000</v>
      </c>
      <c r="M34" s="613">
        <f t="shared" si="11"/>
        <v>1396500</v>
      </c>
      <c r="N34" s="614">
        <v>0</v>
      </c>
      <c r="O34" s="1566">
        <f t="shared" si="8"/>
        <v>1470000</v>
      </c>
      <c r="P34" s="1567"/>
      <c r="Q34" s="1568" t="s">
        <v>524</v>
      </c>
      <c r="R34" s="1569"/>
      <c r="S34" s="204"/>
      <c r="T34" s="625" t="s">
        <v>555</v>
      </c>
      <c r="U34" s="70"/>
      <c r="V34" s="70"/>
      <c r="W34" s="70"/>
      <c r="X34" s="70"/>
      <c r="Y34" s="70"/>
      <c r="Z34" s="70"/>
      <c r="AA34" s="70"/>
    </row>
    <row r="35" spans="1:29" s="528" customFormat="1" ht="17.25" thickBot="1" x14ac:dyDescent="0.35">
      <c r="A35" s="84"/>
      <c r="B35" s="581"/>
      <c r="C35" s="184"/>
      <c r="D35" s="184"/>
      <c r="E35" s="582"/>
      <c r="F35" s="156"/>
      <c r="G35" s="155"/>
      <c r="H35" s="155"/>
      <c r="I35" s="155"/>
      <c r="J35" s="184"/>
      <c r="K35" s="199"/>
      <c r="L35" s="55"/>
      <c r="M35" s="164"/>
      <c r="N35" s="158"/>
      <c r="O35" s="577"/>
      <c r="P35" s="578"/>
      <c r="Q35" s="570"/>
      <c r="R35" s="571"/>
      <c r="S35" s="204"/>
      <c r="T35" s="70"/>
      <c r="U35" s="70"/>
      <c r="V35" s="70"/>
      <c r="W35" s="70"/>
      <c r="X35" s="70"/>
      <c r="Y35" s="70"/>
      <c r="Z35" s="70"/>
      <c r="AA35" s="70"/>
      <c r="AB35" s="70"/>
      <c r="AC35" s="70"/>
    </row>
    <row r="36" spans="1:29" s="528" customFormat="1" ht="17.25" thickBot="1" x14ac:dyDescent="0.35">
      <c r="A36" s="84"/>
      <c r="B36" s="587" t="s">
        <v>2</v>
      </c>
      <c r="C36" s="588"/>
      <c r="D36" s="588"/>
      <c r="E36" s="589"/>
      <c r="F36" s="270" t="s">
        <v>267</v>
      </c>
      <c r="G36" s="590"/>
      <c r="H36" s="590"/>
      <c r="I36" s="590"/>
      <c r="J36" s="590"/>
      <c r="K36" s="590"/>
      <c r="L36" s="591"/>
      <c r="M36" s="592"/>
      <c r="N36" s="593"/>
      <c r="O36" s="1324"/>
      <c r="P36" s="1325"/>
      <c r="Q36" s="1336"/>
      <c r="R36" s="1337"/>
      <c r="S36" s="115"/>
      <c r="T36" s="70"/>
      <c r="U36" s="70"/>
      <c r="V36" s="70"/>
      <c r="W36" s="70"/>
      <c r="X36" s="70"/>
      <c r="Y36" s="70"/>
      <c r="Z36" s="70"/>
      <c r="AA36" s="70"/>
      <c r="AB36" s="70"/>
      <c r="AC36" s="70"/>
    </row>
    <row r="37" spans="1:29" s="413" customFormat="1" x14ac:dyDescent="0.3">
      <c r="A37" s="82"/>
      <c r="B37" s="500"/>
      <c r="C37" s="501" t="s">
        <v>2</v>
      </c>
      <c r="D37" s="144"/>
      <c r="E37" s="145"/>
      <c r="F37" s="146" t="s">
        <v>418</v>
      </c>
      <c r="G37" s="144"/>
      <c r="H37" s="176" t="s">
        <v>60</v>
      </c>
      <c r="I37" s="144"/>
      <c r="J37" s="144">
        <v>1</v>
      </c>
      <c r="K37" s="157">
        <v>5000000</v>
      </c>
      <c r="L37" s="157">
        <v>5000000</v>
      </c>
      <c r="M37" s="163">
        <f>J37*K37</f>
        <v>5000000</v>
      </c>
      <c r="N37" s="148">
        <v>0.3</v>
      </c>
      <c r="O37" s="1480">
        <f t="shared" ref="O37:O54" si="12">J37*L37*(1+N37)</f>
        <v>6500000</v>
      </c>
      <c r="P37" s="1481"/>
      <c r="Q37" s="1482"/>
      <c r="R37" s="1483"/>
      <c r="S37" s="287"/>
    </row>
    <row r="38" spans="1:29" s="413" customFormat="1" x14ac:dyDescent="0.3">
      <c r="A38" s="82"/>
      <c r="B38" s="498"/>
      <c r="C38" s="499"/>
      <c r="D38" s="155" t="s">
        <v>2</v>
      </c>
      <c r="E38" s="151"/>
      <c r="F38" s="156" t="s">
        <v>247</v>
      </c>
      <c r="G38" s="155" t="s">
        <v>248</v>
      </c>
      <c r="H38" s="155" t="s">
        <v>249</v>
      </c>
      <c r="I38" s="155" t="s">
        <v>249</v>
      </c>
      <c r="J38" s="155">
        <v>1</v>
      </c>
      <c r="K38" s="157">
        <v>530000</v>
      </c>
      <c r="L38" s="157">
        <v>530000</v>
      </c>
      <c r="M38" s="164">
        <f>J38*K38</f>
        <v>530000</v>
      </c>
      <c r="N38" s="158">
        <v>0.3</v>
      </c>
      <c r="O38" s="1328">
        <f t="shared" si="12"/>
        <v>689000</v>
      </c>
      <c r="P38" s="1329"/>
      <c r="Q38" s="570"/>
      <c r="R38" s="571"/>
      <c r="S38" s="152"/>
    </row>
    <row r="39" spans="1:29" s="413" customFormat="1" x14ac:dyDescent="0.3">
      <c r="A39" s="82"/>
      <c r="B39" s="498"/>
      <c r="C39" s="499"/>
      <c r="D39" s="155" t="s">
        <v>2</v>
      </c>
      <c r="E39" s="151"/>
      <c r="F39" s="156" t="s">
        <v>250</v>
      </c>
      <c r="G39" s="155" t="s">
        <v>329</v>
      </c>
      <c r="H39" s="155" t="s">
        <v>330</v>
      </c>
      <c r="I39" s="155" t="s">
        <v>251</v>
      </c>
      <c r="J39" s="155">
        <v>1</v>
      </c>
      <c r="K39" s="157">
        <v>200000</v>
      </c>
      <c r="L39" s="157">
        <v>200000</v>
      </c>
      <c r="M39" s="164">
        <f>J39*K39</f>
        <v>200000</v>
      </c>
      <c r="N39" s="158">
        <v>0.3</v>
      </c>
      <c r="O39" s="1328">
        <f t="shared" si="12"/>
        <v>260000</v>
      </c>
      <c r="P39" s="1329"/>
      <c r="Q39" s="1330"/>
      <c r="R39" s="1331"/>
      <c r="S39" s="152"/>
    </row>
    <row r="40" spans="1:29" s="413" customFormat="1" x14ac:dyDescent="0.3">
      <c r="A40" s="82"/>
      <c r="B40" s="498"/>
      <c r="C40" s="499"/>
      <c r="D40" s="155" t="s">
        <v>2</v>
      </c>
      <c r="E40" s="151"/>
      <c r="F40" s="156" t="s">
        <v>252</v>
      </c>
      <c r="G40" s="155" t="s">
        <v>253</v>
      </c>
      <c r="H40" s="155" t="s">
        <v>254</v>
      </c>
      <c r="I40" s="155" t="s">
        <v>254</v>
      </c>
      <c r="J40" s="184">
        <v>1</v>
      </c>
      <c r="K40" s="55">
        <v>3000000</v>
      </c>
      <c r="L40" s="55">
        <v>3000000</v>
      </c>
      <c r="M40" s="164">
        <f>J40*K40</f>
        <v>3000000</v>
      </c>
      <c r="N40" s="158">
        <v>0.3</v>
      </c>
      <c r="O40" s="1328">
        <f t="shared" si="12"/>
        <v>3900000</v>
      </c>
      <c r="P40" s="1329"/>
      <c r="Q40" s="570"/>
      <c r="R40" s="571"/>
      <c r="S40" s="204"/>
    </row>
    <row r="41" spans="1:29" s="413" customFormat="1" x14ac:dyDescent="0.3">
      <c r="A41" s="82"/>
      <c r="B41" s="498"/>
      <c r="C41" s="499"/>
      <c r="D41" s="155" t="s">
        <v>2</v>
      </c>
      <c r="E41" s="151"/>
      <c r="F41" s="156" t="s">
        <v>245</v>
      </c>
      <c r="G41" s="155" t="s">
        <v>246</v>
      </c>
      <c r="H41" s="155" t="s">
        <v>183</v>
      </c>
      <c r="I41" s="155"/>
      <c r="J41" s="155">
        <v>1</v>
      </c>
      <c r="K41" s="157">
        <v>200000</v>
      </c>
      <c r="L41" s="157">
        <v>200000</v>
      </c>
      <c r="M41" s="164">
        <f t="shared" ref="M41" si="13">J41*K41</f>
        <v>200000</v>
      </c>
      <c r="N41" s="158">
        <v>0.3</v>
      </c>
      <c r="O41" s="1328">
        <f t="shared" si="12"/>
        <v>260000</v>
      </c>
      <c r="P41" s="1329"/>
      <c r="Q41" s="1330"/>
      <c r="R41" s="1331"/>
      <c r="S41" s="152"/>
    </row>
    <row r="42" spans="1:29" s="528" customFormat="1" x14ac:dyDescent="0.3">
      <c r="A42" s="84"/>
      <c r="B42" s="581"/>
      <c r="C42" s="184"/>
      <c r="D42" s="184" t="s">
        <v>2</v>
      </c>
      <c r="E42" s="582"/>
      <c r="F42" s="156" t="s">
        <v>343</v>
      </c>
      <c r="G42" s="155" t="s">
        <v>334</v>
      </c>
      <c r="H42" s="155" t="s">
        <v>328</v>
      </c>
      <c r="I42" s="155"/>
      <c r="J42" s="184">
        <v>1</v>
      </c>
      <c r="K42" s="169">
        <v>450000</v>
      </c>
      <c r="L42" s="169">
        <v>500000</v>
      </c>
      <c r="M42" s="164">
        <f>J42*K42</f>
        <v>450000</v>
      </c>
      <c r="N42" s="158">
        <v>0</v>
      </c>
      <c r="O42" s="1328">
        <f t="shared" si="12"/>
        <v>500000</v>
      </c>
      <c r="P42" s="1329"/>
      <c r="Q42" s="1330" t="s">
        <v>522</v>
      </c>
      <c r="R42" s="1331"/>
      <c r="S42" s="204"/>
      <c r="T42" s="70"/>
      <c r="U42" s="70"/>
      <c r="V42" s="70"/>
      <c r="W42" s="70"/>
      <c r="X42" s="70"/>
      <c r="Y42" s="70"/>
      <c r="Z42" s="70"/>
      <c r="AA42" s="70"/>
    </row>
    <row r="43" spans="1:29" s="413" customFormat="1" x14ac:dyDescent="0.3">
      <c r="A43" s="82"/>
      <c r="B43" s="594"/>
      <c r="C43" s="184" t="s">
        <v>2</v>
      </c>
      <c r="D43" s="184"/>
      <c r="E43" s="595"/>
      <c r="F43" s="203" t="s">
        <v>268</v>
      </c>
      <c r="G43" s="176">
        <f>450*11.25</f>
        <v>5062.5</v>
      </c>
      <c r="H43" s="176"/>
      <c r="I43" s="155"/>
      <c r="J43" s="155">
        <v>1</v>
      </c>
      <c r="K43" s="157"/>
      <c r="L43" s="157"/>
      <c r="M43" s="164">
        <f t="shared" ref="M43:M48" si="14">J43*K43</f>
        <v>0</v>
      </c>
      <c r="N43" s="158">
        <v>0.3</v>
      </c>
      <c r="O43" s="577">
        <f t="shared" si="12"/>
        <v>0</v>
      </c>
      <c r="P43" s="578"/>
      <c r="Q43" s="570"/>
      <c r="R43" s="571"/>
      <c r="S43" s="152"/>
    </row>
    <row r="44" spans="1:29" s="528" customFormat="1" x14ac:dyDescent="0.3">
      <c r="A44" s="84"/>
      <c r="B44" s="594"/>
      <c r="C44" s="176"/>
      <c r="D44" s="176" t="s">
        <v>2</v>
      </c>
      <c r="E44" s="595"/>
      <c r="F44" s="203" t="s">
        <v>284</v>
      </c>
      <c r="G44" s="176"/>
      <c r="H44" s="176" t="s">
        <v>60</v>
      </c>
      <c r="I44" s="155"/>
      <c r="J44" s="155">
        <v>1</v>
      </c>
      <c r="K44" s="157">
        <v>1000000</v>
      </c>
      <c r="L44" s="157">
        <v>1000000</v>
      </c>
      <c r="M44" s="164">
        <f>J44*K44</f>
        <v>1000000</v>
      </c>
      <c r="N44" s="158">
        <v>0.3</v>
      </c>
      <c r="O44" s="1328">
        <f t="shared" si="12"/>
        <v>1300000</v>
      </c>
      <c r="P44" s="1329"/>
      <c r="Q44" s="570"/>
      <c r="R44" s="571"/>
      <c r="S44" s="152"/>
      <c r="T44" s="70"/>
      <c r="U44" s="70"/>
      <c r="V44" s="70"/>
      <c r="W44" s="70"/>
      <c r="X44" s="70"/>
      <c r="Y44" s="70"/>
      <c r="Z44" s="70"/>
      <c r="AA44" s="70"/>
    </row>
    <row r="45" spans="1:29" s="413" customFormat="1" x14ac:dyDescent="0.3">
      <c r="A45" s="82"/>
      <c r="B45" s="594"/>
      <c r="C45" s="176"/>
      <c r="D45" s="184" t="s">
        <v>2</v>
      </c>
      <c r="E45" s="595"/>
      <c r="F45" s="203" t="s">
        <v>519</v>
      </c>
      <c r="G45" s="176" t="s">
        <v>520</v>
      </c>
      <c r="H45" s="176" t="s">
        <v>521</v>
      </c>
      <c r="I45" s="155"/>
      <c r="J45" s="155">
        <v>6</v>
      </c>
      <c r="K45" s="157">
        <v>20000</v>
      </c>
      <c r="L45" s="157">
        <v>20000</v>
      </c>
      <c r="M45" s="164">
        <f t="shared" ref="M45" si="15">J45*K45</f>
        <v>120000</v>
      </c>
      <c r="N45" s="158">
        <v>0.3</v>
      </c>
      <c r="O45" s="1328">
        <f t="shared" ref="O45" si="16">J45*L45*(1+N45)</f>
        <v>156000</v>
      </c>
      <c r="P45" s="1329"/>
      <c r="Q45" s="570"/>
      <c r="R45" s="571"/>
      <c r="S45" s="152"/>
    </row>
    <row r="46" spans="1:29" s="413" customFormat="1" x14ac:dyDescent="0.3">
      <c r="A46" s="82"/>
      <c r="B46" s="594"/>
      <c r="C46" s="176"/>
      <c r="D46" s="184" t="s">
        <v>2</v>
      </c>
      <c r="E46" s="595"/>
      <c r="F46" s="203" t="s">
        <v>269</v>
      </c>
      <c r="G46" s="176" t="s">
        <v>270</v>
      </c>
      <c r="H46" s="176" t="s">
        <v>271</v>
      </c>
      <c r="I46" s="155"/>
      <c r="J46" s="155">
        <v>1</v>
      </c>
      <c r="K46" s="157">
        <v>120000</v>
      </c>
      <c r="L46" s="157">
        <v>120000</v>
      </c>
      <c r="M46" s="164">
        <f t="shared" si="14"/>
        <v>120000</v>
      </c>
      <c r="N46" s="158">
        <v>0.3</v>
      </c>
      <c r="O46" s="1328">
        <f t="shared" si="12"/>
        <v>156000</v>
      </c>
      <c r="P46" s="1329"/>
      <c r="Q46" s="1488"/>
      <c r="R46" s="1489"/>
      <c r="S46" s="152"/>
    </row>
    <row r="47" spans="1:29" s="413" customFormat="1" x14ac:dyDescent="0.3">
      <c r="A47" s="82"/>
      <c r="B47" s="607"/>
      <c r="C47" s="608"/>
      <c r="D47" s="617" t="s">
        <v>2</v>
      </c>
      <c r="E47" s="622"/>
      <c r="F47" s="623" t="s">
        <v>516</v>
      </c>
      <c r="G47" s="608" t="s">
        <v>517</v>
      </c>
      <c r="H47" s="608" t="s">
        <v>518</v>
      </c>
      <c r="I47" s="611"/>
      <c r="J47" s="611">
        <v>7</v>
      </c>
      <c r="K47" s="612">
        <v>100000</v>
      </c>
      <c r="L47" s="612">
        <v>100000</v>
      </c>
      <c r="M47" s="613">
        <f t="shared" ref="M47" si="17">J47*K47</f>
        <v>700000</v>
      </c>
      <c r="N47" s="614">
        <v>0.3</v>
      </c>
      <c r="O47" s="1566">
        <f t="shared" ref="O47" si="18">J47*L47*(1+N47)</f>
        <v>910000</v>
      </c>
      <c r="P47" s="1567"/>
      <c r="Q47" s="1488"/>
      <c r="R47" s="1489"/>
      <c r="S47" s="152"/>
    </row>
    <row r="48" spans="1:29" s="413" customFormat="1" x14ac:dyDescent="0.3">
      <c r="A48" s="82"/>
      <c r="B48" s="594"/>
      <c r="C48" s="176"/>
      <c r="D48" s="184" t="s">
        <v>2</v>
      </c>
      <c r="E48" s="595"/>
      <c r="F48" s="203" t="s">
        <v>272</v>
      </c>
      <c r="G48" s="184" t="s">
        <v>286</v>
      </c>
      <c r="H48" s="184" t="s">
        <v>287</v>
      </c>
      <c r="I48" s="155"/>
      <c r="J48" s="155">
        <v>1</v>
      </c>
      <c r="K48" s="157">
        <v>230000</v>
      </c>
      <c r="L48" s="157">
        <v>230000</v>
      </c>
      <c r="M48" s="164">
        <f t="shared" si="14"/>
        <v>230000</v>
      </c>
      <c r="N48" s="158">
        <v>0.3</v>
      </c>
      <c r="O48" s="1328">
        <f t="shared" si="12"/>
        <v>299000</v>
      </c>
      <c r="P48" s="1329"/>
      <c r="Q48" s="1330" t="s">
        <v>572</v>
      </c>
      <c r="R48" s="1331"/>
      <c r="S48" s="152"/>
    </row>
    <row r="49" spans="1:29" s="413" customFormat="1" x14ac:dyDescent="0.3">
      <c r="A49" s="82"/>
      <c r="B49" s="594"/>
      <c r="C49" s="176"/>
      <c r="D49" s="184" t="s">
        <v>2</v>
      </c>
      <c r="E49" s="595"/>
      <c r="F49" s="596" t="s">
        <v>355</v>
      </c>
      <c r="G49" s="184" t="s">
        <v>285</v>
      </c>
      <c r="H49" s="184" t="s">
        <v>277</v>
      </c>
      <c r="I49" s="155"/>
      <c r="J49" s="155">
        <v>1</v>
      </c>
      <c r="K49" s="157">
        <v>70000</v>
      </c>
      <c r="L49" s="157">
        <v>70000</v>
      </c>
      <c r="M49" s="164">
        <f>J49*K49</f>
        <v>70000</v>
      </c>
      <c r="N49" s="158">
        <v>0.3</v>
      </c>
      <c r="O49" s="1328">
        <f t="shared" si="12"/>
        <v>91000</v>
      </c>
      <c r="P49" s="1329"/>
      <c r="Q49" s="1330" t="s">
        <v>571</v>
      </c>
      <c r="R49" s="1331"/>
      <c r="S49" s="152"/>
    </row>
    <row r="50" spans="1:29" s="413" customFormat="1" x14ac:dyDescent="0.3">
      <c r="A50" s="82"/>
      <c r="B50" s="594"/>
      <c r="C50" s="176"/>
      <c r="D50" s="184" t="s">
        <v>2</v>
      </c>
      <c r="E50" s="595"/>
      <c r="F50" s="203" t="s">
        <v>413</v>
      </c>
      <c r="G50" s="184" t="s">
        <v>515</v>
      </c>
      <c r="H50" s="184" t="s">
        <v>415</v>
      </c>
      <c r="I50" s="155"/>
      <c r="J50" s="155">
        <v>1</v>
      </c>
      <c r="K50" s="157">
        <v>450000</v>
      </c>
      <c r="L50" s="157">
        <v>450000</v>
      </c>
      <c r="M50" s="164">
        <f t="shared" ref="M50:M51" si="19">J50*K50</f>
        <v>450000</v>
      </c>
      <c r="N50" s="158">
        <v>0.3</v>
      </c>
      <c r="O50" s="1328">
        <f t="shared" si="12"/>
        <v>585000</v>
      </c>
      <c r="P50" s="1329"/>
      <c r="Q50" s="1330" t="s">
        <v>573</v>
      </c>
      <c r="R50" s="1331"/>
      <c r="S50" s="473"/>
    </row>
    <row r="51" spans="1:29" s="413" customFormat="1" x14ac:dyDescent="0.3">
      <c r="A51" s="82"/>
      <c r="B51" s="594"/>
      <c r="C51" s="176"/>
      <c r="D51" s="184" t="s">
        <v>2</v>
      </c>
      <c r="E51" s="595"/>
      <c r="F51" s="203" t="s">
        <v>414</v>
      </c>
      <c r="G51" s="184" t="s">
        <v>514</v>
      </c>
      <c r="H51" s="184" t="s">
        <v>415</v>
      </c>
      <c r="I51" s="155"/>
      <c r="J51" s="155">
        <v>1</v>
      </c>
      <c r="K51" s="157">
        <v>1000000</v>
      </c>
      <c r="L51" s="157">
        <v>1000000</v>
      </c>
      <c r="M51" s="164">
        <f t="shared" si="19"/>
        <v>1000000</v>
      </c>
      <c r="N51" s="158">
        <v>0.3</v>
      </c>
      <c r="O51" s="1328">
        <f t="shared" si="12"/>
        <v>1300000</v>
      </c>
      <c r="P51" s="1329"/>
      <c r="Q51" s="1330" t="s">
        <v>574</v>
      </c>
      <c r="R51" s="1331"/>
      <c r="S51" s="473"/>
    </row>
    <row r="52" spans="1:29" s="413" customFormat="1" x14ac:dyDescent="0.3">
      <c r="A52" s="82"/>
      <c r="B52" s="594"/>
      <c r="C52" s="176"/>
      <c r="D52" s="176" t="s">
        <v>2</v>
      </c>
      <c r="E52" s="595"/>
      <c r="F52" s="203" t="s">
        <v>357</v>
      </c>
      <c r="G52" s="184" t="s">
        <v>285</v>
      </c>
      <c r="H52" s="176" t="s">
        <v>277</v>
      </c>
      <c r="I52" s="155"/>
      <c r="J52" s="155">
        <v>1</v>
      </c>
      <c r="K52" s="157">
        <v>70000</v>
      </c>
      <c r="L52" s="157">
        <v>70000</v>
      </c>
      <c r="M52" s="157">
        <v>70000</v>
      </c>
      <c r="N52" s="158">
        <v>0.3</v>
      </c>
      <c r="O52" s="1328">
        <f t="shared" si="12"/>
        <v>91000</v>
      </c>
      <c r="P52" s="1329"/>
      <c r="Q52" s="1330" t="s">
        <v>361</v>
      </c>
      <c r="R52" s="1331"/>
      <c r="S52" s="152"/>
    </row>
    <row r="53" spans="1:29" s="413" customFormat="1" x14ac:dyDescent="0.3">
      <c r="A53" s="82"/>
      <c r="B53" s="594"/>
      <c r="C53" s="176"/>
      <c r="D53" s="176" t="s">
        <v>2</v>
      </c>
      <c r="E53" s="595"/>
      <c r="F53" s="203" t="s">
        <v>471</v>
      </c>
      <c r="G53" s="184"/>
      <c r="H53" s="176"/>
      <c r="I53" s="155"/>
      <c r="J53" s="155">
        <v>6</v>
      </c>
      <c r="K53" s="157">
        <v>20000</v>
      </c>
      <c r="L53" s="157">
        <v>20000</v>
      </c>
      <c r="M53" s="157">
        <f t="shared" ref="M53" si="20">J53*K53</f>
        <v>120000</v>
      </c>
      <c r="N53" s="158">
        <v>0.3</v>
      </c>
      <c r="O53" s="1328">
        <f t="shared" si="12"/>
        <v>156000</v>
      </c>
      <c r="P53" s="1329"/>
      <c r="Q53" s="1330" t="s">
        <v>570</v>
      </c>
      <c r="R53" s="1331"/>
      <c r="S53" s="152"/>
    </row>
    <row r="54" spans="1:29" s="413" customFormat="1" x14ac:dyDescent="0.3">
      <c r="A54" s="82"/>
      <c r="B54" s="594"/>
      <c r="C54" s="176" t="s">
        <v>2</v>
      </c>
      <c r="D54" s="184"/>
      <c r="E54" s="595"/>
      <c r="F54" s="203" t="s">
        <v>419</v>
      </c>
      <c r="G54" s="176"/>
      <c r="H54" s="176" t="s">
        <v>60</v>
      </c>
      <c r="I54" s="155"/>
      <c r="J54" s="155">
        <v>1</v>
      </c>
      <c r="K54" s="157">
        <v>3000000</v>
      </c>
      <c r="L54" s="157">
        <v>3000000</v>
      </c>
      <c r="M54" s="164">
        <f>J54*K54</f>
        <v>3000000</v>
      </c>
      <c r="N54" s="158">
        <v>0.3</v>
      </c>
      <c r="O54" s="1328">
        <f t="shared" si="12"/>
        <v>3900000</v>
      </c>
      <c r="P54" s="1329"/>
      <c r="Q54" s="570"/>
      <c r="R54" s="571"/>
      <c r="S54" s="152"/>
    </row>
    <row r="55" spans="1:29" s="528" customFormat="1" ht="17.25" thickBot="1" x14ac:dyDescent="0.35">
      <c r="A55" s="84"/>
      <c r="B55" s="365"/>
      <c r="C55" s="366"/>
      <c r="D55" s="366"/>
      <c r="E55" s="367"/>
      <c r="F55" s="156"/>
      <c r="G55" s="155"/>
      <c r="H55" s="155"/>
      <c r="I55" s="155"/>
      <c r="J55" s="186"/>
      <c r="K55" s="199"/>
      <c r="L55" s="55"/>
      <c r="M55" s="164"/>
      <c r="N55" s="158"/>
      <c r="O55" s="548"/>
      <c r="P55" s="549"/>
      <c r="Q55" s="550"/>
      <c r="R55" s="551"/>
      <c r="S55" s="204"/>
      <c r="T55" s="70"/>
      <c r="U55" s="70"/>
      <c r="V55" s="70"/>
      <c r="W55" s="70"/>
      <c r="X55" s="70"/>
      <c r="Y55" s="70"/>
      <c r="Z55" s="70"/>
      <c r="AA55" s="70"/>
      <c r="AB55" s="70"/>
      <c r="AC55" s="70"/>
    </row>
    <row r="56" spans="1:29" s="413" customFormat="1" ht="18" thickBot="1" x14ac:dyDescent="0.35">
      <c r="A56" s="82"/>
      <c r="B56" s="1338" t="s">
        <v>53</v>
      </c>
      <c r="C56" s="1339"/>
      <c r="D56" s="1339"/>
      <c r="E56" s="1339"/>
      <c r="F56" s="1339"/>
      <c r="G56" s="1339"/>
      <c r="H56" s="1339"/>
      <c r="I56" s="1339"/>
      <c r="J56" s="1339"/>
      <c r="K56" s="1339"/>
      <c r="L56" s="1340"/>
      <c r="M56" s="123">
        <f>SUM(M5:M55)</f>
        <v>106823401.558</v>
      </c>
      <c r="N56" s="136"/>
      <c r="O56" s="1341">
        <f>SUM(O5:P55)</f>
        <v>149523000</v>
      </c>
      <c r="P56" s="1342"/>
      <c r="Q56" s="1343"/>
      <c r="R56" s="1344"/>
      <c r="S56" s="130"/>
      <c r="T56" s="70"/>
      <c r="U56" s="70"/>
      <c r="V56" s="70"/>
      <c r="W56" s="70"/>
      <c r="X56" s="70"/>
      <c r="Y56" s="70"/>
      <c r="Z56" s="70"/>
      <c r="AA56" s="70"/>
      <c r="AB56" s="70"/>
      <c r="AC56" s="70"/>
    </row>
    <row r="57" spans="1:29" s="528" customFormat="1" ht="17.25" thickBot="1" x14ac:dyDescent="0.35">
      <c r="A57" s="84"/>
      <c r="B57" s="122" t="s">
        <v>2</v>
      </c>
      <c r="C57" s="116"/>
      <c r="D57" s="116"/>
      <c r="E57" s="117"/>
      <c r="F57" s="118" t="s">
        <v>321</v>
      </c>
      <c r="G57" s="119"/>
      <c r="H57" s="119"/>
      <c r="I57" s="119"/>
      <c r="J57" s="119"/>
      <c r="K57" s="119"/>
      <c r="L57" s="120"/>
      <c r="M57" s="121"/>
      <c r="N57" s="135"/>
      <c r="O57" s="1447"/>
      <c r="P57" s="1448"/>
      <c r="Q57" s="1326"/>
      <c r="R57" s="1327"/>
      <c r="S57" s="115"/>
      <c r="T57" s="70"/>
      <c r="U57" s="70"/>
      <c r="V57" s="70"/>
      <c r="W57" s="70"/>
      <c r="X57" s="70"/>
      <c r="Y57" s="70"/>
      <c r="Z57" s="70"/>
      <c r="AA57" s="70"/>
    </row>
    <row r="58" spans="1:29" s="528" customFormat="1" x14ac:dyDescent="0.3">
      <c r="A58" s="84"/>
      <c r="B58" s="131"/>
      <c r="C58" s="132" t="s">
        <v>73</v>
      </c>
      <c r="D58" s="133"/>
      <c r="E58" s="165"/>
      <c r="F58" s="227" t="s">
        <v>319</v>
      </c>
      <c r="G58" s="222" t="s">
        <v>94</v>
      </c>
      <c r="H58" s="222" t="s">
        <v>130</v>
      </c>
      <c r="I58" s="222" t="s">
        <v>131</v>
      </c>
      <c r="J58" s="371">
        <v>15</v>
      </c>
      <c r="K58" s="55">
        <v>307000</v>
      </c>
      <c r="L58" s="55">
        <v>307000</v>
      </c>
      <c r="M58" s="230">
        <f t="shared" ref="M58:M59" si="21">J58*K58</f>
        <v>4605000</v>
      </c>
      <c r="N58" s="148"/>
      <c r="O58" s="1365">
        <f t="shared" ref="O58:O59" si="22">L58*J58</f>
        <v>4605000</v>
      </c>
      <c r="P58" s="1366"/>
      <c r="Q58" s="1492"/>
      <c r="R58" s="1493"/>
      <c r="S58" s="207"/>
      <c r="T58" s="70"/>
      <c r="U58" s="70"/>
      <c r="V58" s="70"/>
      <c r="W58" s="70"/>
      <c r="X58" s="70"/>
      <c r="Y58" s="70"/>
      <c r="Z58" s="70"/>
      <c r="AA58" s="70"/>
    </row>
    <row r="59" spans="1:29" s="528" customFormat="1" x14ac:dyDescent="0.3">
      <c r="A59" s="84"/>
      <c r="B59" s="628"/>
      <c r="C59" s="629" t="s">
        <v>73</v>
      </c>
      <c r="D59" s="630"/>
      <c r="E59" s="631"/>
      <c r="F59" s="632" t="s">
        <v>320</v>
      </c>
      <c r="G59" s="633" t="s">
        <v>94</v>
      </c>
      <c r="H59" s="633" t="s">
        <v>130</v>
      </c>
      <c r="I59" s="633" t="s">
        <v>131</v>
      </c>
      <c r="J59" s="634">
        <v>50</v>
      </c>
      <c r="K59" s="620">
        <v>307000</v>
      </c>
      <c r="L59" s="620">
        <v>307000</v>
      </c>
      <c r="M59" s="635">
        <f t="shared" si="21"/>
        <v>15350000</v>
      </c>
      <c r="N59" s="614"/>
      <c r="O59" s="1566">
        <f t="shared" si="22"/>
        <v>15350000</v>
      </c>
      <c r="P59" s="1567"/>
      <c r="Q59" s="1494"/>
      <c r="R59" s="1495"/>
      <c r="S59" s="212"/>
      <c r="T59" s="70"/>
      <c r="U59" s="70"/>
      <c r="V59" s="70"/>
      <c r="W59" s="70"/>
      <c r="X59" s="70"/>
      <c r="Y59" s="70"/>
      <c r="Z59" s="70"/>
      <c r="AA59" s="70"/>
    </row>
    <row r="60" spans="1:29" s="528" customFormat="1" ht="17.25" thickBot="1" x14ac:dyDescent="0.35">
      <c r="A60" s="84"/>
      <c r="B60" s="213"/>
      <c r="C60" s="214"/>
      <c r="D60" s="215"/>
      <c r="E60" s="216"/>
      <c r="F60" s="229"/>
      <c r="G60" s="224"/>
      <c r="H60" s="224"/>
      <c r="I60" s="224"/>
      <c r="J60" s="373" t="s">
        <v>513</v>
      </c>
      <c r="K60" s="225"/>
      <c r="L60" s="225"/>
      <c r="M60" s="226"/>
      <c r="N60" s="162"/>
      <c r="O60" s="1365">
        <f t="shared" ref="O60" si="23">L60</f>
        <v>0</v>
      </c>
      <c r="P60" s="1366"/>
      <c r="Q60" s="1453"/>
      <c r="R60" s="1454"/>
      <c r="S60" s="217"/>
      <c r="T60" s="70"/>
      <c r="U60" s="70"/>
      <c r="V60" s="70"/>
      <c r="W60" s="70"/>
      <c r="X60" s="70"/>
      <c r="Y60" s="70"/>
      <c r="Z60" s="70"/>
      <c r="AA60" s="70"/>
    </row>
    <row r="61" spans="1:29" s="528" customFormat="1" ht="17.25" thickBot="1" x14ac:dyDescent="0.35">
      <c r="A61" s="84"/>
      <c r="B61" s="122" t="s">
        <v>2</v>
      </c>
      <c r="C61" s="116"/>
      <c r="D61" s="116"/>
      <c r="E61" s="117"/>
      <c r="F61" s="218" t="s">
        <v>243</v>
      </c>
      <c r="G61" s="219"/>
      <c r="H61" s="219"/>
      <c r="I61" s="219"/>
      <c r="J61" s="219"/>
      <c r="K61" s="220"/>
      <c r="L61" s="220"/>
      <c r="M61" s="221"/>
      <c r="N61" s="135"/>
      <c r="O61" s="1447"/>
      <c r="P61" s="1448"/>
      <c r="Q61" s="1447"/>
      <c r="R61" s="1448"/>
      <c r="S61" s="115"/>
      <c r="T61" s="70"/>
      <c r="U61" s="70"/>
      <c r="V61" s="70"/>
      <c r="W61" s="70"/>
      <c r="X61" s="70"/>
      <c r="Y61" s="70"/>
      <c r="Z61" s="70"/>
      <c r="AA61" s="70"/>
      <c r="AB61" s="70"/>
      <c r="AC61" s="70"/>
    </row>
    <row r="62" spans="1:29" x14ac:dyDescent="0.3">
      <c r="B62" s="64"/>
      <c r="C62" s="65" t="s">
        <v>2</v>
      </c>
      <c r="D62" s="65"/>
      <c r="E62" s="66"/>
      <c r="F62" s="88" t="s">
        <v>7</v>
      </c>
      <c r="G62" s="85"/>
      <c r="H62" s="223" t="s">
        <v>130</v>
      </c>
      <c r="I62" s="223" t="s">
        <v>131</v>
      </c>
      <c r="J62" s="80">
        <v>5</v>
      </c>
      <c r="K62" s="55">
        <v>307000</v>
      </c>
      <c r="L62" s="55">
        <v>307000</v>
      </c>
      <c r="M62" s="112">
        <f>K62*J62</f>
        <v>1535000</v>
      </c>
      <c r="N62" s="137"/>
      <c r="O62" s="1365">
        <f t="shared" ref="O62:O68" si="24">L62*J62</f>
        <v>1535000</v>
      </c>
      <c r="P62" s="1366"/>
      <c r="Q62" s="1359" t="s">
        <v>62</v>
      </c>
      <c r="R62" s="1360"/>
      <c r="S62" s="94"/>
    </row>
    <row r="63" spans="1:29" x14ac:dyDescent="0.3">
      <c r="B63" s="62"/>
      <c r="C63" s="63" t="s">
        <v>2</v>
      </c>
      <c r="D63" s="63"/>
      <c r="E63" s="61"/>
      <c r="F63" s="89" t="s">
        <v>11</v>
      </c>
      <c r="G63" s="86"/>
      <c r="H63" s="223" t="s">
        <v>130</v>
      </c>
      <c r="I63" s="223" t="s">
        <v>131</v>
      </c>
      <c r="J63" s="56">
        <v>3</v>
      </c>
      <c r="K63" s="55">
        <v>307000</v>
      </c>
      <c r="L63" s="55">
        <v>307000</v>
      </c>
      <c r="M63" s="113">
        <f t="shared" ref="M63:M68" si="25">K63*J63</f>
        <v>921000</v>
      </c>
      <c r="N63" s="138"/>
      <c r="O63" s="1365">
        <f t="shared" si="24"/>
        <v>921000</v>
      </c>
      <c r="P63" s="1366"/>
      <c r="Q63" s="1361"/>
      <c r="R63" s="1362"/>
      <c r="S63" s="95"/>
    </row>
    <row r="64" spans="1:29" x14ac:dyDescent="0.3">
      <c r="B64" s="62"/>
      <c r="C64" s="63" t="s">
        <v>2</v>
      </c>
      <c r="D64" s="63"/>
      <c r="E64" s="61"/>
      <c r="F64" s="89" t="s">
        <v>41</v>
      </c>
      <c r="G64" s="86"/>
      <c r="H64" s="223" t="s">
        <v>130</v>
      </c>
      <c r="I64" s="223" t="s">
        <v>131</v>
      </c>
      <c r="J64" s="56">
        <v>5</v>
      </c>
      <c r="K64" s="55">
        <v>307000</v>
      </c>
      <c r="L64" s="55">
        <v>307000</v>
      </c>
      <c r="M64" s="113">
        <f t="shared" si="25"/>
        <v>1535000</v>
      </c>
      <c r="N64" s="138"/>
      <c r="O64" s="1365">
        <f t="shared" si="24"/>
        <v>1535000</v>
      </c>
      <c r="P64" s="1366"/>
      <c r="Q64" s="1361"/>
      <c r="R64" s="1362"/>
      <c r="S64" s="95"/>
    </row>
    <row r="65" spans="1:29" x14ac:dyDescent="0.3">
      <c r="B65" s="62"/>
      <c r="C65" s="63" t="s">
        <v>2</v>
      </c>
      <c r="D65" s="63"/>
      <c r="E65" s="61"/>
      <c r="F65" s="89" t="s">
        <v>10</v>
      </c>
      <c r="G65" s="86"/>
      <c r="H65" s="223" t="s">
        <v>130</v>
      </c>
      <c r="I65" s="223" t="s">
        <v>131</v>
      </c>
      <c r="J65" s="56">
        <v>3</v>
      </c>
      <c r="K65" s="55">
        <v>307000</v>
      </c>
      <c r="L65" s="55">
        <v>307000</v>
      </c>
      <c r="M65" s="113">
        <f t="shared" si="25"/>
        <v>921000</v>
      </c>
      <c r="N65" s="138"/>
      <c r="O65" s="1365">
        <f t="shared" si="24"/>
        <v>921000</v>
      </c>
      <c r="P65" s="1366"/>
      <c r="Q65" s="1361"/>
      <c r="R65" s="1362"/>
      <c r="S65" s="95"/>
    </row>
    <row r="66" spans="1:29" x14ac:dyDescent="0.3">
      <c r="B66" s="62"/>
      <c r="C66" s="63" t="s">
        <v>2</v>
      </c>
      <c r="D66" s="63"/>
      <c r="E66" s="61"/>
      <c r="F66" s="89" t="s">
        <v>61</v>
      </c>
      <c r="G66" s="86"/>
      <c r="H66" s="223" t="s">
        <v>130</v>
      </c>
      <c r="I66" s="223" t="s">
        <v>131</v>
      </c>
      <c r="J66" s="56">
        <v>2</v>
      </c>
      <c r="K66" s="55">
        <v>307000</v>
      </c>
      <c r="L66" s="55">
        <v>307000</v>
      </c>
      <c r="M66" s="113">
        <f t="shared" si="25"/>
        <v>614000</v>
      </c>
      <c r="N66" s="138"/>
      <c r="O66" s="1365">
        <f t="shared" si="24"/>
        <v>614000</v>
      </c>
      <c r="P66" s="1366"/>
      <c r="Q66" s="1361"/>
      <c r="R66" s="1362"/>
      <c r="S66" s="95"/>
    </row>
    <row r="67" spans="1:29" x14ac:dyDescent="0.3">
      <c r="B67" s="67"/>
      <c r="C67" s="63" t="s">
        <v>2</v>
      </c>
      <c r="D67" s="68"/>
      <c r="E67" s="69"/>
      <c r="F67" s="90" t="s">
        <v>9</v>
      </c>
      <c r="G67" s="86"/>
      <c r="H67" s="223" t="s">
        <v>130</v>
      </c>
      <c r="I67" s="223" t="s">
        <v>131</v>
      </c>
      <c r="J67" s="56">
        <v>5</v>
      </c>
      <c r="K67" s="55">
        <v>307000</v>
      </c>
      <c r="L67" s="55">
        <v>307000</v>
      </c>
      <c r="M67" s="113">
        <f t="shared" si="25"/>
        <v>1535000</v>
      </c>
      <c r="N67" s="138"/>
      <c r="O67" s="1365">
        <f t="shared" si="24"/>
        <v>1535000</v>
      </c>
      <c r="P67" s="1366"/>
      <c r="Q67" s="1361"/>
      <c r="R67" s="1362"/>
      <c r="S67" s="95"/>
    </row>
    <row r="68" spans="1:29" ht="17.25" thickBot="1" x14ac:dyDescent="0.35">
      <c r="B68" s="57"/>
      <c r="C68" s="58" t="s">
        <v>2</v>
      </c>
      <c r="D68" s="58"/>
      <c r="E68" s="60"/>
      <c r="F68" s="91" t="s">
        <v>8</v>
      </c>
      <c r="G68" s="87"/>
      <c r="H68" s="223" t="s">
        <v>130</v>
      </c>
      <c r="I68" s="223" t="s">
        <v>131</v>
      </c>
      <c r="J68" s="59">
        <v>2</v>
      </c>
      <c r="K68" s="55">
        <v>307000</v>
      </c>
      <c r="L68" s="55">
        <v>307000</v>
      </c>
      <c r="M68" s="114">
        <f t="shared" si="25"/>
        <v>614000</v>
      </c>
      <c r="N68" s="139"/>
      <c r="O68" s="1365">
        <f t="shared" si="24"/>
        <v>614000</v>
      </c>
      <c r="P68" s="1366"/>
      <c r="Q68" s="1363"/>
      <c r="R68" s="1364"/>
      <c r="S68" s="96"/>
    </row>
    <row r="69" spans="1:29" ht="18" thickBot="1" x14ac:dyDescent="0.35">
      <c r="B69" s="1345" t="s">
        <v>46</v>
      </c>
      <c r="C69" s="1346"/>
      <c r="D69" s="1346"/>
      <c r="E69" s="1346"/>
      <c r="F69" s="1346"/>
      <c r="G69" s="1346"/>
      <c r="H69" s="1346"/>
      <c r="I69" s="1346"/>
      <c r="J69" s="1346"/>
      <c r="K69" s="1346"/>
      <c r="L69" s="1347"/>
      <c r="M69" s="124">
        <f>SUM(M57:M68)</f>
        <v>27630000</v>
      </c>
      <c r="N69" s="140"/>
      <c r="O69" s="1348">
        <f>SUM(O57:P68)</f>
        <v>27630000</v>
      </c>
      <c r="P69" s="1349"/>
      <c r="Q69" s="1350"/>
      <c r="R69" s="1350"/>
      <c r="S69" s="1351"/>
    </row>
    <row r="70" spans="1:29" ht="20.25" thickBot="1" x14ac:dyDescent="0.35">
      <c r="B70" s="1352" t="s">
        <v>52</v>
      </c>
      <c r="C70" s="1353"/>
      <c r="D70" s="1353"/>
      <c r="E70" s="1353"/>
      <c r="F70" s="1353"/>
      <c r="G70" s="1353"/>
      <c r="H70" s="1353"/>
      <c r="I70" s="1353"/>
      <c r="J70" s="1353"/>
      <c r="K70" s="1353"/>
      <c r="L70" s="1353"/>
      <c r="M70" s="125"/>
      <c r="N70" s="134">
        <v>0.03</v>
      </c>
      <c r="O70" s="1354">
        <f>ROUNDDOWN(O56*N70,-3)</f>
        <v>4485000</v>
      </c>
      <c r="P70" s="1355"/>
      <c r="Q70" s="1356"/>
      <c r="R70" s="1357"/>
      <c r="S70" s="1358"/>
      <c r="T70" s="529"/>
      <c r="U70" s="529"/>
      <c r="V70" s="529"/>
      <c r="W70" s="529"/>
      <c r="X70" s="529"/>
      <c r="Y70" s="529"/>
      <c r="Z70" s="529"/>
      <c r="AA70" s="529"/>
      <c r="AB70" s="529"/>
      <c r="AC70" s="529"/>
    </row>
    <row r="71" spans="1:29" ht="20.25" thickBot="1" x14ac:dyDescent="0.35">
      <c r="B71" s="1352" t="s">
        <v>54</v>
      </c>
      <c r="C71" s="1353"/>
      <c r="D71" s="1353"/>
      <c r="E71" s="1353"/>
      <c r="F71" s="1353"/>
      <c r="G71" s="1353"/>
      <c r="H71" s="1353"/>
      <c r="I71" s="1353"/>
      <c r="J71" s="1353"/>
      <c r="K71" s="1353"/>
      <c r="L71" s="1353"/>
      <c r="M71" s="127"/>
      <c r="N71" s="128"/>
      <c r="O71" s="1354">
        <f>SUM(O70,O69,O56)</f>
        <v>181638000</v>
      </c>
      <c r="P71" s="1355"/>
      <c r="Q71" s="1374"/>
      <c r="R71" s="1375"/>
      <c r="S71" s="1376"/>
      <c r="T71" s="529"/>
      <c r="U71" s="529"/>
      <c r="V71" s="529"/>
      <c r="W71" s="529"/>
      <c r="X71" s="529"/>
      <c r="Y71" s="529"/>
      <c r="Z71" s="529"/>
      <c r="AA71" s="529"/>
      <c r="AB71" s="529"/>
      <c r="AC71" s="529"/>
    </row>
    <row r="72" spans="1:29" ht="20.25" thickBot="1" x14ac:dyDescent="0.35">
      <c r="B72" s="1352" t="s">
        <v>51</v>
      </c>
      <c r="C72" s="1353"/>
      <c r="D72" s="1353"/>
      <c r="E72" s="1353"/>
      <c r="F72" s="1353"/>
      <c r="G72" s="1353"/>
      <c r="H72" s="1353"/>
      <c r="I72" s="1353"/>
      <c r="J72" s="1353"/>
      <c r="K72" s="1353"/>
      <c r="L72" s="1353"/>
      <c r="M72" s="129"/>
      <c r="N72" s="126">
        <v>0.1</v>
      </c>
      <c r="O72" s="1381">
        <f>ROUNDDOWN(O71*N72,-3)</f>
        <v>18163000</v>
      </c>
      <c r="P72" s="1382"/>
      <c r="Q72" s="1383"/>
      <c r="R72" s="1384"/>
      <c r="S72" s="1385"/>
      <c r="T72" s="529"/>
      <c r="U72" s="529"/>
      <c r="V72" s="529"/>
      <c r="W72" s="529"/>
      <c r="X72" s="529"/>
      <c r="Y72" s="529"/>
      <c r="Z72" s="529"/>
      <c r="AA72" s="529"/>
      <c r="AB72" s="529"/>
      <c r="AC72" s="529"/>
    </row>
    <row r="73" spans="1:29" ht="21" thickBot="1" x14ac:dyDescent="0.35">
      <c r="B73" s="1367" t="s">
        <v>44</v>
      </c>
      <c r="C73" s="1368"/>
      <c r="D73" s="1368"/>
      <c r="E73" s="1368"/>
      <c r="F73" s="1368"/>
      <c r="G73" s="1368"/>
      <c r="H73" s="1368"/>
      <c r="I73" s="1368"/>
      <c r="J73" s="1368"/>
      <c r="K73" s="1368"/>
      <c r="L73" s="1368"/>
      <c r="M73" s="92"/>
      <c r="N73" s="111"/>
      <c r="O73" s="1369">
        <f>ROUNDDOWN(SUM(O71:P72), -6)</f>
        <v>199000000</v>
      </c>
      <c r="P73" s="1370"/>
      <c r="Q73" s="1371"/>
      <c r="R73" s="1372"/>
      <c r="S73" s="1373"/>
      <c r="T73" s="529"/>
      <c r="U73" s="529"/>
      <c r="V73" s="529"/>
      <c r="W73" s="529"/>
      <c r="X73" s="529"/>
      <c r="Y73" s="529"/>
      <c r="Z73" s="529"/>
      <c r="AA73" s="529"/>
      <c r="AB73" s="529"/>
      <c r="AC73" s="529"/>
    </row>
    <row r="74" spans="1:29" ht="21" thickBot="1" x14ac:dyDescent="0.35">
      <c r="B74" s="104"/>
      <c r="C74" s="104"/>
      <c r="D74" s="104"/>
      <c r="E74" s="104"/>
      <c r="F74" s="105"/>
      <c r="G74" s="105"/>
      <c r="H74" s="105"/>
      <c r="I74" s="105"/>
      <c r="J74" s="105"/>
      <c r="K74" s="105"/>
      <c r="L74" s="105"/>
      <c r="M74" s="106"/>
      <c r="N74" s="107"/>
      <c r="O74" s="107"/>
      <c r="P74" s="107"/>
      <c r="Q74" s="108"/>
      <c r="R74" s="108"/>
      <c r="S74" s="108"/>
      <c r="T74" s="529"/>
      <c r="U74" s="529"/>
      <c r="V74" s="529"/>
      <c r="W74" s="529"/>
      <c r="X74" s="529"/>
      <c r="Y74" s="529"/>
      <c r="Z74" s="529"/>
      <c r="AA74" s="529"/>
      <c r="AB74" s="529"/>
      <c r="AC74" s="529"/>
    </row>
    <row r="75" spans="1:29" ht="18" thickBot="1" x14ac:dyDescent="0.35">
      <c r="B75" s="1374" t="s">
        <v>50</v>
      </c>
      <c r="C75" s="1375"/>
      <c r="D75" s="1375"/>
      <c r="E75" s="1376"/>
      <c r="F75" s="109"/>
      <c r="G75" s="109"/>
      <c r="H75" s="109"/>
      <c r="I75" s="109"/>
      <c r="J75" s="109"/>
      <c r="K75" s="110"/>
      <c r="L75" s="110"/>
      <c r="M75" s="110"/>
      <c r="N75" s="77" t="s">
        <v>14</v>
      </c>
      <c r="O75" s="1377" t="s">
        <v>15</v>
      </c>
      <c r="P75" s="1378"/>
      <c r="Q75" s="1379" t="s">
        <v>17</v>
      </c>
      <c r="R75" s="1380"/>
      <c r="S75" s="166" t="s">
        <v>16</v>
      </c>
    </row>
    <row r="76" spans="1:29" ht="18" customHeight="1" x14ac:dyDescent="0.3">
      <c r="B76" s="102">
        <v>1</v>
      </c>
      <c r="C76" s="1400"/>
      <c r="D76" s="1401"/>
      <c r="E76" s="1401"/>
      <c r="F76" s="1401"/>
      <c r="G76" s="1401"/>
      <c r="H76" s="1401"/>
      <c r="I76" s="1401"/>
      <c r="J76" s="1402"/>
      <c r="N76" s="11">
        <v>0</v>
      </c>
      <c r="O76" s="1403">
        <f>$O$73/(1+N76)</f>
        <v>199000000</v>
      </c>
      <c r="P76" s="1404"/>
      <c r="Q76" s="1405">
        <f>O76-$M$56</f>
        <v>92176598.442000002</v>
      </c>
      <c r="R76" s="1406"/>
      <c r="S76" s="160">
        <f>Q76/O76</f>
        <v>0.46319898714572866</v>
      </c>
    </row>
    <row r="77" spans="1:29" ht="18" customHeight="1" x14ac:dyDescent="0.3">
      <c r="B77" s="100">
        <v>2</v>
      </c>
      <c r="C77" s="1458"/>
      <c r="D77" s="1456"/>
      <c r="E77" s="1456"/>
      <c r="F77" s="1456"/>
      <c r="G77" s="1456"/>
      <c r="H77" s="1456"/>
      <c r="I77" s="1456"/>
      <c r="J77" s="1457"/>
      <c r="N77" s="9">
        <v>0.1</v>
      </c>
      <c r="O77" s="1389">
        <f>$O$73/(1+N77)</f>
        <v>180909090.90909091</v>
      </c>
      <c r="P77" s="1390"/>
      <c r="Q77" s="1391">
        <f t="shared" ref="Q77:Q80" si="26">O77-$M$56</f>
        <v>74085689.351090908</v>
      </c>
      <c r="R77" s="1392"/>
      <c r="S77" s="161">
        <f t="shared" ref="S77:S80" si="27">Q77/O77</f>
        <v>0.4095188858603015</v>
      </c>
    </row>
    <row r="78" spans="1:29" ht="18" customHeight="1" x14ac:dyDescent="0.3">
      <c r="B78" s="100">
        <v>3</v>
      </c>
      <c r="C78" s="1455"/>
      <c r="D78" s="1456"/>
      <c r="E78" s="1456"/>
      <c r="F78" s="1456"/>
      <c r="G78" s="1456"/>
      <c r="H78" s="1456"/>
      <c r="I78" s="1456"/>
      <c r="J78" s="1457"/>
      <c r="N78" s="10">
        <v>0.15</v>
      </c>
      <c r="O78" s="1389">
        <f t="shared" ref="O78:O79" si="28">$O$73/(1+N78)</f>
        <v>173043478.26086959</v>
      </c>
      <c r="P78" s="1390"/>
      <c r="Q78" s="1391">
        <f t="shared" si="26"/>
        <v>66220076.702869594</v>
      </c>
      <c r="R78" s="1392"/>
      <c r="S78" s="161">
        <f t="shared" si="27"/>
        <v>0.38267883521758805</v>
      </c>
    </row>
    <row r="79" spans="1:29" ht="18" customHeight="1" x14ac:dyDescent="0.3">
      <c r="A79" s="103"/>
      <c r="B79" s="100">
        <v>4</v>
      </c>
      <c r="C79" s="1455"/>
      <c r="D79" s="1456"/>
      <c r="E79" s="1456"/>
      <c r="F79" s="1456"/>
      <c r="G79" s="1456"/>
      <c r="H79" s="1456"/>
      <c r="I79" s="1456"/>
      <c r="J79" s="1457"/>
      <c r="N79" s="10">
        <v>0.2</v>
      </c>
      <c r="O79" s="1389">
        <f t="shared" si="28"/>
        <v>165833333.33333334</v>
      </c>
      <c r="P79" s="1390"/>
      <c r="Q79" s="1391">
        <f t="shared" si="26"/>
        <v>59009931.775333345</v>
      </c>
      <c r="R79" s="1392"/>
      <c r="S79" s="161">
        <f t="shared" si="27"/>
        <v>0.35583878457487444</v>
      </c>
    </row>
    <row r="80" spans="1:29" ht="18" customHeight="1" thickBot="1" x14ac:dyDescent="0.35">
      <c r="B80" s="100">
        <v>5</v>
      </c>
      <c r="C80" s="1393"/>
      <c r="D80" s="1394"/>
      <c r="E80" s="1394"/>
      <c r="F80" s="1394"/>
      <c r="G80" s="1394"/>
      <c r="H80" s="1394"/>
      <c r="I80" s="1394"/>
      <c r="J80" s="1395"/>
      <c r="N80" s="12" t="s">
        <v>45</v>
      </c>
      <c r="O80" s="1396">
        <v>0</v>
      </c>
      <c r="P80" s="1397"/>
      <c r="Q80" s="1398">
        <f t="shared" si="26"/>
        <v>-106823401.558</v>
      </c>
      <c r="R80" s="1399"/>
      <c r="S80" s="99" t="e">
        <f t="shared" si="27"/>
        <v>#DIV/0!</v>
      </c>
    </row>
    <row r="81" spans="1:29" ht="18" customHeight="1" thickBot="1" x14ac:dyDescent="0.35">
      <c r="B81" s="100">
        <v>6</v>
      </c>
      <c r="C81" s="1393"/>
      <c r="D81" s="1394"/>
      <c r="E81" s="1394"/>
      <c r="F81" s="1394"/>
      <c r="G81" s="1394"/>
      <c r="H81" s="1394"/>
      <c r="I81" s="1394"/>
      <c r="J81" s="1395"/>
    </row>
    <row r="82" spans="1:29" ht="18" customHeight="1" thickBot="1" x14ac:dyDescent="0.35">
      <c r="B82" s="100">
        <v>7</v>
      </c>
      <c r="C82" s="552"/>
      <c r="D82" s="553"/>
      <c r="E82" s="553"/>
      <c r="F82" s="553"/>
      <c r="G82" s="553"/>
      <c r="H82" s="553"/>
      <c r="I82" s="553"/>
      <c r="J82" s="554"/>
      <c r="N82" s="1410" t="s">
        <v>47</v>
      </c>
      <c r="O82" s="1411"/>
      <c r="P82" s="1412" t="s">
        <v>48</v>
      </c>
      <c r="Q82" s="1413"/>
      <c r="R82" s="1414" t="s">
        <v>49</v>
      </c>
      <c r="S82" s="1415"/>
    </row>
    <row r="83" spans="1:29" ht="18" customHeight="1" x14ac:dyDescent="0.3">
      <c r="B83" s="100">
        <v>8</v>
      </c>
      <c r="C83" s="1393"/>
      <c r="D83" s="1394"/>
      <c r="E83" s="1394"/>
      <c r="F83" s="1394"/>
      <c r="G83" s="1394"/>
      <c r="H83" s="1394"/>
      <c r="I83" s="1394"/>
      <c r="J83" s="1395"/>
      <c r="N83" s="1416"/>
      <c r="O83" s="1417"/>
      <c r="P83" s="1422"/>
      <c r="Q83" s="1423"/>
      <c r="R83" s="1428"/>
      <c r="S83" s="1429"/>
    </row>
    <row r="84" spans="1:29" ht="18" customHeight="1" x14ac:dyDescent="0.3">
      <c r="B84" s="100"/>
      <c r="C84" s="1434"/>
      <c r="D84" s="1435"/>
      <c r="E84" s="1435"/>
      <c r="F84" s="1435"/>
      <c r="G84" s="1435"/>
      <c r="H84" s="1435"/>
      <c r="I84" s="1435"/>
      <c r="J84" s="1436"/>
      <c r="N84" s="1418"/>
      <c r="O84" s="1419"/>
      <c r="P84" s="1424"/>
      <c r="Q84" s="1425"/>
      <c r="R84" s="1430"/>
      <c r="S84" s="1431"/>
    </row>
    <row r="85" spans="1:29" ht="18" customHeight="1" x14ac:dyDescent="0.3">
      <c r="B85" s="100"/>
      <c r="C85" s="1434"/>
      <c r="D85" s="1435"/>
      <c r="E85" s="1435"/>
      <c r="F85" s="1435"/>
      <c r="G85" s="1435"/>
      <c r="H85" s="1435"/>
      <c r="I85" s="1435"/>
      <c r="J85" s="1436"/>
      <c r="N85" s="1418"/>
      <c r="O85" s="1419"/>
      <c r="P85" s="1424"/>
      <c r="Q85" s="1425"/>
      <c r="R85" s="1430"/>
      <c r="S85" s="1431"/>
    </row>
    <row r="86" spans="1:29" ht="18" customHeight="1" thickBot="1" x14ac:dyDescent="0.35">
      <c r="B86" s="101"/>
      <c r="C86" s="1407"/>
      <c r="D86" s="1408"/>
      <c r="E86" s="1408"/>
      <c r="F86" s="1408"/>
      <c r="G86" s="1408"/>
      <c r="H86" s="1408"/>
      <c r="I86" s="1408"/>
      <c r="J86" s="1409"/>
      <c r="N86" s="1420"/>
      <c r="O86" s="1421"/>
      <c r="P86" s="1426"/>
      <c r="Q86" s="1427"/>
      <c r="R86" s="1432"/>
      <c r="S86" s="1433"/>
    </row>
    <row r="87" spans="1:29" s="529" customFormat="1" x14ac:dyDescent="0.3">
      <c r="A87"/>
      <c r="B87" s="2"/>
      <c r="C87" s="2"/>
      <c r="D87" s="2"/>
      <c r="E87" s="2"/>
      <c r="F87" s="3"/>
      <c r="G87" s="3"/>
      <c r="H87" s="3"/>
      <c r="I87" s="3"/>
      <c r="J87" s="3"/>
      <c r="K87" s="1"/>
      <c r="L87" s="1"/>
      <c r="M87" s="1"/>
      <c r="N87" s="5"/>
      <c r="O87" s="1"/>
      <c r="P87" s="1"/>
      <c r="Q87"/>
      <c r="R87"/>
      <c r="S87" s="93"/>
      <c r="T87" s="70"/>
      <c r="U87" s="70"/>
      <c r="V87" s="70"/>
      <c r="W87" s="70"/>
      <c r="X87" s="70"/>
      <c r="Y87" s="70"/>
      <c r="Z87" s="70"/>
      <c r="AA87" s="70"/>
      <c r="AB87" s="70"/>
      <c r="AC87" s="70"/>
    </row>
    <row r="88" spans="1:29" s="529" customFormat="1" x14ac:dyDescent="0.3">
      <c r="A88"/>
      <c r="B88" s="2"/>
      <c r="C88" s="2"/>
      <c r="D88" s="2"/>
      <c r="E88" s="2"/>
      <c r="F88" s="3"/>
      <c r="G88" s="3"/>
      <c r="H88" s="3"/>
      <c r="I88" s="3"/>
      <c r="J88" s="3"/>
      <c r="K88" s="1"/>
      <c r="L88" s="1"/>
      <c r="M88" s="1"/>
      <c r="N88" s="5"/>
      <c r="O88" s="1"/>
      <c r="P88" s="1"/>
      <c r="Q88"/>
      <c r="R88"/>
      <c r="S88" s="93"/>
      <c r="T88" s="70"/>
      <c r="U88" s="70"/>
      <c r="V88" s="70"/>
      <c r="W88" s="70"/>
      <c r="X88" s="70"/>
      <c r="Y88" s="70"/>
      <c r="Z88" s="70"/>
      <c r="AA88" s="70"/>
      <c r="AB88" s="70"/>
      <c r="AC88" s="70"/>
    </row>
    <row r="89" spans="1:29" s="529" customFormat="1" x14ac:dyDescent="0.3">
      <c r="A89"/>
      <c r="B89" s="2"/>
      <c r="C89" s="2"/>
      <c r="D89" s="2"/>
      <c r="E89" s="2"/>
      <c r="F89" s="3"/>
      <c r="G89" s="3"/>
      <c r="H89" s="3"/>
      <c r="I89" s="3"/>
      <c r="J89" s="3"/>
      <c r="K89" s="1"/>
      <c r="L89" s="1"/>
      <c r="M89" s="1"/>
      <c r="N89" s="5"/>
      <c r="O89" s="1"/>
      <c r="P89" s="1"/>
      <c r="Q89"/>
      <c r="R89"/>
      <c r="S89" s="93"/>
      <c r="T89" s="70"/>
      <c r="U89" s="70"/>
      <c r="V89" s="70"/>
      <c r="W89" s="70"/>
      <c r="X89" s="70"/>
      <c r="Y89" s="70"/>
      <c r="Z89" s="70"/>
      <c r="AA89" s="70"/>
      <c r="AB89" s="70"/>
      <c r="AC89" s="70"/>
    </row>
    <row r="90" spans="1:29" s="529" customFormat="1" x14ac:dyDescent="0.3">
      <c r="A90"/>
      <c r="B90" s="2"/>
      <c r="C90" s="2"/>
      <c r="D90" s="2"/>
      <c r="E90" s="2"/>
      <c r="F90" s="3"/>
      <c r="G90" s="3"/>
      <c r="H90" s="3"/>
      <c r="I90" s="3"/>
      <c r="J90" s="3"/>
      <c r="K90" s="1"/>
      <c r="L90" s="1"/>
      <c r="M90" s="1"/>
      <c r="N90" s="5"/>
      <c r="O90" s="1"/>
      <c r="P90" s="1"/>
      <c r="Q90"/>
      <c r="R90"/>
      <c r="S90" s="93"/>
      <c r="T90" s="70"/>
      <c r="U90" s="70"/>
      <c r="V90" s="70"/>
      <c r="W90" s="70"/>
      <c r="X90" s="70"/>
      <c r="Y90" s="70"/>
      <c r="Z90" s="70"/>
      <c r="AA90" s="70"/>
      <c r="AB90" s="70"/>
      <c r="AC90" s="70"/>
    </row>
    <row r="91" spans="1:29" s="529" customFormat="1" x14ac:dyDescent="0.3">
      <c r="A91"/>
      <c r="B91" s="2"/>
      <c r="C91" s="2"/>
      <c r="D91" s="2"/>
      <c r="E91" s="2"/>
      <c r="F91" s="3"/>
      <c r="G91" s="3"/>
      <c r="H91" s="3"/>
      <c r="I91" s="3"/>
      <c r="J91" s="3"/>
      <c r="K91" s="1"/>
      <c r="L91" s="1"/>
      <c r="M91" s="1"/>
      <c r="N91" s="5"/>
      <c r="O91" s="1"/>
      <c r="P91" s="1"/>
      <c r="Q91"/>
      <c r="R91"/>
      <c r="S91" s="93"/>
      <c r="T91" s="70"/>
      <c r="U91" s="70"/>
      <c r="V91" s="70"/>
      <c r="W91" s="70"/>
      <c r="X91" s="70"/>
      <c r="Y91" s="70"/>
      <c r="Z91" s="70"/>
      <c r="AA91" s="70"/>
      <c r="AB91" s="70"/>
      <c r="AC91" s="70"/>
    </row>
  </sheetData>
  <mergeCells count="147">
    <mergeCell ref="O47:P47"/>
    <mergeCell ref="O45:P45"/>
    <mergeCell ref="C83:J83"/>
    <mergeCell ref="N83:O86"/>
    <mergeCell ref="P83:Q86"/>
    <mergeCell ref="R83:S86"/>
    <mergeCell ref="C84:J84"/>
    <mergeCell ref="C85:J85"/>
    <mergeCell ref="C86:J86"/>
    <mergeCell ref="C80:J80"/>
    <mergeCell ref="O80:P80"/>
    <mergeCell ref="Q80:R80"/>
    <mergeCell ref="C81:J81"/>
    <mergeCell ref="N82:O82"/>
    <mergeCell ref="P82:Q82"/>
    <mergeCell ref="R82:S82"/>
    <mergeCell ref="C78:J78"/>
    <mergeCell ref="O78:P78"/>
    <mergeCell ref="Q78:R78"/>
    <mergeCell ref="C79:J79"/>
    <mergeCell ref="O79:P79"/>
    <mergeCell ref="Q79:R79"/>
    <mergeCell ref="C76:J76"/>
    <mergeCell ref="O76:P76"/>
    <mergeCell ref="Q76:R76"/>
    <mergeCell ref="C77:J77"/>
    <mergeCell ref="O77:P77"/>
    <mergeCell ref="Q77:R77"/>
    <mergeCell ref="B73:L73"/>
    <mergeCell ref="O73:P73"/>
    <mergeCell ref="Q73:S73"/>
    <mergeCell ref="B75:E75"/>
    <mergeCell ref="O75:P75"/>
    <mergeCell ref="Q75:R75"/>
    <mergeCell ref="B71:L71"/>
    <mergeCell ref="O71:P71"/>
    <mergeCell ref="Q71:S71"/>
    <mergeCell ref="B72:L72"/>
    <mergeCell ref="O72:P72"/>
    <mergeCell ref="Q72:S72"/>
    <mergeCell ref="B69:L69"/>
    <mergeCell ref="O69:P69"/>
    <mergeCell ref="Q69:S69"/>
    <mergeCell ref="B70:L70"/>
    <mergeCell ref="O70:P70"/>
    <mergeCell ref="Q70:S70"/>
    <mergeCell ref="O61:P61"/>
    <mergeCell ref="Q61:R61"/>
    <mergeCell ref="O62:P62"/>
    <mergeCell ref="Q62:R68"/>
    <mergeCell ref="O63:P63"/>
    <mergeCell ref="O64:P64"/>
    <mergeCell ref="O65:P65"/>
    <mergeCell ref="O66:P66"/>
    <mergeCell ref="O67:P67"/>
    <mergeCell ref="O68:P68"/>
    <mergeCell ref="O58:P58"/>
    <mergeCell ref="Q58:R58"/>
    <mergeCell ref="O59:P59"/>
    <mergeCell ref="Q59:R59"/>
    <mergeCell ref="O60:P60"/>
    <mergeCell ref="Q60:R60"/>
    <mergeCell ref="O54:P54"/>
    <mergeCell ref="B56:L56"/>
    <mergeCell ref="O56:P56"/>
    <mergeCell ref="Q56:R56"/>
    <mergeCell ref="O57:P57"/>
    <mergeCell ref="Q57:R57"/>
    <mergeCell ref="O51:P51"/>
    <mergeCell ref="Q51:R51"/>
    <mergeCell ref="O52:P52"/>
    <mergeCell ref="Q52:R52"/>
    <mergeCell ref="O53:P53"/>
    <mergeCell ref="Q53:R53"/>
    <mergeCell ref="O48:P48"/>
    <mergeCell ref="Q48:R48"/>
    <mergeCell ref="O49:P49"/>
    <mergeCell ref="Q49:R49"/>
    <mergeCell ref="O50:P50"/>
    <mergeCell ref="Q50:R50"/>
    <mergeCell ref="O41:P41"/>
    <mergeCell ref="Q41:R41"/>
    <mergeCell ref="O42:P42"/>
    <mergeCell ref="Q42:R42"/>
    <mergeCell ref="O44:P44"/>
    <mergeCell ref="O46:P46"/>
    <mergeCell ref="O37:P37"/>
    <mergeCell ref="Q37:R37"/>
    <mergeCell ref="O38:P38"/>
    <mergeCell ref="O39:P39"/>
    <mergeCell ref="Q39:R39"/>
    <mergeCell ref="O40:P40"/>
    <mergeCell ref="O33:P33"/>
    <mergeCell ref="Q33:R33"/>
    <mergeCell ref="O34:P34"/>
    <mergeCell ref="Q34:R34"/>
    <mergeCell ref="O36:P36"/>
    <mergeCell ref="Q36:R36"/>
    <mergeCell ref="O29:P29"/>
    <mergeCell ref="O30:P30"/>
    <mergeCell ref="Q30:R30"/>
    <mergeCell ref="O31:P31"/>
    <mergeCell ref="Q31:R31"/>
    <mergeCell ref="O32:P32"/>
    <mergeCell ref="Q32:R32"/>
    <mergeCell ref="Q26:R27"/>
    <mergeCell ref="Q21:R21"/>
    <mergeCell ref="Q22:R22"/>
    <mergeCell ref="Q23:R23"/>
    <mergeCell ref="Q24:R24"/>
    <mergeCell ref="O19:P19"/>
    <mergeCell ref="Q19:R20"/>
    <mergeCell ref="O20:P20"/>
    <mergeCell ref="O13:P13"/>
    <mergeCell ref="Q13:R13"/>
    <mergeCell ref="O25:P25"/>
    <mergeCell ref="Q25:R25"/>
    <mergeCell ref="O14:P14"/>
    <mergeCell ref="Q14:R14"/>
    <mergeCell ref="O15:P15"/>
    <mergeCell ref="Q15:R16"/>
    <mergeCell ref="O16:P16"/>
    <mergeCell ref="Q17:R18"/>
    <mergeCell ref="Q47:R47"/>
    <mergeCell ref="Q46:R46"/>
    <mergeCell ref="A2:S2"/>
    <mergeCell ref="Q3:S3"/>
    <mergeCell ref="B4:E4"/>
    <mergeCell ref="O4:P4"/>
    <mergeCell ref="Q4:R4"/>
    <mergeCell ref="O5:P5"/>
    <mergeCell ref="Q5:R5"/>
    <mergeCell ref="O9:P9"/>
    <mergeCell ref="Q9:R9"/>
    <mergeCell ref="O10:P10"/>
    <mergeCell ref="Q10:R10"/>
    <mergeCell ref="O11:P11"/>
    <mergeCell ref="Q11:R11"/>
    <mergeCell ref="O6:P6"/>
    <mergeCell ref="Q6:R6"/>
    <mergeCell ref="O7:P7"/>
    <mergeCell ref="Q7:R7"/>
    <mergeCell ref="O8:P8"/>
    <mergeCell ref="Q8:R8"/>
    <mergeCell ref="O28:P28"/>
    <mergeCell ref="O12:P12"/>
    <mergeCell ref="Q12:R12"/>
  </mergeCells>
  <phoneticPr fontId="2" type="noConversion"/>
  <pageMargins left="0.25" right="0.25" top="0.75" bottom="0.75" header="0.3" footer="0.3"/>
  <pageSetup paperSize="9" scale="10" fitToWidth="0" orientation="landscape" horizontalDpi="300" r:id="rId1"/>
  <headerFooter>
    <oddFooter>&amp;R&amp;D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AH77"/>
  <sheetViews>
    <sheetView zoomScale="85" zoomScaleNormal="85" zoomScaleSheetLayoutView="100" zoomScalePageLayoutView="85" workbookViewId="0">
      <selection activeCell="G24" sqref="G24"/>
    </sheetView>
  </sheetViews>
  <sheetFormatPr defaultRowHeight="16.5" x14ac:dyDescent="0.3"/>
  <cols>
    <col min="1" max="1" width="1.625" customWidth="1"/>
    <col min="2" max="5" width="3.375" style="2" customWidth="1"/>
    <col min="6" max="6" width="57.25" style="3" customWidth="1"/>
    <col min="7" max="7" width="25.625" style="3" bestFit="1" customWidth="1"/>
    <col min="8" max="9" width="16.625" style="3" customWidth="1"/>
    <col min="10" max="10" width="6.625" style="3" customWidth="1"/>
    <col min="11" max="13" width="16.625" style="1" customWidth="1"/>
    <col min="14" max="14" width="12.625" style="5" customWidth="1"/>
    <col min="15" max="15" width="9.625" style="1" customWidth="1"/>
    <col min="16" max="16" width="12.625" style="1" customWidth="1"/>
    <col min="17" max="18" width="22.375" customWidth="1"/>
    <col min="19" max="19" width="21.875" style="93" customWidth="1"/>
    <col min="20" max="20" width="2" style="70" customWidth="1"/>
  </cols>
  <sheetData>
    <row r="1" spans="1:32" ht="9.9499999999999993" customHeight="1" x14ac:dyDescent="0.3"/>
    <row r="2" spans="1:32" ht="26.25" x14ac:dyDescent="0.3">
      <c r="A2" s="1445" t="s">
        <v>244</v>
      </c>
      <c r="B2" s="1445"/>
      <c r="C2" s="1445"/>
      <c r="D2" s="1445"/>
      <c r="E2" s="1445"/>
      <c r="F2" s="1445"/>
      <c r="G2" s="1445"/>
      <c r="H2" s="1445"/>
      <c r="I2" s="1445"/>
      <c r="J2" s="1445"/>
      <c r="K2" s="1445"/>
      <c r="L2" s="1445"/>
      <c r="M2" s="1445"/>
      <c r="N2" s="1445"/>
      <c r="O2" s="1445"/>
      <c r="P2" s="1445"/>
      <c r="Q2" s="1445"/>
      <c r="R2" s="1445"/>
      <c r="S2" s="1445"/>
      <c r="T2" s="72"/>
    </row>
    <row r="3" spans="1:32" ht="17.25" thickBot="1" x14ac:dyDescent="0.35">
      <c r="Q3" s="1446">
        <v>45415</v>
      </c>
      <c r="R3" s="1446"/>
      <c r="S3" s="1446"/>
      <c r="T3" s="75"/>
    </row>
    <row r="4" spans="1:32" ht="18" thickBot="1" x14ac:dyDescent="0.35">
      <c r="B4" s="1318" t="s">
        <v>1</v>
      </c>
      <c r="C4" s="1319"/>
      <c r="D4" s="1319"/>
      <c r="E4" s="1320"/>
      <c r="F4" s="6" t="s">
        <v>56</v>
      </c>
      <c r="G4" s="6" t="s">
        <v>55</v>
      </c>
      <c r="H4" s="6" t="s">
        <v>0</v>
      </c>
      <c r="I4" s="6" t="s">
        <v>43</v>
      </c>
      <c r="J4" s="6" t="s">
        <v>4</v>
      </c>
      <c r="K4" s="7" t="s">
        <v>12</v>
      </c>
      <c r="L4" s="8" t="s">
        <v>39</v>
      </c>
      <c r="M4" s="8" t="s">
        <v>5</v>
      </c>
      <c r="N4" s="141" t="s">
        <v>13</v>
      </c>
      <c r="O4" s="1321" t="s">
        <v>6</v>
      </c>
      <c r="P4" s="1322"/>
      <c r="Q4" s="1319" t="s">
        <v>3</v>
      </c>
      <c r="R4" s="1323"/>
      <c r="S4" s="71" t="s">
        <v>59</v>
      </c>
      <c r="T4" s="75"/>
    </row>
    <row r="5" spans="1:32" s="82" customFormat="1" ht="17.25" thickBot="1" x14ac:dyDescent="0.35">
      <c r="B5" s="122" t="s">
        <v>2</v>
      </c>
      <c r="C5" s="116"/>
      <c r="D5" s="116"/>
      <c r="E5" s="117"/>
      <c r="F5" s="118" t="s">
        <v>265</v>
      </c>
      <c r="G5" s="119"/>
      <c r="H5" s="119"/>
      <c r="I5" s="119"/>
      <c r="J5" s="119"/>
      <c r="K5" s="272"/>
      <c r="L5" s="120"/>
      <c r="M5" s="121"/>
      <c r="N5" s="135"/>
      <c r="O5" s="1447"/>
      <c r="P5" s="1448"/>
      <c r="Q5" s="1326"/>
      <c r="R5" s="1327"/>
      <c r="S5" s="115"/>
      <c r="T5" s="73"/>
      <c r="U5"/>
      <c r="V5"/>
      <c r="W5"/>
      <c r="X5"/>
      <c r="Y5"/>
      <c r="Z5"/>
      <c r="AA5"/>
      <c r="AB5"/>
      <c r="AC5"/>
      <c r="AD5"/>
      <c r="AE5"/>
      <c r="AF5"/>
    </row>
    <row r="6" spans="1:32" s="369" customFormat="1" x14ac:dyDescent="0.3">
      <c r="B6" s="290"/>
      <c r="C6" s="291" t="s">
        <v>2</v>
      </c>
      <c r="D6" s="291"/>
      <c r="E6" s="292"/>
      <c r="F6" s="269" t="s">
        <v>275</v>
      </c>
      <c r="G6" s="184" t="s">
        <v>421</v>
      </c>
      <c r="H6" s="185" t="s">
        <v>131</v>
      </c>
      <c r="I6" s="185" t="s">
        <v>131</v>
      </c>
      <c r="J6" s="184">
        <v>1</v>
      </c>
      <c r="K6" s="169">
        <f>(7940+1350+440)*0.5*1.071*1400</f>
        <v>7294581</v>
      </c>
      <c r="L6" s="55">
        <v>12935000</v>
      </c>
      <c r="M6" s="164">
        <f>J6*K6</f>
        <v>7294581</v>
      </c>
      <c r="N6" s="158">
        <v>0</v>
      </c>
      <c r="O6" s="1365">
        <f>J6*L6/(1-N6)</f>
        <v>12935000</v>
      </c>
      <c r="P6" s="1366"/>
      <c r="Q6" s="1330" t="s">
        <v>437</v>
      </c>
      <c r="R6" s="1331"/>
      <c r="S6" s="168"/>
      <c r="T6" s="368"/>
      <c r="U6" s="370"/>
      <c r="V6" s="370" t="s">
        <v>297</v>
      </c>
      <c r="W6" s="370"/>
      <c r="X6" s="370"/>
      <c r="Y6" s="370"/>
      <c r="Z6" s="370"/>
      <c r="AA6" s="370"/>
      <c r="AB6" s="370"/>
      <c r="AC6" s="370"/>
      <c r="AD6" s="370"/>
      <c r="AE6" s="370"/>
      <c r="AF6" s="370"/>
    </row>
    <row r="7" spans="1:32" s="369" customFormat="1" x14ac:dyDescent="0.3">
      <c r="B7" s="290"/>
      <c r="C7" s="291"/>
      <c r="D7" s="291" t="s">
        <v>2</v>
      </c>
      <c r="E7" s="292"/>
      <c r="F7" s="269" t="s">
        <v>369</v>
      </c>
      <c r="G7" s="184">
        <v>701978</v>
      </c>
      <c r="H7" s="185" t="s">
        <v>131</v>
      </c>
      <c r="I7" s="185" t="s">
        <v>131</v>
      </c>
      <c r="J7" s="184">
        <v>1</v>
      </c>
      <c r="K7" s="169">
        <f>(1200)*0.6*1.071*1400</f>
        <v>1079568</v>
      </c>
      <c r="L7" s="55">
        <v>2025000</v>
      </c>
      <c r="M7" s="164">
        <f>J7*K7</f>
        <v>1079568</v>
      </c>
      <c r="N7" s="158">
        <v>0</v>
      </c>
      <c r="O7" s="1365">
        <f>J7*L7/(1-N7)</f>
        <v>2025000</v>
      </c>
      <c r="P7" s="1366"/>
      <c r="Q7" s="1330" t="s">
        <v>441</v>
      </c>
      <c r="R7" s="1331"/>
      <c r="S7" s="204"/>
      <c r="T7" s="368"/>
      <c r="U7" s="370"/>
      <c r="V7" s="370"/>
      <c r="W7" s="370"/>
      <c r="X7" s="370"/>
      <c r="Y7" s="370"/>
      <c r="Z7" s="370"/>
      <c r="AA7" s="370"/>
      <c r="AB7" s="370"/>
      <c r="AC7" s="370"/>
      <c r="AD7" s="370"/>
      <c r="AE7" s="370"/>
      <c r="AF7" s="370"/>
    </row>
    <row r="8" spans="1:32" s="369" customFormat="1" x14ac:dyDescent="0.3">
      <c r="B8" s="290"/>
      <c r="C8" s="291"/>
      <c r="D8" s="291" t="s">
        <v>2</v>
      </c>
      <c r="E8" s="292"/>
      <c r="F8" s="269" t="s">
        <v>367</v>
      </c>
      <c r="G8" s="184">
        <v>702916</v>
      </c>
      <c r="H8" s="185" t="s">
        <v>131</v>
      </c>
      <c r="I8" s="185" t="s">
        <v>131</v>
      </c>
      <c r="J8" s="184">
        <v>2</v>
      </c>
      <c r="K8" s="169">
        <f>(6450)*0.6*1.071*1400</f>
        <v>5802677.9999999991</v>
      </c>
      <c r="L8" s="55">
        <v>8712000</v>
      </c>
      <c r="M8" s="164">
        <f t="shared" ref="M8" si="0">J8*K8</f>
        <v>11605355.999999998</v>
      </c>
      <c r="N8" s="158">
        <v>0</v>
      </c>
      <c r="O8" s="1365">
        <f>J8*L8/(1-N8)</f>
        <v>17424000</v>
      </c>
      <c r="P8" s="1366"/>
      <c r="Q8" s="1330" t="s">
        <v>442</v>
      </c>
      <c r="R8" s="1331"/>
      <c r="S8" s="204"/>
      <c r="T8" s="368"/>
      <c r="U8" s="370"/>
      <c r="V8" s="370"/>
      <c r="W8" s="370"/>
      <c r="X8" s="370"/>
      <c r="Y8" s="370"/>
      <c r="Z8" s="370"/>
      <c r="AA8" s="370"/>
      <c r="AB8" s="370"/>
      <c r="AC8" s="370"/>
      <c r="AD8" s="370"/>
      <c r="AE8" s="370"/>
      <c r="AF8" s="370"/>
    </row>
    <row r="9" spans="1:32" s="413" customFormat="1" x14ac:dyDescent="0.3">
      <c r="B9" s="496"/>
      <c r="C9" s="497" t="s">
        <v>73</v>
      </c>
      <c r="D9" s="416"/>
      <c r="E9" s="497"/>
      <c r="F9" s="417" t="s">
        <v>256</v>
      </c>
      <c r="G9" s="416" t="s">
        <v>395</v>
      </c>
      <c r="H9" s="416" t="s">
        <v>257</v>
      </c>
      <c r="I9" s="56"/>
      <c r="J9" s="416">
        <v>1</v>
      </c>
      <c r="K9" s="169">
        <f>L9*0.75</f>
        <v>7717500</v>
      </c>
      <c r="L9" s="169">
        <v>10290000</v>
      </c>
      <c r="M9" s="418">
        <f t="shared" ref="M9:M14" si="1">J9*K9</f>
        <v>7717500</v>
      </c>
      <c r="N9" s="419">
        <v>0</v>
      </c>
      <c r="O9" s="1578">
        <f t="shared" ref="O9" si="2">J9*L9/(1-N9)</f>
        <v>10290000</v>
      </c>
      <c r="P9" s="1579"/>
      <c r="Q9" s="1474" t="s">
        <v>483</v>
      </c>
      <c r="R9" s="1475"/>
      <c r="S9" s="420"/>
      <c r="T9" s="73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</row>
    <row r="10" spans="1:32" s="84" customFormat="1" x14ac:dyDescent="0.3">
      <c r="B10" s="498"/>
      <c r="C10" s="499" t="s">
        <v>73</v>
      </c>
      <c r="D10" s="499"/>
      <c r="E10" s="151"/>
      <c r="F10" s="156" t="s">
        <v>432</v>
      </c>
      <c r="G10" s="393" t="s">
        <v>425</v>
      </c>
      <c r="H10" s="155" t="s">
        <v>142</v>
      </c>
      <c r="I10" s="56" t="s">
        <v>64</v>
      </c>
      <c r="J10" s="155">
        <v>1</v>
      </c>
      <c r="K10" s="55">
        <f>L10*0.75</f>
        <v>1731750</v>
      </c>
      <c r="L10" s="55">
        <v>2309000</v>
      </c>
      <c r="M10" s="164">
        <f t="shared" si="1"/>
        <v>1731750</v>
      </c>
      <c r="N10" s="158">
        <v>0</v>
      </c>
      <c r="O10" s="1365">
        <f t="shared" ref="O10:O16" si="3">J10*L10/(1-N10)</f>
        <v>2309000</v>
      </c>
      <c r="P10" s="1366"/>
      <c r="Q10" s="1330" t="s">
        <v>426</v>
      </c>
      <c r="R10" s="1331"/>
      <c r="S10" s="204"/>
      <c r="T10" s="78"/>
      <c r="U10"/>
      <c r="V10"/>
      <c r="W10"/>
      <c r="X10"/>
      <c r="Y10"/>
      <c r="Z10"/>
      <c r="AA10"/>
      <c r="AB10"/>
      <c r="AC10"/>
      <c r="AD10"/>
      <c r="AE10"/>
      <c r="AF10"/>
    </row>
    <row r="11" spans="1:32" s="528" customFormat="1" x14ac:dyDescent="0.3">
      <c r="A11" s="512"/>
      <c r="B11" s="513"/>
      <c r="C11" s="514" t="s">
        <v>2</v>
      </c>
      <c r="D11" s="514"/>
      <c r="E11" s="510"/>
      <c r="F11" s="311" t="s">
        <v>459</v>
      </c>
      <c r="G11" s="515" t="s">
        <v>195</v>
      </c>
      <c r="H11" s="312" t="s">
        <v>142</v>
      </c>
      <c r="I11" s="312" t="s">
        <v>64</v>
      </c>
      <c r="J11" s="312">
        <v>1</v>
      </c>
      <c r="K11" s="313">
        <f>L11*0.75</f>
        <v>14394750</v>
      </c>
      <c r="L11" s="313">
        <f>19193000</f>
        <v>19193000</v>
      </c>
      <c r="M11" s="511">
        <f t="shared" si="1"/>
        <v>14394750</v>
      </c>
      <c r="N11" s="310">
        <v>0</v>
      </c>
      <c r="O11" s="1584">
        <f>L11*J11</f>
        <v>19193000</v>
      </c>
      <c r="P11" s="1585"/>
      <c r="Q11" s="1580" t="s">
        <v>401</v>
      </c>
      <c r="R11" s="1581"/>
      <c r="S11" s="212"/>
      <c r="T11" s="400"/>
      <c r="U11" s="70"/>
      <c r="V11" s="70"/>
      <c r="W11" s="70"/>
      <c r="X11" s="70"/>
      <c r="Y11" s="70"/>
      <c r="Z11" s="70"/>
      <c r="AA11" s="70"/>
      <c r="AB11" s="70"/>
    </row>
    <row r="12" spans="1:32" s="528" customFormat="1" x14ac:dyDescent="0.3">
      <c r="A12" s="512"/>
      <c r="B12" s="513"/>
      <c r="C12" s="514"/>
      <c r="D12" s="514" t="s">
        <v>2</v>
      </c>
      <c r="E12" s="510"/>
      <c r="F12" s="311" t="s">
        <v>460</v>
      </c>
      <c r="G12" s="515" t="s">
        <v>461</v>
      </c>
      <c r="H12" s="312" t="s">
        <v>142</v>
      </c>
      <c r="I12" s="312" t="s">
        <v>64</v>
      </c>
      <c r="J12" s="312">
        <v>1</v>
      </c>
      <c r="K12" s="313">
        <f>L12*0.75</f>
        <v>14008500</v>
      </c>
      <c r="L12" s="313">
        <v>18678000</v>
      </c>
      <c r="M12" s="511">
        <f t="shared" si="1"/>
        <v>14008500</v>
      </c>
      <c r="N12" s="310">
        <v>0</v>
      </c>
      <c r="O12" s="1584">
        <f>L12*J12</f>
        <v>18678000</v>
      </c>
      <c r="P12" s="1585"/>
      <c r="Q12" s="1582"/>
      <c r="R12" s="1583"/>
      <c r="S12" s="212"/>
      <c r="T12" s="70"/>
      <c r="U12" s="70"/>
      <c r="V12" s="70"/>
      <c r="W12" s="70"/>
      <c r="X12" s="70"/>
      <c r="Y12" s="70"/>
      <c r="Z12" s="70"/>
      <c r="AA12" s="70"/>
      <c r="AB12" s="70"/>
    </row>
    <row r="13" spans="1:32" s="84" customFormat="1" x14ac:dyDescent="0.3">
      <c r="B13" s="365"/>
      <c r="C13" s="366" t="s">
        <v>73</v>
      </c>
      <c r="D13" s="366"/>
      <c r="E13" s="367"/>
      <c r="F13" s="156" t="s">
        <v>427</v>
      </c>
      <c r="G13" s="155">
        <v>2470</v>
      </c>
      <c r="H13" s="155" t="s">
        <v>258</v>
      </c>
      <c r="I13" s="155"/>
      <c r="J13" s="184">
        <v>1</v>
      </c>
      <c r="K13" s="169">
        <f>L13*0.85</f>
        <v>14960000</v>
      </c>
      <c r="L13" s="55">
        <v>17600000</v>
      </c>
      <c r="M13" s="164">
        <f t="shared" si="1"/>
        <v>14960000</v>
      </c>
      <c r="N13" s="158">
        <v>0</v>
      </c>
      <c r="O13" s="1365">
        <f t="shared" si="3"/>
        <v>17600000</v>
      </c>
      <c r="P13" s="1366"/>
      <c r="Q13" s="1330" t="s">
        <v>263</v>
      </c>
      <c r="R13" s="1331"/>
      <c r="S13" s="204"/>
      <c r="T13" s="78"/>
      <c r="U13"/>
      <c r="V13"/>
      <c r="W13"/>
      <c r="X13"/>
      <c r="Y13"/>
      <c r="Z13"/>
      <c r="AA13"/>
      <c r="AB13"/>
      <c r="AC13"/>
      <c r="AD13"/>
      <c r="AE13"/>
      <c r="AF13"/>
    </row>
    <row r="14" spans="1:32" s="84" customFormat="1" x14ac:dyDescent="0.3">
      <c r="B14" s="365"/>
      <c r="C14" s="366" t="s">
        <v>73</v>
      </c>
      <c r="D14" s="366"/>
      <c r="E14" s="367"/>
      <c r="F14" s="156" t="s">
        <v>259</v>
      </c>
      <c r="G14" s="155" t="s">
        <v>325</v>
      </c>
      <c r="H14" s="155" t="s">
        <v>258</v>
      </c>
      <c r="I14" s="155"/>
      <c r="J14" s="184">
        <v>1</v>
      </c>
      <c r="K14" s="169">
        <f>L14*0.85</f>
        <v>6273000</v>
      </c>
      <c r="L14" s="55">
        <v>7380000</v>
      </c>
      <c r="M14" s="164">
        <f t="shared" si="1"/>
        <v>6273000</v>
      </c>
      <c r="N14" s="158">
        <v>0</v>
      </c>
      <c r="O14" s="1365">
        <f t="shared" si="3"/>
        <v>7380000</v>
      </c>
      <c r="P14" s="1366"/>
      <c r="Q14" s="1330" t="s">
        <v>326</v>
      </c>
      <c r="R14" s="1331"/>
      <c r="S14" s="204"/>
      <c r="T14" s="78"/>
      <c r="U14"/>
      <c r="V14" t="s">
        <v>298</v>
      </c>
      <c r="W14"/>
      <c r="X14"/>
      <c r="Y14"/>
      <c r="Z14"/>
      <c r="AA14"/>
      <c r="AB14"/>
      <c r="AC14"/>
      <c r="AD14"/>
      <c r="AE14"/>
      <c r="AF14"/>
    </row>
    <row r="15" spans="1:32" s="84" customFormat="1" x14ac:dyDescent="0.3">
      <c r="B15" s="365"/>
      <c r="C15" s="366" t="s">
        <v>2</v>
      </c>
      <c r="D15" s="366"/>
      <c r="E15" s="367"/>
      <c r="F15" s="156" t="s">
        <v>428</v>
      </c>
      <c r="G15" s="155">
        <v>3153</v>
      </c>
      <c r="H15" s="155" t="s">
        <v>260</v>
      </c>
      <c r="I15" s="155"/>
      <c r="J15" s="184">
        <v>1</v>
      </c>
      <c r="K15" s="169">
        <f t="shared" ref="K15" si="4">L15*0.75</f>
        <v>8088000</v>
      </c>
      <c r="L15" s="55">
        <v>10784000</v>
      </c>
      <c r="M15" s="164">
        <f t="shared" ref="M15" si="5">J15*K15</f>
        <v>8088000</v>
      </c>
      <c r="N15" s="158">
        <v>0</v>
      </c>
      <c r="O15" s="1365">
        <f t="shared" si="3"/>
        <v>10784000</v>
      </c>
      <c r="P15" s="1366"/>
      <c r="Q15" s="1330" t="s">
        <v>264</v>
      </c>
      <c r="R15" s="1331"/>
      <c r="S15" s="204"/>
      <c r="T15" s="78"/>
      <c r="U15"/>
      <c r="V15"/>
      <c r="W15"/>
      <c r="X15"/>
      <c r="Y15"/>
      <c r="Z15"/>
      <c r="AA15"/>
      <c r="AB15"/>
      <c r="AC15"/>
      <c r="AD15"/>
      <c r="AE15"/>
      <c r="AF15"/>
    </row>
    <row r="16" spans="1:32" s="82" customFormat="1" x14ac:dyDescent="0.3">
      <c r="B16" s="494"/>
      <c r="C16" s="495"/>
      <c r="D16" s="403"/>
      <c r="E16" s="495"/>
      <c r="F16" s="404" t="s">
        <v>256</v>
      </c>
      <c r="G16" s="403" t="s">
        <v>336</v>
      </c>
      <c r="H16" s="403" t="s">
        <v>337</v>
      </c>
      <c r="I16" s="405"/>
      <c r="J16" s="403">
        <v>0</v>
      </c>
      <c r="K16" s="406"/>
      <c r="L16" s="406">
        <v>11140000</v>
      </c>
      <c r="M16" s="407">
        <f>J16*K16</f>
        <v>0</v>
      </c>
      <c r="N16" s="408">
        <v>0</v>
      </c>
      <c r="O16" s="1576">
        <f t="shared" si="3"/>
        <v>0</v>
      </c>
      <c r="P16" s="1577"/>
      <c r="Q16" s="1564" t="s">
        <v>481</v>
      </c>
      <c r="R16" s="1565"/>
      <c r="S16" s="459"/>
      <c r="T16" s="73"/>
      <c r="U16"/>
      <c r="V16"/>
      <c r="W16"/>
      <c r="X16"/>
      <c r="Y16"/>
      <c r="Z16"/>
      <c r="AA16"/>
      <c r="AB16"/>
      <c r="AC16"/>
      <c r="AD16"/>
      <c r="AE16"/>
      <c r="AF16"/>
    </row>
    <row r="17" spans="1:34" s="394" customFormat="1" x14ac:dyDescent="0.3">
      <c r="A17" s="369"/>
      <c r="B17" s="516"/>
      <c r="C17" s="517"/>
      <c r="D17" s="517"/>
      <c r="E17" s="518"/>
      <c r="F17" s="519" t="s">
        <v>423</v>
      </c>
      <c r="G17" s="405" t="s">
        <v>273</v>
      </c>
      <c r="H17" s="405" t="s">
        <v>255</v>
      </c>
      <c r="I17" s="405"/>
      <c r="J17" s="405">
        <v>0</v>
      </c>
      <c r="K17" s="520">
        <f>L17*0.75</f>
        <v>27652500</v>
      </c>
      <c r="L17" s="520">
        <v>36870000</v>
      </c>
      <c r="M17" s="407">
        <f>J17*K17</f>
        <v>0</v>
      </c>
      <c r="N17" s="521">
        <v>0</v>
      </c>
      <c r="O17" s="1576">
        <f>J17*L17/(1-N17)</f>
        <v>0</v>
      </c>
      <c r="P17" s="1577"/>
      <c r="Q17" s="1548" t="s">
        <v>462</v>
      </c>
      <c r="R17" s="1549"/>
      <c r="S17" s="212"/>
      <c r="T17" s="400">
        <v>1</v>
      </c>
      <c r="U17" s="400"/>
      <c r="V17" s="400"/>
      <c r="W17" s="400"/>
      <c r="X17" s="400"/>
      <c r="Y17" s="400"/>
      <c r="Z17" s="400"/>
      <c r="AA17" s="400"/>
    </row>
    <row r="18" spans="1:34" s="528" customFormat="1" x14ac:dyDescent="0.3">
      <c r="A18" s="84"/>
      <c r="B18" s="516"/>
      <c r="C18" s="517"/>
      <c r="D18" s="517"/>
      <c r="E18" s="518"/>
      <c r="F18" s="519" t="s">
        <v>424</v>
      </c>
      <c r="G18" s="405" t="s">
        <v>274</v>
      </c>
      <c r="H18" s="405" t="s">
        <v>255</v>
      </c>
      <c r="I18" s="405"/>
      <c r="J18" s="405">
        <v>0</v>
      </c>
      <c r="K18" s="520">
        <f>L18*0.75</f>
        <v>23730000</v>
      </c>
      <c r="L18" s="520">
        <v>31640000</v>
      </c>
      <c r="M18" s="407">
        <f>J18*K18</f>
        <v>0</v>
      </c>
      <c r="N18" s="521">
        <v>0</v>
      </c>
      <c r="O18" s="1576">
        <f>J18*L18/(1-N18)</f>
        <v>0</v>
      </c>
      <c r="P18" s="1577"/>
      <c r="Q18" s="1550" t="s">
        <v>401</v>
      </c>
      <c r="R18" s="1551"/>
      <c r="S18" s="212"/>
      <c r="T18" s="70">
        <v>1</v>
      </c>
      <c r="U18" s="70"/>
      <c r="V18" s="70"/>
      <c r="W18" s="70"/>
      <c r="X18" s="70"/>
      <c r="Y18" s="70"/>
      <c r="Z18" s="70"/>
      <c r="AA18" s="70"/>
      <c r="AB18" s="70"/>
      <c r="AC18" s="70"/>
    </row>
    <row r="19" spans="1:34" s="82" customFormat="1" ht="17.25" thickBot="1" x14ac:dyDescent="0.35">
      <c r="B19" s="490"/>
      <c r="C19" s="483"/>
      <c r="D19" s="483"/>
      <c r="E19" s="491"/>
      <c r="F19" s="487"/>
      <c r="G19" s="484"/>
      <c r="H19" s="484"/>
      <c r="I19" s="484"/>
      <c r="J19" s="492"/>
      <c r="K19" s="493"/>
      <c r="L19" s="488"/>
      <c r="M19" s="485"/>
      <c r="N19" s="486"/>
      <c r="O19" s="1588"/>
      <c r="P19" s="1589"/>
      <c r="Q19" s="1478"/>
      <c r="R19" s="1479"/>
      <c r="S19" s="489"/>
      <c r="T19" s="273"/>
      <c r="U19" s="79"/>
      <c r="V19" s="82" t="s">
        <v>295</v>
      </c>
    </row>
    <row r="20" spans="1:34" s="84" customFormat="1" ht="17.25" thickBot="1" x14ac:dyDescent="0.35">
      <c r="B20" s="122" t="s">
        <v>2</v>
      </c>
      <c r="C20" s="116"/>
      <c r="D20" s="116"/>
      <c r="E20" s="117"/>
      <c r="F20" s="118" t="s">
        <v>266</v>
      </c>
      <c r="G20" s="383"/>
      <c r="H20" s="383"/>
      <c r="I20" s="383"/>
      <c r="J20" s="383"/>
      <c r="K20" s="383"/>
      <c r="L20" s="384"/>
      <c r="M20" s="121"/>
      <c r="N20" s="135"/>
      <c r="O20" s="1447"/>
      <c r="P20" s="1448"/>
      <c r="Q20" s="1586"/>
      <c r="R20" s="1587"/>
      <c r="S20" s="115"/>
      <c r="T20" s="78"/>
      <c r="U20" s="83"/>
      <c r="V20" t="s">
        <v>296</v>
      </c>
      <c r="W20"/>
      <c r="X20"/>
      <c r="Y20"/>
      <c r="Z20"/>
      <c r="AA20"/>
      <c r="AB20"/>
      <c r="AC20"/>
      <c r="AD20"/>
      <c r="AE20"/>
      <c r="AF20"/>
      <c r="AG20"/>
      <c r="AH20"/>
    </row>
    <row r="21" spans="1:34" s="82" customFormat="1" x14ac:dyDescent="0.3">
      <c r="B21" s="500"/>
      <c r="C21" s="501" t="s">
        <v>2</v>
      </c>
      <c r="D21" s="144"/>
      <c r="E21" s="145"/>
      <c r="F21" s="146" t="s">
        <v>279</v>
      </c>
      <c r="G21" s="144" t="s">
        <v>278</v>
      </c>
      <c r="H21" s="144" t="s">
        <v>80</v>
      </c>
      <c r="I21" s="144" t="s">
        <v>240</v>
      </c>
      <c r="J21" s="144">
        <v>1</v>
      </c>
      <c r="K21" s="157">
        <f t="shared" ref="K21:K24" si="6">L21*0.95</f>
        <v>2422500</v>
      </c>
      <c r="L21" s="147">
        <v>2550000</v>
      </c>
      <c r="M21" s="163">
        <f>J21*K21</f>
        <v>2422500</v>
      </c>
      <c r="N21" s="148">
        <v>0</v>
      </c>
      <c r="O21" s="1574">
        <f t="shared" ref="O21:O24" si="7">J21*L21/(1-N21)</f>
        <v>2550000</v>
      </c>
      <c r="P21" s="1575"/>
      <c r="Q21" s="1482"/>
      <c r="R21" s="1483"/>
      <c r="S21" s="287"/>
      <c r="T21" s="273"/>
      <c r="U21" s="79"/>
    </row>
    <row r="22" spans="1:34" x14ac:dyDescent="0.3">
      <c r="B22" s="498"/>
      <c r="C22" s="499"/>
      <c r="D22" s="499" t="s">
        <v>2</v>
      </c>
      <c r="E22" s="151"/>
      <c r="F22" s="156" t="s">
        <v>315</v>
      </c>
      <c r="G22" s="155" t="s">
        <v>422</v>
      </c>
      <c r="H22" s="155" t="s">
        <v>80</v>
      </c>
      <c r="I22" s="155" t="s">
        <v>430</v>
      </c>
      <c r="J22" s="155">
        <v>1</v>
      </c>
      <c r="K22" s="157">
        <f t="shared" si="6"/>
        <v>2242000</v>
      </c>
      <c r="L22" s="157">
        <v>2360000</v>
      </c>
      <c r="M22" s="164">
        <f t="shared" ref="M22" si="8">J22*K22</f>
        <v>2242000</v>
      </c>
      <c r="N22" s="158">
        <v>0</v>
      </c>
      <c r="O22" s="1365">
        <f t="shared" si="7"/>
        <v>2360000</v>
      </c>
      <c r="P22" s="1366"/>
      <c r="Q22" s="1330" t="s">
        <v>438</v>
      </c>
      <c r="R22" s="1331"/>
      <c r="S22" s="152"/>
      <c r="T22" s="76"/>
      <c r="U22" s="3"/>
      <c r="V22" s="3"/>
      <c r="W22" s="79"/>
    </row>
    <row r="23" spans="1:34" x14ac:dyDescent="0.3">
      <c r="B23" s="498"/>
      <c r="C23" s="499"/>
      <c r="D23" s="499" t="s">
        <v>2</v>
      </c>
      <c r="E23" s="151"/>
      <c r="F23" s="156" t="s">
        <v>317</v>
      </c>
      <c r="G23" s="155" t="s">
        <v>316</v>
      </c>
      <c r="H23" s="155" t="s">
        <v>80</v>
      </c>
      <c r="I23" s="155" t="s">
        <v>430</v>
      </c>
      <c r="J23" s="155">
        <v>1</v>
      </c>
      <c r="K23" s="157">
        <f t="shared" si="6"/>
        <v>836000</v>
      </c>
      <c r="L23" s="157">
        <v>880000</v>
      </c>
      <c r="M23" s="164">
        <f t="shared" ref="M23:M24" si="9">J23*K23</f>
        <v>836000</v>
      </c>
      <c r="N23" s="158">
        <v>0</v>
      </c>
      <c r="O23" s="1365">
        <f t="shared" si="7"/>
        <v>880000</v>
      </c>
      <c r="P23" s="1366"/>
      <c r="Q23" s="508"/>
      <c r="R23" s="509"/>
      <c r="S23" s="289"/>
      <c r="T23" s="76"/>
      <c r="U23" s="79"/>
    </row>
    <row r="24" spans="1:34" x14ac:dyDescent="0.3">
      <c r="B24" s="365"/>
      <c r="C24" s="499"/>
      <c r="D24" s="499" t="s">
        <v>2</v>
      </c>
      <c r="E24" s="367"/>
      <c r="F24" s="156" t="s">
        <v>324</v>
      </c>
      <c r="G24" s="155" t="s">
        <v>323</v>
      </c>
      <c r="H24" s="155" t="s">
        <v>80</v>
      </c>
      <c r="I24" s="155" t="s">
        <v>430</v>
      </c>
      <c r="J24" s="184">
        <v>1</v>
      </c>
      <c r="K24" s="55">
        <f t="shared" si="6"/>
        <v>1624500</v>
      </c>
      <c r="L24" s="55">
        <v>1710000</v>
      </c>
      <c r="M24" s="164">
        <f t="shared" si="9"/>
        <v>1624500</v>
      </c>
      <c r="N24" s="158">
        <v>0</v>
      </c>
      <c r="O24" s="1365">
        <f t="shared" si="7"/>
        <v>1710000</v>
      </c>
      <c r="P24" s="1366"/>
      <c r="Q24" s="1330" t="s">
        <v>439</v>
      </c>
      <c r="R24" s="1331"/>
      <c r="S24" s="204"/>
      <c r="T24" s="76"/>
      <c r="U24" s="79"/>
    </row>
    <row r="25" spans="1:34" s="84" customFormat="1" ht="17.25" thickBot="1" x14ac:dyDescent="0.35">
      <c r="B25" s="365"/>
      <c r="C25" s="366"/>
      <c r="D25" s="366"/>
      <c r="E25" s="367"/>
      <c r="F25" s="156"/>
      <c r="G25" s="155"/>
      <c r="H25" s="155"/>
      <c r="I25" s="155"/>
      <c r="J25" s="186"/>
      <c r="K25" s="199"/>
      <c r="L25" s="55"/>
      <c r="M25" s="164"/>
      <c r="N25" s="158"/>
      <c r="O25" s="374"/>
      <c r="P25" s="375"/>
      <c r="Q25" s="508"/>
      <c r="R25" s="509"/>
      <c r="S25" s="204"/>
      <c r="T25" s="78"/>
      <c r="U25"/>
      <c r="V25"/>
      <c r="W25"/>
      <c r="X25"/>
      <c r="Y25"/>
      <c r="Z25"/>
      <c r="AA25"/>
      <c r="AB25"/>
      <c r="AC25"/>
      <c r="AD25"/>
      <c r="AE25"/>
      <c r="AF25"/>
    </row>
    <row r="26" spans="1:34" s="84" customFormat="1" ht="17.25" thickBot="1" x14ac:dyDescent="0.35">
      <c r="B26" s="122" t="s">
        <v>2</v>
      </c>
      <c r="C26" s="116"/>
      <c r="D26" s="116"/>
      <c r="E26" s="117"/>
      <c r="F26" s="118" t="s">
        <v>267</v>
      </c>
      <c r="G26" s="383"/>
      <c r="H26" s="383"/>
      <c r="I26" s="383"/>
      <c r="J26" s="383"/>
      <c r="K26" s="383"/>
      <c r="L26" s="384"/>
      <c r="M26" s="121"/>
      <c r="N26" s="135"/>
      <c r="O26" s="1447"/>
      <c r="P26" s="1448"/>
      <c r="Q26" s="1572"/>
      <c r="R26" s="1573"/>
      <c r="S26" s="115"/>
      <c r="T26" s="78"/>
      <c r="U26"/>
      <c r="V26"/>
      <c r="W26"/>
      <c r="X26"/>
      <c r="Y26"/>
      <c r="Z26"/>
      <c r="AA26"/>
      <c r="AB26"/>
      <c r="AC26"/>
      <c r="AD26"/>
      <c r="AE26"/>
      <c r="AF26"/>
    </row>
    <row r="27" spans="1:34" s="82" customFormat="1" x14ac:dyDescent="0.3">
      <c r="B27" s="181"/>
      <c r="C27" s="182" t="s">
        <v>2</v>
      </c>
      <c r="D27" s="366"/>
      <c r="E27" s="183"/>
      <c r="F27" s="388" t="s">
        <v>417</v>
      </c>
      <c r="G27" s="182"/>
      <c r="H27" s="182" t="s">
        <v>60</v>
      </c>
      <c r="I27" s="155"/>
      <c r="J27" s="155">
        <v>1</v>
      </c>
      <c r="K27" s="157">
        <v>5000000</v>
      </c>
      <c r="L27" s="157">
        <v>5000000</v>
      </c>
      <c r="M27" s="164">
        <f>J27*K27</f>
        <v>5000000</v>
      </c>
      <c r="N27" s="158">
        <v>0.3</v>
      </c>
      <c r="O27" s="1574">
        <f>J27*L27*(1+N27)</f>
        <v>6500000</v>
      </c>
      <c r="P27" s="1575"/>
      <c r="Q27" s="1330" t="s">
        <v>420</v>
      </c>
      <c r="R27" s="1331"/>
      <c r="S27" s="152"/>
      <c r="T27" s="273"/>
      <c r="U27" s="79"/>
    </row>
    <row r="28" spans="1:34" s="82" customFormat="1" x14ac:dyDescent="0.3">
      <c r="B28" s="181"/>
      <c r="C28" s="182"/>
      <c r="D28" s="182" t="s">
        <v>2</v>
      </c>
      <c r="E28" s="151"/>
      <c r="F28" s="156" t="s">
        <v>247</v>
      </c>
      <c r="G28" s="155" t="s">
        <v>248</v>
      </c>
      <c r="H28" s="155" t="s">
        <v>249</v>
      </c>
      <c r="I28" s="155" t="s">
        <v>249</v>
      </c>
      <c r="J28" s="155">
        <v>1</v>
      </c>
      <c r="K28" s="157">
        <v>500000</v>
      </c>
      <c r="L28" s="157">
        <v>500000</v>
      </c>
      <c r="M28" s="164">
        <f>J28*K28</f>
        <v>500000</v>
      </c>
      <c r="N28" s="158">
        <v>0.3</v>
      </c>
      <c r="O28" s="1365">
        <f t="shared" ref="O28:O40" si="10">J28*L28*(1+N28)</f>
        <v>650000</v>
      </c>
      <c r="P28" s="1366"/>
      <c r="Q28" s="508"/>
      <c r="R28" s="509"/>
      <c r="S28" s="152"/>
      <c r="T28" s="273"/>
      <c r="U28" s="79"/>
    </row>
    <row r="29" spans="1:34" s="82" customFormat="1" x14ac:dyDescent="0.3">
      <c r="B29" s="181"/>
      <c r="C29" s="182"/>
      <c r="D29" s="182" t="s">
        <v>2</v>
      </c>
      <c r="E29" s="151"/>
      <c r="F29" s="156" t="s">
        <v>250</v>
      </c>
      <c r="G29" s="155" t="s">
        <v>329</v>
      </c>
      <c r="H29" s="155" t="s">
        <v>330</v>
      </c>
      <c r="I29" s="155" t="s">
        <v>251</v>
      </c>
      <c r="J29" s="155">
        <v>1</v>
      </c>
      <c r="K29" s="157">
        <v>200000</v>
      </c>
      <c r="L29" s="157">
        <v>200000</v>
      </c>
      <c r="M29" s="164">
        <f>J29*K29</f>
        <v>200000</v>
      </c>
      <c r="N29" s="158">
        <v>0.3</v>
      </c>
      <c r="O29" s="1365">
        <f t="shared" si="10"/>
        <v>260000</v>
      </c>
      <c r="P29" s="1366"/>
      <c r="Q29" s="1330"/>
      <c r="R29" s="1331"/>
      <c r="S29" s="152"/>
      <c r="T29" s="273"/>
      <c r="U29" s="79"/>
    </row>
    <row r="30" spans="1:34" s="82" customFormat="1" x14ac:dyDescent="0.3">
      <c r="B30" s="181"/>
      <c r="C30" s="182"/>
      <c r="D30" s="182" t="s">
        <v>2</v>
      </c>
      <c r="E30" s="367"/>
      <c r="F30" s="156" t="s">
        <v>252</v>
      </c>
      <c r="G30" s="155" t="s">
        <v>253</v>
      </c>
      <c r="H30" s="155" t="s">
        <v>254</v>
      </c>
      <c r="I30" s="155" t="s">
        <v>254</v>
      </c>
      <c r="J30" s="184">
        <v>1</v>
      </c>
      <c r="K30" s="387">
        <v>3000000</v>
      </c>
      <c r="L30" s="387">
        <v>3000000</v>
      </c>
      <c r="M30" s="164">
        <f>J30*K30</f>
        <v>3000000</v>
      </c>
      <c r="N30" s="158">
        <v>0.3</v>
      </c>
      <c r="O30" s="1365">
        <f t="shared" si="10"/>
        <v>3900000</v>
      </c>
      <c r="P30" s="1366"/>
      <c r="Q30" s="508"/>
      <c r="R30" s="509"/>
      <c r="S30" s="204"/>
      <c r="T30" s="273"/>
      <c r="U30" s="79"/>
    </row>
    <row r="31" spans="1:34" s="82" customFormat="1" x14ac:dyDescent="0.3">
      <c r="B31" s="498"/>
      <c r="C31" s="499"/>
      <c r="D31" s="155" t="s">
        <v>2</v>
      </c>
      <c r="E31" s="151"/>
      <c r="F31" s="156" t="s">
        <v>245</v>
      </c>
      <c r="G31" s="155" t="s">
        <v>246</v>
      </c>
      <c r="H31" s="155" t="s">
        <v>183</v>
      </c>
      <c r="I31" s="155"/>
      <c r="J31" s="155">
        <v>1</v>
      </c>
      <c r="K31" s="157">
        <v>200000</v>
      </c>
      <c r="L31" s="157">
        <v>200000</v>
      </c>
      <c r="M31" s="164">
        <f t="shared" ref="M31" si="11">J31*K31</f>
        <v>200000</v>
      </c>
      <c r="N31" s="158">
        <v>0.3</v>
      </c>
      <c r="O31" s="1365">
        <f t="shared" si="10"/>
        <v>260000</v>
      </c>
      <c r="P31" s="1366"/>
      <c r="Q31" s="1330"/>
      <c r="R31" s="1331"/>
      <c r="S31" s="152"/>
      <c r="T31" s="273"/>
      <c r="U31" s="79"/>
    </row>
    <row r="32" spans="1:34" s="84" customFormat="1" x14ac:dyDescent="0.3">
      <c r="B32" s="365"/>
      <c r="C32" s="499"/>
      <c r="D32" s="155" t="s">
        <v>2</v>
      </c>
      <c r="E32" s="367"/>
      <c r="F32" s="156" t="s">
        <v>343</v>
      </c>
      <c r="G32" s="155" t="s">
        <v>334</v>
      </c>
      <c r="H32" s="155" t="s">
        <v>328</v>
      </c>
      <c r="I32" s="155"/>
      <c r="J32" s="184">
        <v>1</v>
      </c>
      <c r="K32" s="169">
        <v>450000</v>
      </c>
      <c r="L32" s="169">
        <v>500000</v>
      </c>
      <c r="M32" s="164">
        <f t="shared" ref="M32" si="12">J32*K32</f>
        <v>450000</v>
      </c>
      <c r="N32" s="158">
        <v>0</v>
      </c>
      <c r="O32" s="1365">
        <f>J32*L32/(1-N32)</f>
        <v>500000</v>
      </c>
      <c r="P32" s="1366"/>
      <c r="Q32" s="1330" t="s">
        <v>440</v>
      </c>
      <c r="R32" s="1331"/>
      <c r="S32" s="204"/>
      <c r="T32" s="78"/>
      <c r="U32"/>
      <c r="V32"/>
      <c r="W32"/>
      <c r="X32"/>
      <c r="Y32"/>
      <c r="Z32"/>
      <c r="AA32"/>
      <c r="AB32"/>
      <c r="AC32"/>
      <c r="AD32"/>
      <c r="AE32"/>
      <c r="AF32"/>
    </row>
    <row r="33" spans="2:32" s="82" customFormat="1" x14ac:dyDescent="0.3">
      <c r="B33" s="181"/>
      <c r="C33" s="182" t="s">
        <v>2</v>
      </c>
      <c r="D33" s="366"/>
      <c r="E33" s="183"/>
      <c r="F33" s="388" t="s">
        <v>268</v>
      </c>
      <c r="G33" s="182"/>
      <c r="H33" s="182"/>
      <c r="I33" s="155"/>
      <c r="J33" s="155">
        <v>1</v>
      </c>
      <c r="K33" s="157"/>
      <c r="L33" s="157"/>
      <c r="M33" s="164">
        <f>J33*K33</f>
        <v>0</v>
      </c>
      <c r="N33" s="158">
        <v>0.3</v>
      </c>
      <c r="O33" s="1365">
        <f t="shared" si="10"/>
        <v>0</v>
      </c>
      <c r="P33" s="1366"/>
      <c r="Q33" s="508"/>
      <c r="R33" s="509"/>
      <c r="S33" s="152"/>
      <c r="T33" s="273"/>
      <c r="U33" s="79"/>
    </row>
    <row r="34" spans="2:32" s="82" customFormat="1" x14ac:dyDescent="0.3">
      <c r="B34" s="181"/>
      <c r="C34" s="182"/>
      <c r="D34" s="182" t="s">
        <v>2</v>
      </c>
      <c r="E34" s="183"/>
      <c r="F34" s="388" t="s">
        <v>284</v>
      </c>
      <c r="G34" s="182"/>
      <c r="H34" s="182" t="s">
        <v>60</v>
      </c>
      <c r="I34" s="155"/>
      <c r="J34" s="155">
        <v>1</v>
      </c>
      <c r="K34" s="157">
        <v>1000000</v>
      </c>
      <c r="L34" s="157">
        <v>1000000</v>
      </c>
      <c r="M34" s="164">
        <f>J34*K34</f>
        <v>1000000</v>
      </c>
      <c r="N34" s="158">
        <v>0.3</v>
      </c>
      <c r="O34" s="1365">
        <f t="shared" si="10"/>
        <v>1300000</v>
      </c>
      <c r="P34" s="1366"/>
      <c r="Q34" s="508"/>
      <c r="R34" s="509"/>
      <c r="S34" s="152"/>
      <c r="T34" s="273"/>
      <c r="U34" s="79"/>
    </row>
    <row r="35" spans="2:32" s="82" customFormat="1" x14ac:dyDescent="0.3">
      <c r="B35" s="181"/>
      <c r="C35" s="182"/>
      <c r="D35" s="182" t="s">
        <v>2</v>
      </c>
      <c r="E35" s="183"/>
      <c r="F35" s="388" t="s">
        <v>269</v>
      </c>
      <c r="G35" s="182" t="s">
        <v>270</v>
      </c>
      <c r="H35" s="182" t="s">
        <v>271</v>
      </c>
      <c r="I35" s="155"/>
      <c r="J35" s="155">
        <f>12*1</f>
        <v>12</v>
      </c>
      <c r="K35" s="157">
        <v>120000</v>
      </c>
      <c r="L35" s="157">
        <v>120000</v>
      </c>
      <c r="M35" s="164">
        <f t="shared" ref="M35:M36" si="13">J35*K35</f>
        <v>1440000</v>
      </c>
      <c r="N35" s="158">
        <v>0.3</v>
      </c>
      <c r="O35" s="1365">
        <f t="shared" si="10"/>
        <v>1872000</v>
      </c>
      <c r="P35" s="1366"/>
      <c r="Q35" s="508"/>
      <c r="R35" s="509"/>
      <c r="S35" s="152"/>
      <c r="T35" s="273"/>
      <c r="U35" s="79"/>
    </row>
    <row r="36" spans="2:32" s="82" customFormat="1" x14ac:dyDescent="0.3">
      <c r="B36" s="181"/>
      <c r="C36" s="182"/>
      <c r="D36" s="182" t="s">
        <v>2</v>
      </c>
      <c r="E36" s="183"/>
      <c r="F36" s="388" t="s">
        <v>272</v>
      </c>
      <c r="G36" s="366" t="s">
        <v>286</v>
      </c>
      <c r="H36" s="366" t="s">
        <v>287</v>
      </c>
      <c r="I36" s="155"/>
      <c r="J36" s="155">
        <v>1</v>
      </c>
      <c r="K36" s="157">
        <v>230000</v>
      </c>
      <c r="L36" s="157">
        <v>230000</v>
      </c>
      <c r="M36" s="164">
        <f t="shared" si="13"/>
        <v>230000</v>
      </c>
      <c r="N36" s="158">
        <v>0.3</v>
      </c>
      <c r="O36" s="1365">
        <f t="shared" si="10"/>
        <v>299000</v>
      </c>
      <c r="P36" s="1366"/>
      <c r="Q36" s="1330" t="s">
        <v>363</v>
      </c>
      <c r="R36" s="1331"/>
      <c r="S36" s="152"/>
      <c r="T36" s="273"/>
      <c r="U36" s="79"/>
    </row>
    <row r="37" spans="2:32" s="82" customFormat="1" x14ac:dyDescent="0.3">
      <c r="B37" s="181"/>
      <c r="C37" s="182"/>
      <c r="D37" s="182" t="s">
        <v>2</v>
      </c>
      <c r="E37" s="183"/>
      <c r="F37" s="389" t="s">
        <v>355</v>
      </c>
      <c r="G37" s="366" t="s">
        <v>285</v>
      </c>
      <c r="H37" s="366" t="s">
        <v>277</v>
      </c>
      <c r="I37" s="155"/>
      <c r="J37" s="155">
        <v>1</v>
      </c>
      <c r="K37" s="157">
        <v>70000</v>
      </c>
      <c r="L37" s="157">
        <v>70000</v>
      </c>
      <c r="M37" s="164">
        <f>J37*K37</f>
        <v>70000</v>
      </c>
      <c r="N37" s="158">
        <v>0.3</v>
      </c>
      <c r="O37" s="1365">
        <f t="shared" si="10"/>
        <v>91000</v>
      </c>
      <c r="P37" s="1366"/>
      <c r="Q37" s="1330" t="s">
        <v>362</v>
      </c>
      <c r="R37" s="1331"/>
      <c r="S37" s="152"/>
      <c r="T37" s="273"/>
      <c r="U37" s="79"/>
      <c r="V37" s="82" t="s">
        <v>304</v>
      </c>
      <c r="W37" s="82">
        <v>0.2</v>
      </c>
    </row>
    <row r="38" spans="2:32" s="82" customFormat="1" x14ac:dyDescent="0.3">
      <c r="B38" s="181"/>
      <c r="C38" s="182"/>
      <c r="D38" s="182" t="s">
        <v>2</v>
      </c>
      <c r="E38" s="183"/>
      <c r="F38" s="388" t="s">
        <v>354</v>
      </c>
      <c r="G38" s="366" t="s">
        <v>353</v>
      </c>
      <c r="H38" s="182" t="s">
        <v>277</v>
      </c>
      <c r="I38" s="155"/>
      <c r="J38" s="155">
        <v>1</v>
      </c>
      <c r="K38" s="157">
        <v>70000</v>
      </c>
      <c r="L38" s="157">
        <v>70000</v>
      </c>
      <c r="M38" s="164">
        <f>J38*K38</f>
        <v>70000</v>
      </c>
      <c r="N38" s="158">
        <v>0.3</v>
      </c>
      <c r="O38" s="1365">
        <f t="shared" si="10"/>
        <v>91000</v>
      </c>
      <c r="P38" s="1366"/>
      <c r="Q38" s="1330" t="s">
        <v>362</v>
      </c>
      <c r="R38" s="1331"/>
      <c r="S38" s="152"/>
      <c r="T38" s="273"/>
      <c r="U38" s="79"/>
    </row>
    <row r="39" spans="2:32" s="82" customFormat="1" x14ac:dyDescent="0.3">
      <c r="B39" s="181"/>
      <c r="C39" s="182"/>
      <c r="D39" s="182" t="s">
        <v>2</v>
      </c>
      <c r="E39" s="183"/>
      <c r="F39" s="388" t="s">
        <v>357</v>
      </c>
      <c r="G39" s="366" t="s">
        <v>285</v>
      </c>
      <c r="H39" s="182" t="s">
        <v>277</v>
      </c>
      <c r="I39" s="155"/>
      <c r="J39" s="155">
        <v>1</v>
      </c>
      <c r="K39" s="157">
        <v>70000</v>
      </c>
      <c r="L39" s="157">
        <v>70000</v>
      </c>
      <c r="M39" s="157">
        <v>70000</v>
      </c>
      <c r="N39" s="158">
        <v>0.3</v>
      </c>
      <c r="O39" s="1365">
        <f t="shared" si="10"/>
        <v>91000</v>
      </c>
      <c r="P39" s="1366"/>
      <c r="Q39" s="1330" t="s">
        <v>361</v>
      </c>
      <c r="R39" s="1331"/>
      <c r="S39" s="152"/>
      <c r="T39" s="273"/>
      <c r="U39" s="79"/>
    </row>
    <row r="40" spans="2:32" s="82" customFormat="1" x14ac:dyDescent="0.3">
      <c r="B40" s="181"/>
      <c r="C40" s="182" t="s">
        <v>2</v>
      </c>
      <c r="D40" s="366"/>
      <c r="E40" s="183"/>
      <c r="F40" s="388" t="s">
        <v>429</v>
      </c>
      <c r="G40" s="182"/>
      <c r="H40" s="182" t="s">
        <v>60</v>
      </c>
      <c r="I40" s="155"/>
      <c r="J40" s="155">
        <v>1</v>
      </c>
      <c r="K40" s="157">
        <v>3500000</v>
      </c>
      <c r="L40" s="157">
        <v>3500000</v>
      </c>
      <c r="M40" s="164">
        <f>J40*K40</f>
        <v>3500000</v>
      </c>
      <c r="N40" s="158">
        <v>0.3</v>
      </c>
      <c r="O40" s="1365">
        <f t="shared" si="10"/>
        <v>4550000</v>
      </c>
      <c r="P40" s="1366"/>
      <c r="Q40" s="508"/>
      <c r="R40" s="509"/>
      <c r="S40" s="152"/>
      <c r="T40" s="273"/>
      <c r="U40" s="79"/>
    </row>
    <row r="41" spans="2:32" s="84" customFormat="1" ht="17.25" thickBot="1" x14ac:dyDescent="0.35">
      <c r="B41" s="365"/>
      <c r="C41" s="366"/>
      <c r="D41" s="366"/>
      <c r="E41" s="367"/>
      <c r="F41" s="156"/>
      <c r="G41" s="155"/>
      <c r="H41" s="155"/>
      <c r="I41" s="155"/>
      <c r="J41" s="184"/>
      <c r="K41" s="199"/>
      <c r="L41" s="199"/>
      <c r="M41" s="164"/>
      <c r="N41" s="158"/>
      <c r="O41" s="1365"/>
      <c r="P41" s="1366"/>
      <c r="Q41" s="508"/>
      <c r="R41" s="509"/>
      <c r="S41" s="204"/>
      <c r="T41" s="78"/>
      <c r="U41"/>
      <c r="V41"/>
      <c r="W41"/>
      <c r="X41"/>
      <c r="Y41"/>
      <c r="Z41"/>
      <c r="AA41"/>
      <c r="AB41"/>
      <c r="AC41"/>
      <c r="AD41"/>
      <c r="AE41"/>
      <c r="AF41"/>
    </row>
    <row r="42" spans="2:32" s="84" customFormat="1" ht="18" thickBot="1" x14ac:dyDescent="0.35">
      <c r="B42" s="1338" t="s">
        <v>53</v>
      </c>
      <c r="C42" s="1339"/>
      <c r="D42" s="1339"/>
      <c r="E42" s="1339"/>
      <c r="F42" s="1339"/>
      <c r="G42" s="1339"/>
      <c r="H42" s="1339"/>
      <c r="I42" s="1339"/>
      <c r="J42" s="1339"/>
      <c r="K42" s="1339"/>
      <c r="L42" s="1340"/>
      <c r="M42" s="123">
        <f>SUM(M5:M41)</f>
        <v>110008005</v>
      </c>
      <c r="N42" s="136"/>
      <c r="O42" s="1341">
        <f>SUM(O5:P41)</f>
        <v>146482000</v>
      </c>
      <c r="P42" s="1342"/>
      <c r="Q42" s="1343"/>
      <c r="R42" s="1344"/>
      <c r="S42" s="130"/>
      <c r="T42" s="78"/>
      <c r="U42"/>
      <c r="V42"/>
      <c r="W42"/>
      <c r="X42"/>
      <c r="Y42"/>
      <c r="Z42"/>
      <c r="AA42"/>
      <c r="AB42"/>
      <c r="AC42"/>
      <c r="AD42"/>
      <c r="AE42"/>
      <c r="AF42"/>
    </row>
    <row r="43" spans="2:32" s="84" customFormat="1" ht="17.25" thickBot="1" x14ac:dyDescent="0.35">
      <c r="B43" s="122" t="s">
        <v>2</v>
      </c>
      <c r="C43" s="116"/>
      <c r="D43" s="116"/>
      <c r="E43" s="117"/>
      <c r="F43" s="118" t="s">
        <v>321</v>
      </c>
      <c r="G43" s="119"/>
      <c r="H43" s="119"/>
      <c r="I43" s="119"/>
      <c r="J43" s="119"/>
      <c r="K43" s="119"/>
      <c r="L43" s="120"/>
      <c r="M43" s="121"/>
      <c r="N43" s="135"/>
      <c r="O43" s="1447"/>
      <c r="P43" s="1448"/>
      <c r="Q43" s="1326"/>
      <c r="R43" s="1327"/>
      <c r="S43" s="115"/>
      <c r="T43" s="78"/>
      <c r="U43"/>
      <c r="V43"/>
      <c r="W43"/>
      <c r="X43"/>
      <c r="Y43"/>
      <c r="Z43"/>
      <c r="AA43"/>
      <c r="AB43"/>
      <c r="AC43"/>
      <c r="AD43"/>
      <c r="AE43"/>
      <c r="AF43"/>
    </row>
    <row r="44" spans="2:32" s="84" customFormat="1" x14ac:dyDescent="0.3">
      <c r="B44" s="131"/>
      <c r="C44" s="132" t="s">
        <v>73</v>
      </c>
      <c r="D44" s="133"/>
      <c r="E44" s="165"/>
      <c r="F44" s="227" t="s">
        <v>319</v>
      </c>
      <c r="G44" s="222" t="s">
        <v>94</v>
      </c>
      <c r="H44" s="222" t="s">
        <v>130</v>
      </c>
      <c r="I44" s="222" t="s">
        <v>131</v>
      </c>
      <c r="J44" s="371">
        <v>10</v>
      </c>
      <c r="K44" s="274">
        <v>307000</v>
      </c>
      <c r="L44" s="274">
        <v>307000</v>
      </c>
      <c r="M44" s="230">
        <f t="shared" ref="M44:M45" si="14">J44*K44</f>
        <v>3070000</v>
      </c>
      <c r="N44" s="148"/>
      <c r="O44" s="1365">
        <f t="shared" ref="O44:O45" si="15">L44*J44</f>
        <v>3070000</v>
      </c>
      <c r="P44" s="1366"/>
      <c r="Q44" s="1492"/>
      <c r="R44" s="1493"/>
      <c r="S44" s="207"/>
      <c r="T44" s="78"/>
      <c r="U44"/>
      <c r="V44"/>
      <c r="W44"/>
      <c r="X44"/>
      <c r="Y44"/>
      <c r="Z44"/>
      <c r="AA44"/>
      <c r="AB44"/>
      <c r="AC44"/>
      <c r="AD44"/>
      <c r="AE44"/>
      <c r="AF44"/>
    </row>
    <row r="45" spans="2:32" s="84" customFormat="1" x14ac:dyDescent="0.3">
      <c r="B45" s="208"/>
      <c r="C45" s="209" t="s">
        <v>73</v>
      </c>
      <c r="D45" s="210"/>
      <c r="E45" s="211"/>
      <c r="F45" s="228" t="s">
        <v>320</v>
      </c>
      <c r="G45" s="223" t="s">
        <v>94</v>
      </c>
      <c r="H45" s="223" t="s">
        <v>130</v>
      </c>
      <c r="I45" s="223" t="s">
        <v>131</v>
      </c>
      <c r="J45" s="372">
        <v>45</v>
      </c>
      <c r="K45" s="276">
        <v>307000</v>
      </c>
      <c r="L45" s="276">
        <v>307000</v>
      </c>
      <c r="M45" s="231">
        <f t="shared" si="14"/>
        <v>13815000</v>
      </c>
      <c r="N45" s="158"/>
      <c r="O45" s="1365">
        <f t="shared" si="15"/>
        <v>13815000</v>
      </c>
      <c r="P45" s="1366"/>
      <c r="Q45" s="1494"/>
      <c r="R45" s="1495"/>
      <c r="S45" s="212"/>
      <c r="T45" s="78"/>
      <c r="U45"/>
      <c r="V45"/>
      <c r="W45"/>
      <c r="X45"/>
      <c r="Y45"/>
      <c r="Z45"/>
      <c r="AA45"/>
      <c r="AB45"/>
      <c r="AC45"/>
      <c r="AD45"/>
      <c r="AE45"/>
      <c r="AF45"/>
    </row>
    <row r="46" spans="2:32" s="84" customFormat="1" ht="17.25" thickBot="1" x14ac:dyDescent="0.35">
      <c r="B46" s="213"/>
      <c r="C46" s="214"/>
      <c r="D46" s="215"/>
      <c r="E46" s="216"/>
      <c r="F46" s="229"/>
      <c r="G46" s="224"/>
      <c r="H46" s="224"/>
      <c r="I46" s="224"/>
      <c r="J46" s="373"/>
      <c r="K46" s="225"/>
      <c r="L46" s="225"/>
      <c r="M46" s="226"/>
      <c r="N46" s="162"/>
      <c r="O46" s="1365">
        <f t="shared" ref="O46" si="16">L46</f>
        <v>0</v>
      </c>
      <c r="P46" s="1366"/>
      <c r="Q46" s="1453"/>
      <c r="R46" s="1454"/>
      <c r="S46" s="217"/>
      <c r="T46" s="78"/>
      <c r="U46"/>
      <c r="V46"/>
      <c r="W46"/>
      <c r="X46"/>
      <c r="Y46"/>
      <c r="Z46"/>
      <c r="AA46"/>
      <c r="AB46"/>
      <c r="AC46"/>
      <c r="AD46"/>
      <c r="AE46"/>
      <c r="AF46"/>
    </row>
    <row r="47" spans="2:32" s="84" customFormat="1" ht="17.25" thickBot="1" x14ac:dyDescent="0.35">
      <c r="B47" s="122" t="s">
        <v>2</v>
      </c>
      <c r="C47" s="116"/>
      <c r="D47" s="116"/>
      <c r="E47" s="117"/>
      <c r="F47" s="218" t="s">
        <v>322</v>
      </c>
      <c r="G47" s="219"/>
      <c r="H47" s="219"/>
      <c r="I47" s="219"/>
      <c r="J47" s="219"/>
      <c r="K47" s="220"/>
      <c r="L47" s="220"/>
      <c r="M47" s="221"/>
      <c r="N47" s="135"/>
      <c r="O47" s="1447"/>
      <c r="P47" s="1448"/>
      <c r="Q47" s="1447"/>
      <c r="R47" s="1448"/>
      <c r="S47" s="115"/>
      <c r="T47" s="78"/>
      <c r="U47"/>
      <c r="V47"/>
      <c r="W47"/>
      <c r="X47"/>
      <c r="Y47"/>
      <c r="Z47"/>
      <c r="AA47"/>
      <c r="AB47"/>
      <c r="AC47"/>
      <c r="AD47"/>
      <c r="AE47"/>
      <c r="AF47"/>
    </row>
    <row r="48" spans="2:32" x14ac:dyDescent="0.3">
      <c r="B48" s="64"/>
      <c r="C48" s="65" t="s">
        <v>2</v>
      </c>
      <c r="D48" s="65"/>
      <c r="E48" s="66"/>
      <c r="F48" s="88" t="s">
        <v>7</v>
      </c>
      <c r="G48" s="85"/>
      <c r="H48" s="223" t="s">
        <v>130</v>
      </c>
      <c r="I48" s="223" t="s">
        <v>131</v>
      </c>
      <c r="J48" s="80">
        <v>5</v>
      </c>
      <c r="K48" s="277">
        <v>307000</v>
      </c>
      <c r="L48" s="277">
        <v>307000</v>
      </c>
      <c r="M48" s="112">
        <f>K48*J48</f>
        <v>1535000</v>
      </c>
      <c r="N48" s="137"/>
      <c r="O48" s="1365">
        <f t="shared" ref="O48:O54" si="17">L48*J48</f>
        <v>1535000</v>
      </c>
      <c r="P48" s="1366"/>
      <c r="Q48" s="1359" t="s">
        <v>62</v>
      </c>
      <c r="R48" s="1360"/>
      <c r="S48" s="94"/>
      <c r="T48" s="7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  <c r="AF48" s="103"/>
    </row>
    <row r="49" spans="2:32" x14ac:dyDescent="0.3">
      <c r="B49" s="62"/>
      <c r="C49" s="63" t="s">
        <v>2</v>
      </c>
      <c r="D49" s="63"/>
      <c r="E49" s="61"/>
      <c r="F49" s="89" t="s">
        <v>11</v>
      </c>
      <c r="G49" s="86"/>
      <c r="H49" s="223" t="s">
        <v>130</v>
      </c>
      <c r="I49" s="223" t="s">
        <v>131</v>
      </c>
      <c r="J49" s="56">
        <v>3</v>
      </c>
      <c r="K49" s="55">
        <v>307000</v>
      </c>
      <c r="L49" s="55">
        <v>307000</v>
      </c>
      <c r="M49" s="113">
        <f t="shared" ref="M49:M54" si="18">K49*J49</f>
        <v>921000</v>
      </c>
      <c r="N49" s="138"/>
      <c r="O49" s="1365">
        <f t="shared" si="17"/>
        <v>921000</v>
      </c>
      <c r="P49" s="1366"/>
      <c r="Q49" s="1361"/>
      <c r="R49" s="1362"/>
      <c r="S49" s="95"/>
      <c r="T49" s="73"/>
    </row>
    <row r="50" spans="2:32" x14ac:dyDescent="0.3">
      <c r="B50" s="62"/>
      <c r="C50" s="63" t="s">
        <v>2</v>
      </c>
      <c r="D50" s="63"/>
      <c r="E50" s="61"/>
      <c r="F50" s="89" t="s">
        <v>41</v>
      </c>
      <c r="G50" s="86"/>
      <c r="H50" s="223" t="s">
        <v>130</v>
      </c>
      <c r="I50" s="223" t="s">
        <v>131</v>
      </c>
      <c r="J50" s="56">
        <v>5</v>
      </c>
      <c r="K50" s="55">
        <v>307000</v>
      </c>
      <c r="L50" s="55">
        <v>307000</v>
      </c>
      <c r="M50" s="113">
        <f t="shared" si="18"/>
        <v>1535000</v>
      </c>
      <c r="N50" s="138"/>
      <c r="O50" s="1365">
        <f t="shared" si="17"/>
        <v>1535000</v>
      </c>
      <c r="P50" s="1366"/>
      <c r="Q50" s="1361"/>
      <c r="R50" s="1362"/>
      <c r="S50" s="95"/>
      <c r="T50" s="73"/>
    </row>
    <row r="51" spans="2:32" x14ac:dyDescent="0.3">
      <c r="B51" s="62"/>
      <c r="C51" s="63" t="s">
        <v>2</v>
      </c>
      <c r="D51" s="63"/>
      <c r="E51" s="61"/>
      <c r="F51" s="89" t="s">
        <v>10</v>
      </c>
      <c r="G51" s="86"/>
      <c r="H51" s="223" t="s">
        <v>130</v>
      </c>
      <c r="I51" s="223" t="s">
        <v>131</v>
      </c>
      <c r="J51" s="56">
        <v>3</v>
      </c>
      <c r="K51" s="55">
        <v>307000</v>
      </c>
      <c r="L51" s="55">
        <v>307000</v>
      </c>
      <c r="M51" s="113">
        <f t="shared" si="18"/>
        <v>921000</v>
      </c>
      <c r="N51" s="138"/>
      <c r="O51" s="1365">
        <f t="shared" si="17"/>
        <v>921000</v>
      </c>
      <c r="P51" s="1366"/>
      <c r="Q51" s="1361"/>
      <c r="R51" s="1362"/>
      <c r="S51" s="95"/>
      <c r="T51" s="73"/>
    </row>
    <row r="52" spans="2:32" x14ac:dyDescent="0.3">
      <c r="B52" s="62"/>
      <c r="C52" s="63" t="s">
        <v>2</v>
      </c>
      <c r="D52" s="63"/>
      <c r="E52" s="61"/>
      <c r="F52" s="89" t="s">
        <v>61</v>
      </c>
      <c r="G52" s="86"/>
      <c r="H52" s="223" t="s">
        <v>130</v>
      </c>
      <c r="I52" s="223" t="s">
        <v>131</v>
      </c>
      <c r="J52" s="56">
        <v>2</v>
      </c>
      <c r="K52" s="55">
        <v>307000</v>
      </c>
      <c r="L52" s="55">
        <v>307000</v>
      </c>
      <c r="M52" s="113">
        <f t="shared" si="18"/>
        <v>614000</v>
      </c>
      <c r="N52" s="138"/>
      <c r="O52" s="1365">
        <f t="shared" si="17"/>
        <v>614000</v>
      </c>
      <c r="P52" s="1366"/>
      <c r="Q52" s="1361"/>
      <c r="R52" s="1362"/>
      <c r="S52" s="95"/>
      <c r="T52" s="74"/>
    </row>
    <row r="53" spans="2:32" x14ac:dyDescent="0.3">
      <c r="B53" s="67"/>
      <c r="C53" s="63" t="s">
        <v>2</v>
      </c>
      <c r="D53" s="68"/>
      <c r="E53" s="69"/>
      <c r="F53" s="90" t="s">
        <v>9</v>
      </c>
      <c r="G53" s="86"/>
      <c r="H53" s="223" t="s">
        <v>130</v>
      </c>
      <c r="I53" s="223" t="s">
        <v>131</v>
      </c>
      <c r="J53" s="56">
        <v>5</v>
      </c>
      <c r="K53" s="55">
        <v>307000</v>
      </c>
      <c r="L53" s="55">
        <v>307000</v>
      </c>
      <c r="M53" s="113">
        <f t="shared" si="18"/>
        <v>1535000</v>
      </c>
      <c r="N53" s="138"/>
      <c r="O53" s="1365">
        <f t="shared" si="17"/>
        <v>1535000</v>
      </c>
      <c r="P53" s="1366"/>
      <c r="Q53" s="1361"/>
      <c r="R53" s="1362"/>
      <c r="S53" s="95"/>
    </row>
    <row r="54" spans="2:32" ht="17.25" thickBot="1" x14ac:dyDescent="0.35">
      <c r="B54" s="57"/>
      <c r="C54" s="58" t="s">
        <v>2</v>
      </c>
      <c r="D54" s="58"/>
      <c r="E54" s="60"/>
      <c r="F54" s="91" t="s">
        <v>8</v>
      </c>
      <c r="G54" s="87"/>
      <c r="H54" s="223" t="s">
        <v>130</v>
      </c>
      <c r="I54" s="223" t="s">
        <v>131</v>
      </c>
      <c r="J54" s="59">
        <v>2</v>
      </c>
      <c r="K54" s="169">
        <v>307000</v>
      </c>
      <c r="L54" s="169">
        <v>307000</v>
      </c>
      <c r="M54" s="114">
        <f t="shared" si="18"/>
        <v>614000</v>
      </c>
      <c r="N54" s="139"/>
      <c r="O54" s="1365">
        <f t="shared" si="17"/>
        <v>614000</v>
      </c>
      <c r="P54" s="1366"/>
      <c r="Q54" s="1363"/>
      <c r="R54" s="1364"/>
      <c r="S54" s="96"/>
    </row>
    <row r="55" spans="2:32" ht="18" thickBot="1" x14ac:dyDescent="0.35">
      <c r="B55" s="1345" t="s">
        <v>46</v>
      </c>
      <c r="C55" s="1346"/>
      <c r="D55" s="1346"/>
      <c r="E55" s="1346"/>
      <c r="F55" s="1346"/>
      <c r="G55" s="1346"/>
      <c r="H55" s="1346"/>
      <c r="I55" s="1346"/>
      <c r="J55" s="1346"/>
      <c r="K55" s="1346"/>
      <c r="L55" s="1347"/>
      <c r="M55" s="124">
        <f>SUM(M43:M54)</f>
        <v>24560000</v>
      </c>
      <c r="N55" s="140"/>
      <c r="O55" s="1348">
        <f>SUM(O43:P54)</f>
        <v>24560000</v>
      </c>
      <c r="P55" s="1349"/>
      <c r="Q55" s="1350"/>
      <c r="R55" s="1350"/>
      <c r="S55" s="1351"/>
    </row>
    <row r="56" spans="2:32" ht="20.25" thickBot="1" x14ac:dyDescent="0.35">
      <c r="B56" s="1352" t="s">
        <v>52</v>
      </c>
      <c r="C56" s="1353"/>
      <c r="D56" s="1353"/>
      <c r="E56" s="1353"/>
      <c r="F56" s="1353"/>
      <c r="G56" s="1353"/>
      <c r="H56" s="1353"/>
      <c r="I56" s="1353"/>
      <c r="J56" s="1353"/>
      <c r="K56" s="1353"/>
      <c r="L56" s="1353"/>
      <c r="M56" s="125"/>
      <c r="N56" s="134">
        <v>0.03</v>
      </c>
      <c r="O56" s="1354">
        <f>ROUNDDOWN(O42*N56,-3)</f>
        <v>4394000</v>
      </c>
      <c r="P56" s="1355"/>
      <c r="Q56" s="1356"/>
      <c r="R56" s="1357"/>
      <c r="S56" s="1358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0.25" thickBot="1" x14ac:dyDescent="0.35">
      <c r="B57" s="1352" t="s">
        <v>54</v>
      </c>
      <c r="C57" s="1353"/>
      <c r="D57" s="1353"/>
      <c r="E57" s="1353"/>
      <c r="F57" s="1353"/>
      <c r="G57" s="1353"/>
      <c r="H57" s="1353"/>
      <c r="I57" s="1353"/>
      <c r="J57" s="1353"/>
      <c r="K57" s="1353"/>
      <c r="L57" s="1353"/>
      <c r="M57" s="127"/>
      <c r="N57" s="128"/>
      <c r="O57" s="1354">
        <f>SUM(O56,O55,O42)</f>
        <v>175436000</v>
      </c>
      <c r="P57" s="1355"/>
      <c r="Q57" s="1374"/>
      <c r="R57" s="1375"/>
      <c r="S57" s="1376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0.25" thickBot="1" x14ac:dyDescent="0.35">
      <c r="B58" s="1352" t="s">
        <v>51</v>
      </c>
      <c r="C58" s="1353"/>
      <c r="D58" s="1353"/>
      <c r="E58" s="1353"/>
      <c r="F58" s="1353"/>
      <c r="G58" s="1353"/>
      <c r="H58" s="1353"/>
      <c r="I58" s="1353"/>
      <c r="J58" s="1353"/>
      <c r="K58" s="1353"/>
      <c r="L58" s="1353"/>
      <c r="M58" s="129"/>
      <c r="N58" s="126">
        <v>0.1</v>
      </c>
      <c r="O58" s="1381">
        <f>ROUNDDOWN(O57*N58,-3)</f>
        <v>17543000</v>
      </c>
      <c r="P58" s="1382"/>
      <c r="Q58" s="1383"/>
      <c r="R58" s="1384"/>
      <c r="S58" s="1385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1" thickBot="1" x14ac:dyDescent="0.35">
      <c r="B59" s="1367" t="s">
        <v>44</v>
      </c>
      <c r="C59" s="1368"/>
      <c r="D59" s="1368"/>
      <c r="E59" s="1368"/>
      <c r="F59" s="1368"/>
      <c r="G59" s="1368"/>
      <c r="H59" s="1368"/>
      <c r="I59" s="1368"/>
      <c r="J59" s="1368"/>
      <c r="K59" s="1368"/>
      <c r="L59" s="1368"/>
      <c r="M59" s="92"/>
      <c r="N59" s="111"/>
      <c r="O59" s="1369">
        <f>ROUNDDOWN(SUM(O57:P58), -6)</f>
        <v>192000000</v>
      </c>
      <c r="P59" s="1370"/>
      <c r="Q59" s="1371"/>
      <c r="R59" s="1372"/>
      <c r="S59" s="137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1" thickBot="1" x14ac:dyDescent="0.35">
      <c r="B60" s="104"/>
      <c r="C60" s="104"/>
      <c r="D60" s="104"/>
      <c r="E60" s="104"/>
      <c r="F60" s="105"/>
      <c r="G60" s="105"/>
      <c r="H60" s="105"/>
      <c r="I60" s="105"/>
      <c r="J60" s="105"/>
      <c r="K60" s="105"/>
      <c r="L60" s="105"/>
      <c r="M60" s="106"/>
      <c r="N60" s="107"/>
      <c r="O60" s="107"/>
      <c r="P60" s="107"/>
      <c r="Q60" s="108"/>
      <c r="R60" s="108"/>
      <c r="S60" s="108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 ht="18" thickBot="1" x14ac:dyDescent="0.35">
      <c r="B61" s="1374" t="s">
        <v>50</v>
      </c>
      <c r="C61" s="1375"/>
      <c r="D61" s="1375"/>
      <c r="E61" s="1376"/>
      <c r="F61" s="109"/>
      <c r="G61" s="109"/>
      <c r="H61" s="109"/>
      <c r="I61" s="109"/>
      <c r="J61" s="109"/>
      <c r="K61" s="110"/>
      <c r="L61" s="110"/>
      <c r="M61" s="110"/>
      <c r="N61" s="77" t="s">
        <v>14</v>
      </c>
      <c r="O61" s="1377" t="s">
        <v>15</v>
      </c>
      <c r="P61" s="1378"/>
      <c r="Q61" s="1379" t="s">
        <v>17</v>
      </c>
      <c r="R61" s="1380"/>
      <c r="S61" s="166" t="s">
        <v>16</v>
      </c>
    </row>
    <row r="62" spans="2:32" ht="18" customHeight="1" x14ac:dyDescent="0.3">
      <c r="B62" s="102">
        <v>1</v>
      </c>
      <c r="C62" s="1400"/>
      <c r="D62" s="1401"/>
      <c r="E62" s="1401"/>
      <c r="F62" s="1401"/>
      <c r="G62" s="1401"/>
      <c r="H62" s="1401"/>
      <c r="I62" s="1401"/>
      <c r="J62" s="1402"/>
      <c r="N62" s="11">
        <v>0</v>
      </c>
      <c r="O62" s="1403">
        <f>$O$59/(1+N62)</f>
        <v>192000000</v>
      </c>
      <c r="P62" s="1404"/>
      <c r="Q62" s="1405">
        <f>O62-$M$42</f>
        <v>81991995</v>
      </c>
      <c r="R62" s="1406"/>
      <c r="S62" s="160">
        <f>Q62/O62</f>
        <v>0.427041640625</v>
      </c>
    </row>
    <row r="63" spans="2:32" ht="18" customHeight="1" x14ac:dyDescent="0.3">
      <c r="B63" s="100">
        <v>2</v>
      </c>
      <c r="C63" s="1458"/>
      <c r="D63" s="1456"/>
      <c r="E63" s="1456"/>
      <c r="F63" s="1456"/>
      <c r="G63" s="1456"/>
      <c r="H63" s="1456"/>
      <c r="I63" s="1456"/>
      <c r="J63" s="1457"/>
      <c r="N63" s="9">
        <v>0.1</v>
      </c>
      <c r="O63" s="1389">
        <f>$O$59/(1+N63)</f>
        <v>174545454.54545453</v>
      </c>
      <c r="P63" s="1390"/>
      <c r="Q63" s="1391">
        <f t="shared" ref="Q63:Q66" si="19">O63-$M$42</f>
        <v>64537449.545454532</v>
      </c>
      <c r="R63" s="1392"/>
      <c r="S63" s="161">
        <f t="shared" ref="S63:S66" si="20">Q63/O63</f>
        <v>0.36974580468749996</v>
      </c>
    </row>
    <row r="64" spans="2:32" ht="18" customHeight="1" x14ac:dyDescent="0.3">
      <c r="B64" s="100">
        <v>3</v>
      </c>
      <c r="C64" s="1455"/>
      <c r="D64" s="1456"/>
      <c r="E64" s="1456"/>
      <c r="F64" s="1456"/>
      <c r="G64" s="1456"/>
      <c r="H64" s="1456"/>
      <c r="I64" s="1456"/>
      <c r="J64" s="1457"/>
      <c r="N64" s="10">
        <v>0.15</v>
      </c>
      <c r="O64" s="1389">
        <f t="shared" ref="O64:O65" si="21">$O$59/(1+N64)</f>
        <v>166956521.73913044</v>
      </c>
      <c r="P64" s="1390"/>
      <c r="Q64" s="1391">
        <f t="shared" si="19"/>
        <v>56948516.739130437</v>
      </c>
      <c r="R64" s="1392"/>
      <c r="S64" s="161">
        <f t="shared" si="20"/>
        <v>0.34109788671875002</v>
      </c>
    </row>
    <row r="65" spans="1:32" s="103" customFormat="1" ht="18" customHeight="1" x14ac:dyDescent="0.3">
      <c r="B65" s="100">
        <v>4</v>
      </c>
      <c r="C65" s="1455"/>
      <c r="D65" s="1456"/>
      <c r="E65" s="1456"/>
      <c r="F65" s="1456"/>
      <c r="G65" s="1456"/>
      <c r="H65" s="1456"/>
      <c r="I65" s="1456"/>
      <c r="J65" s="1457"/>
      <c r="K65" s="1"/>
      <c r="L65" s="1"/>
      <c r="M65" s="1"/>
      <c r="N65" s="10">
        <v>0.2</v>
      </c>
      <c r="O65" s="1389">
        <f t="shared" si="21"/>
        <v>160000000</v>
      </c>
      <c r="P65" s="1390"/>
      <c r="Q65" s="1391">
        <f t="shared" si="19"/>
        <v>49991995</v>
      </c>
      <c r="R65" s="1392"/>
      <c r="S65" s="161">
        <f t="shared" si="20"/>
        <v>0.31244996874999997</v>
      </c>
      <c r="U65"/>
      <c r="V65"/>
      <c r="W65"/>
      <c r="X65"/>
      <c r="Y65"/>
      <c r="Z65"/>
      <c r="AA65"/>
      <c r="AB65"/>
      <c r="AC65"/>
      <c r="AD65"/>
      <c r="AE65"/>
      <c r="AF65"/>
    </row>
    <row r="66" spans="1:32" ht="18" customHeight="1" thickBot="1" x14ac:dyDescent="0.35">
      <c r="B66" s="100">
        <v>5</v>
      </c>
      <c r="C66" s="1393"/>
      <c r="D66" s="1394"/>
      <c r="E66" s="1394"/>
      <c r="F66" s="1394"/>
      <c r="G66" s="1394"/>
      <c r="H66" s="1394"/>
      <c r="I66" s="1394"/>
      <c r="J66" s="1395"/>
      <c r="N66" s="12" t="s">
        <v>45</v>
      </c>
      <c r="O66" s="1396">
        <v>0</v>
      </c>
      <c r="P66" s="1397"/>
      <c r="Q66" s="1398">
        <f t="shared" si="19"/>
        <v>-110008005</v>
      </c>
      <c r="R66" s="1399"/>
      <c r="S66" s="99" t="e">
        <f t="shared" si="20"/>
        <v>#DIV/0!</v>
      </c>
    </row>
    <row r="67" spans="1:32" ht="18" customHeight="1" thickBot="1" x14ac:dyDescent="0.35">
      <c r="B67" s="100">
        <v>6</v>
      </c>
      <c r="C67" s="1393"/>
      <c r="D67" s="1394"/>
      <c r="E67" s="1394"/>
      <c r="F67" s="1394"/>
      <c r="G67" s="1394"/>
      <c r="H67" s="1394"/>
      <c r="I67" s="1394"/>
      <c r="J67" s="1395"/>
    </row>
    <row r="68" spans="1:32" ht="18" customHeight="1" thickBot="1" x14ac:dyDescent="0.35">
      <c r="B68" s="100">
        <v>7</v>
      </c>
      <c r="C68" s="171"/>
      <c r="D68" s="172"/>
      <c r="E68" s="172"/>
      <c r="F68" s="172"/>
      <c r="G68" s="172"/>
      <c r="H68" s="172"/>
      <c r="I68" s="172"/>
      <c r="J68" s="173"/>
      <c r="N68" s="1410" t="s">
        <v>47</v>
      </c>
      <c r="O68" s="1411"/>
      <c r="P68" s="1412" t="s">
        <v>48</v>
      </c>
      <c r="Q68" s="1413"/>
      <c r="R68" s="1414" t="s">
        <v>49</v>
      </c>
      <c r="S68" s="1415"/>
    </row>
    <row r="69" spans="1:32" ht="18" customHeight="1" x14ac:dyDescent="0.3">
      <c r="B69" s="100">
        <v>8</v>
      </c>
      <c r="C69" s="1393"/>
      <c r="D69" s="1394"/>
      <c r="E69" s="1394"/>
      <c r="F69" s="1394"/>
      <c r="G69" s="1394"/>
      <c r="H69" s="1394"/>
      <c r="I69" s="1394"/>
      <c r="J69" s="1395"/>
      <c r="N69" s="1416"/>
      <c r="O69" s="1417"/>
      <c r="P69" s="1422"/>
      <c r="Q69" s="1423"/>
      <c r="R69" s="1428"/>
      <c r="S69" s="1429"/>
    </row>
    <row r="70" spans="1:32" ht="18" customHeight="1" x14ac:dyDescent="0.3">
      <c r="B70" s="100"/>
      <c r="C70" s="1434"/>
      <c r="D70" s="1435"/>
      <c r="E70" s="1435"/>
      <c r="F70" s="1435"/>
      <c r="G70" s="1435"/>
      <c r="H70" s="1435"/>
      <c r="I70" s="1435"/>
      <c r="J70" s="1436"/>
      <c r="N70" s="1418"/>
      <c r="O70" s="1419"/>
      <c r="P70" s="1424"/>
      <c r="Q70" s="1425"/>
      <c r="R70" s="1430"/>
      <c r="S70" s="1431"/>
    </row>
    <row r="71" spans="1:32" ht="18" customHeight="1" x14ac:dyDescent="0.3">
      <c r="B71" s="100"/>
      <c r="C71" s="1434"/>
      <c r="D71" s="1435"/>
      <c r="E71" s="1435"/>
      <c r="F71" s="1435"/>
      <c r="G71" s="1435"/>
      <c r="H71" s="1435"/>
      <c r="I71" s="1435"/>
      <c r="J71" s="1436"/>
      <c r="N71" s="1418"/>
      <c r="O71" s="1419"/>
      <c r="P71" s="1424"/>
      <c r="Q71" s="1425"/>
      <c r="R71" s="1430"/>
      <c r="S71" s="1431"/>
    </row>
    <row r="72" spans="1:32" ht="18" customHeight="1" thickBot="1" x14ac:dyDescent="0.35">
      <c r="B72" s="101"/>
      <c r="C72" s="1407"/>
      <c r="D72" s="1408"/>
      <c r="E72" s="1408"/>
      <c r="F72" s="1408"/>
      <c r="G72" s="1408"/>
      <c r="H72" s="1408"/>
      <c r="I72" s="1408"/>
      <c r="J72" s="1409"/>
      <c r="N72" s="1420"/>
      <c r="O72" s="1421"/>
      <c r="P72" s="1426"/>
      <c r="Q72" s="1427"/>
      <c r="R72" s="1432"/>
      <c r="S72" s="1433"/>
    </row>
    <row r="73" spans="1:32" s="3" customFormat="1" ht="17.25" x14ac:dyDescent="0.3">
      <c r="A73"/>
      <c r="B73" s="2"/>
      <c r="C73" s="2"/>
      <c r="D73" s="2"/>
      <c r="E73" s="2"/>
      <c r="K73" s="1"/>
      <c r="L73" s="1"/>
      <c r="M73" s="1"/>
      <c r="N73" s="5"/>
      <c r="O73" s="1"/>
      <c r="P73" s="1"/>
      <c r="Q73"/>
      <c r="R73"/>
      <c r="S73" s="93"/>
      <c r="T73" s="97"/>
      <c r="U73"/>
      <c r="V73"/>
      <c r="W73"/>
      <c r="X73"/>
      <c r="Y73"/>
      <c r="Z73"/>
      <c r="AA73"/>
      <c r="AB73"/>
      <c r="AC73"/>
      <c r="AD73"/>
      <c r="AE73"/>
      <c r="AF73"/>
    </row>
    <row r="74" spans="1:32" s="3" customFormat="1" x14ac:dyDescent="0.3">
      <c r="A74"/>
      <c r="B74" s="2"/>
      <c r="C74" s="2"/>
      <c r="D74" s="2"/>
      <c r="E74" s="2"/>
      <c r="K74" s="1"/>
      <c r="L74" s="1"/>
      <c r="M74" s="1"/>
      <c r="N74" s="5"/>
      <c r="O74" s="1"/>
      <c r="P74" s="1"/>
      <c r="Q74"/>
      <c r="R74"/>
      <c r="S74" s="93"/>
      <c r="T74" s="98"/>
      <c r="U74"/>
      <c r="V74"/>
      <c r="W74"/>
      <c r="X74"/>
      <c r="Y74"/>
      <c r="Z74"/>
      <c r="AA74"/>
      <c r="AB74"/>
      <c r="AC74"/>
      <c r="AD74"/>
      <c r="AE74"/>
      <c r="AF74"/>
    </row>
    <row r="75" spans="1:32" s="3" customFormat="1" x14ac:dyDescent="0.3">
      <c r="A75"/>
      <c r="B75" s="2"/>
      <c r="C75" s="2"/>
      <c r="D75" s="2"/>
      <c r="E75" s="2"/>
      <c r="K75" s="395"/>
      <c r="L75" s="1"/>
      <c r="M75" s="1"/>
      <c r="N75" s="5"/>
      <c r="O75" s="1"/>
      <c r="P75" s="1"/>
      <c r="Q75"/>
      <c r="R75"/>
      <c r="S75" s="93"/>
      <c r="T75" s="98"/>
      <c r="U75"/>
      <c r="V75"/>
      <c r="W75"/>
      <c r="X75"/>
      <c r="Y75"/>
      <c r="Z75"/>
      <c r="AA75"/>
      <c r="AB75"/>
      <c r="AC75"/>
      <c r="AD75"/>
      <c r="AE75"/>
      <c r="AF75"/>
    </row>
    <row r="76" spans="1:32" s="3" customFormat="1" x14ac:dyDescent="0.3">
      <c r="A76"/>
      <c r="B76" s="2"/>
      <c r="C76" s="2"/>
      <c r="D76" s="2"/>
      <c r="E76" s="2"/>
      <c r="K76" s="1"/>
      <c r="L76" s="1"/>
      <c r="M76" s="1"/>
      <c r="N76" s="5"/>
      <c r="O76" s="1"/>
      <c r="P76" s="1"/>
      <c r="Q76"/>
      <c r="R76"/>
      <c r="S76" s="93"/>
      <c r="T76" s="98"/>
      <c r="U76"/>
      <c r="V76"/>
      <c r="W76"/>
      <c r="X76"/>
      <c r="Y76"/>
      <c r="Z76"/>
      <c r="AA76"/>
      <c r="AB76"/>
      <c r="AC76"/>
      <c r="AD76"/>
      <c r="AE76"/>
      <c r="AF76"/>
    </row>
    <row r="77" spans="1:32" s="3" customFormat="1" x14ac:dyDescent="0.3">
      <c r="A77"/>
      <c r="B77" s="2"/>
      <c r="C77" s="2"/>
      <c r="D77" s="2"/>
      <c r="E77" s="2"/>
      <c r="K77" s="1"/>
      <c r="L77" s="1"/>
      <c r="M77" s="1"/>
      <c r="N77" s="5"/>
      <c r="O77" s="1"/>
      <c r="P77" s="1"/>
      <c r="Q77"/>
      <c r="R77"/>
      <c r="S77" s="93"/>
      <c r="T77" s="98"/>
      <c r="U77"/>
      <c r="V77"/>
      <c r="W77"/>
      <c r="X77"/>
      <c r="Y77"/>
      <c r="Z77"/>
      <c r="AA77"/>
      <c r="AB77"/>
      <c r="AC77"/>
      <c r="AD77"/>
      <c r="AE77"/>
      <c r="AF77"/>
    </row>
  </sheetData>
  <mergeCells count="132">
    <mergeCell ref="Q47:R47"/>
    <mergeCell ref="O54:P54"/>
    <mergeCell ref="O46:P46"/>
    <mergeCell ref="Q42:R42"/>
    <mergeCell ref="Q26:R26"/>
    <mergeCell ref="O31:P31"/>
    <mergeCell ref="Q31:R31"/>
    <mergeCell ref="Q19:R19"/>
    <mergeCell ref="Q32:R32"/>
    <mergeCell ref="Q24:R24"/>
    <mergeCell ref="Q22:R22"/>
    <mergeCell ref="O42:P42"/>
    <mergeCell ref="O41:P41"/>
    <mergeCell ref="O40:P40"/>
    <mergeCell ref="O33:P33"/>
    <mergeCell ref="O35:P35"/>
    <mergeCell ref="O36:P36"/>
    <mergeCell ref="O37:P37"/>
    <mergeCell ref="O23:P23"/>
    <mergeCell ref="Q6:R6"/>
    <mergeCell ref="Q13:R13"/>
    <mergeCell ref="Q14:R14"/>
    <mergeCell ref="Q15:R15"/>
    <mergeCell ref="O26:P26"/>
    <mergeCell ref="O38:P38"/>
    <mergeCell ref="O39:P39"/>
    <mergeCell ref="O28:P28"/>
    <mergeCell ref="O29:P29"/>
    <mergeCell ref="Q29:R29"/>
    <mergeCell ref="O30:P30"/>
    <mergeCell ref="O20:P20"/>
    <mergeCell ref="Q20:R20"/>
    <mergeCell ref="O21:P21"/>
    <mergeCell ref="Q21:R21"/>
    <mergeCell ref="O22:P22"/>
    <mergeCell ref="Q16:R16"/>
    <mergeCell ref="O13:P13"/>
    <mergeCell ref="O34:P34"/>
    <mergeCell ref="O16:P16"/>
    <mergeCell ref="O27:P27"/>
    <mergeCell ref="O24:P24"/>
    <mergeCell ref="O19:P19"/>
    <mergeCell ref="O32:P32"/>
    <mergeCell ref="C62:J62"/>
    <mergeCell ref="O62:P62"/>
    <mergeCell ref="Q62:R62"/>
    <mergeCell ref="O43:P43"/>
    <mergeCell ref="Q43:R43"/>
    <mergeCell ref="O44:P44"/>
    <mergeCell ref="Q44:R44"/>
    <mergeCell ref="O47:P47"/>
    <mergeCell ref="B55:L55"/>
    <mergeCell ref="O55:P55"/>
    <mergeCell ref="Q55:S55"/>
    <mergeCell ref="B56:L56"/>
    <mergeCell ref="O56:P56"/>
    <mergeCell ref="Q56:S56"/>
    <mergeCell ref="O51:P51"/>
    <mergeCell ref="O52:P52"/>
    <mergeCell ref="O53:P53"/>
    <mergeCell ref="O50:P50"/>
    <mergeCell ref="O45:P45"/>
    <mergeCell ref="Q45:R45"/>
    <mergeCell ref="O48:P48"/>
    <mergeCell ref="O49:P49"/>
    <mergeCell ref="Q46:R46"/>
    <mergeCell ref="Q48:R54"/>
    <mergeCell ref="C65:J65"/>
    <mergeCell ref="O65:P65"/>
    <mergeCell ref="Q65:R65"/>
    <mergeCell ref="C69:J69"/>
    <mergeCell ref="N69:O72"/>
    <mergeCell ref="P69:Q72"/>
    <mergeCell ref="R69:S72"/>
    <mergeCell ref="C70:J70"/>
    <mergeCell ref="C71:J71"/>
    <mergeCell ref="C72:J72"/>
    <mergeCell ref="C66:J66"/>
    <mergeCell ref="O66:P66"/>
    <mergeCell ref="Q66:R66"/>
    <mergeCell ref="C67:J67"/>
    <mergeCell ref="N68:O68"/>
    <mergeCell ref="P68:Q68"/>
    <mergeCell ref="R68:S68"/>
    <mergeCell ref="B42:L42"/>
    <mergeCell ref="C64:J64"/>
    <mergeCell ref="O64:P64"/>
    <mergeCell ref="Q64:R64"/>
    <mergeCell ref="C63:J63"/>
    <mergeCell ref="O63:P63"/>
    <mergeCell ref="Q27:R27"/>
    <mergeCell ref="Q39:R39"/>
    <mergeCell ref="Q38:R38"/>
    <mergeCell ref="Q37:R37"/>
    <mergeCell ref="Q36:R36"/>
    <mergeCell ref="B58:L58"/>
    <mergeCell ref="O58:P58"/>
    <mergeCell ref="Q58:S58"/>
    <mergeCell ref="B57:L57"/>
    <mergeCell ref="O57:P57"/>
    <mergeCell ref="Q57:S57"/>
    <mergeCell ref="Q63:R63"/>
    <mergeCell ref="B59:L59"/>
    <mergeCell ref="O59:P59"/>
    <mergeCell ref="Q59:S59"/>
    <mergeCell ref="B61:E61"/>
    <mergeCell ref="O61:P61"/>
    <mergeCell ref="Q61:R61"/>
    <mergeCell ref="A2:S2"/>
    <mergeCell ref="Q3:S3"/>
    <mergeCell ref="B4:E4"/>
    <mergeCell ref="O4:P4"/>
    <mergeCell ref="Q4:R4"/>
    <mergeCell ref="O17:P17"/>
    <mergeCell ref="O14:P14"/>
    <mergeCell ref="O15:P15"/>
    <mergeCell ref="O9:P9"/>
    <mergeCell ref="O5:P5"/>
    <mergeCell ref="Q5:R5"/>
    <mergeCell ref="Q8:R8"/>
    <mergeCell ref="Q9:R9"/>
    <mergeCell ref="Q10:R10"/>
    <mergeCell ref="O7:P7"/>
    <mergeCell ref="O8:P8"/>
    <mergeCell ref="Q11:R12"/>
    <mergeCell ref="O12:P12"/>
    <mergeCell ref="Q17:R18"/>
    <mergeCell ref="O10:P10"/>
    <mergeCell ref="O18:P18"/>
    <mergeCell ref="O6:P6"/>
    <mergeCell ref="O11:P11"/>
    <mergeCell ref="Q7:R7"/>
  </mergeCells>
  <phoneticPr fontId="2" type="noConversion"/>
  <pageMargins left="0.25" right="0.25" top="0.75" bottom="0.75" header="0.3" footer="0.3"/>
  <pageSetup paperSize="9" scale="38" fitToWidth="0" orientation="landscape" horizontalDpi="300" r:id="rId1"/>
  <headerFooter>
    <oddFooter>&amp;R&amp;D</oddFooter>
  </headerFooter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D9700-CDDB-46A5-BD3E-66E676FEF9F6}">
  <sheetPr>
    <pageSetUpPr fitToPage="1"/>
  </sheetPr>
  <dimension ref="A1:AH110"/>
  <sheetViews>
    <sheetView view="pageBreakPreview" topLeftCell="A25" zoomScale="85" zoomScaleNormal="70" zoomScaleSheetLayoutView="85" zoomScalePageLayoutView="85" workbookViewId="0">
      <selection activeCell="F13" sqref="F13"/>
    </sheetView>
  </sheetViews>
  <sheetFormatPr defaultRowHeight="16.5" x14ac:dyDescent="0.3"/>
  <cols>
    <col min="1" max="1" width="1.625" customWidth="1"/>
    <col min="2" max="5" width="3.375" style="2" customWidth="1"/>
    <col min="6" max="6" width="57.25" style="3" customWidth="1"/>
    <col min="7" max="7" width="25.625" style="3" bestFit="1" customWidth="1"/>
    <col min="8" max="9" width="16.625" style="3" customWidth="1"/>
    <col min="10" max="10" width="6.625" style="3" customWidth="1"/>
    <col min="11" max="13" width="16.625" style="1" customWidth="1"/>
    <col min="14" max="14" width="12.625" style="5" customWidth="1"/>
    <col min="15" max="15" width="9.625" style="1" customWidth="1"/>
    <col min="16" max="16" width="12.625" style="1" customWidth="1"/>
    <col min="17" max="18" width="22.375" customWidth="1"/>
    <col min="19" max="19" width="21.875" style="93" customWidth="1"/>
    <col min="20" max="20" width="2" style="70" customWidth="1"/>
  </cols>
  <sheetData>
    <row r="1" spans="1:21" ht="9.9499999999999993" customHeight="1" x14ac:dyDescent="0.3"/>
    <row r="2" spans="1:21" ht="26.25" x14ac:dyDescent="0.3">
      <c r="A2" s="1445" t="s">
        <v>241</v>
      </c>
      <c r="B2" s="1445"/>
      <c r="C2" s="1445"/>
      <c r="D2" s="1445"/>
      <c r="E2" s="1445"/>
      <c r="F2" s="1445"/>
      <c r="G2" s="1445"/>
      <c r="H2" s="1445"/>
      <c r="I2" s="1445"/>
      <c r="J2" s="1445"/>
      <c r="K2" s="1445"/>
      <c r="L2" s="1445"/>
      <c r="M2" s="1445"/>
      <c r="N2" s="1445"/>
      <c r="O2" s="1445"/>
      <c r="P2" s="1445"/>
      <c r="Q2" s="1445"/>
      <c r="R2" s="1445"/>
      <c r="S2" s="1445"/>
      <c r="T2" s="72"/>
    </row>
    <row r="3" spans="1:21" ht="17.25" thickBot="1" x14ac:dyDescent="0.35">
      <c r="Q3" s="1446">
        <v>45149</v>
      </c>
      <c r="R3" s="1446"/>
      <c r="S3" s="1446"/>
      <c r="T3" s="75"/>
      <c r="U3" s="75"/>
    </row>
    <row r="4" spans="1:21" ht="18" thickBot="1" x14ac:dyDescent="0.35">
      <c r="B4" s="1318" t="s">
        <v>1</v>
      </c>
      <c r="C4" s="1319"/>
      <c r="D4" s="1319"/>
      <c r="E4" s="1320"/>
      <c r="F4" s="6" t="s">
        <v>56</v>
      </c>
      <c r="G4" s="6" t="s">
        <v>55</v>
      </c>
      <c r="H4" s="6" t="s">
        <v>0</v>
      </c>
      <c r="I4" s="6" t="s">
        <v>43</v>
      </c>
      <c r="J4" s="6" t="s">
        <v>4</v>
      </c>
      <c r="K4" s="7" t="s">
        <v>12</v>
      </c>
      <c r="L4" s="8" t="s">
        <v>39</v>
      </c>
      <c r="M4" s="8" t="s">
        <v>5</v>
      </c>
      <c r="N4" s="141" t="s">
        <v>13</v>
      </c>
      <c r="O4" s="1321" t="s">
        <v>6</v>
      </c>
      <c r="P4" s="1322"/>
      <c r="Q4" s="1319" t="s">
        <v>3</v>
      </c>
      <c r="R4" s="1323"/>
      <c r="S4" s="71" t="s">
        <v>59</v>
      </c>
      <c r="T4" s="75"/>
      <c r="U4" s="75"/>
    </row>
    <row r="5" spans="1:21" ht="17.25" thickBot="1" x14ac:dyDescent="0.35">
      <c r="B5" s="122" t="s">
        <v>2</v>
      </c>
      <c r="C5" s="116"/>
      <c r="D5" s="116"/>
      <c r="E5" s="117"/>
      <c r="F5" s="118" t="s">
        <v>63</v>
      </c>
      <c r="G5" s="119"/>
      <c r="H5" s="119"/>
      <c r="I5" s="119"/>
      <c r="J5" s="119"/>
      <c r="K5" s="119"/>
      <c r="L5" s="120"/>
      <c r="M5" s="121"/>
      <c r="N5" s="135"/>
      <c r="O5" s="1447"/>
      <c r="P5" s="1448"/>
      <c r="Q5" s="1586"/>
      <c r="R5" s="1587"/>
      <c r="S5" s="115"/>
      <c r="T5" s="75"/>
      <c r="U5" s="75"/>
    </row>
    <row r="6" spans="1:21" s="82" customFormat="1" x14ac:dyDescent="0.3">
      <c r="B6" s="149"/>
      <c r="C6" s="150" t="s">
        <v>2</v>
      </c>
      <c r="D6" s="155"/>
      <c r="E6" s="151"/>
      <c r="F6" s="339" t="s">
        <v>168</v>
      </c>
      <c r="G6" s="340" t="s">
        <v>160</v>
      </c>
      <c r="H6" s="341" t="s">
        <v>104</v>
      </c>
      <c r="I6" s="341" t="s">
        <v>64</v>
      </c>
      <c r="J6" s="342">
        <v>1</v>
      </c>
      <c r="K6" s="343">
        <v>117200000</v>
      </c>
      <c r="L6" s="343">
        <v>156390000</v>
      </c>
      <c r="M6" s="344">
        <f t="shared" ref="M6:M14" si="0">J6*K6</f>
        <v>117200000</v>
      </c>
      <c r="N6" s="338">
        <v>0</v>
      </c>
      <c r="O6" s="1617">
        <f t="shared" ref="O6:O9" si="1">L6*J6</f>
        <v>156390000</v>
      </c>
      <c r="P6" s="1618"/>
      <c r="Q6" s="1607" t="s">
        <v>176</v>
      </c>
      <c r="R6" s="1608"/>
      <c r="S6" s="152" t="s">
        <v>226</v>
      </c>
      <c r="T6" s="75"/>
      <c r="U6" s="75"/>
    </row>
    <row r="7" spans="1:21" s="82" customFormat="1" x14ac:dyDescent="0.3">
      <c r="B7" s="153"/>
      <c r="C7" s="150"/>
      <c r="D7" s="150" t="s">
        <v>2</v>
      </c>
      <c r="E7" s="154"/>
      <c r="F7" s="332" t="s">
        <v>101</v>
      </c>
      <c r="G7" s="333" t="s">
        <v>65</v>
      </c>
      <c r="H7" s="334" t="s">
        <v>104</v>
      </c>
      <c r="I7" s="334" t="s">
        <v>64</v>
      </c>
      <c r="J7" s="335">
        <v>1</v>
      </c>
      <c r="K7" s="336">
        <v>14500000</v>
      </c>
      <c r="L7" s="336">
        <v>19449000</v>
      </c>
      <c r="M7" s="344">
        <f t="shared" si="0"/>
        <v>14500000</v>
      </c>
      <c r="N7" s="345">
        <v>0</v>
      </c>
      <c r="O7" s="1617">
        <f t="shared" si="1"/>
        <v>19449000</v>
      </c>
      <c r="P7" s="1618"/>
      <c r="Q7" s="1488" t="s">
        <v>170</v>
      </c>
      <c r="R7" s="1489"/>
      <c r="S7" s="152" t="s">
        <v>226</v>
      </c>
      <c r="T7" s="75"/>
      <c r="U7" s="75"/>
    </row>
    <row r="8" spans="1:21" s="82" customFormat="1" x14ac:dyDescent="0.3">
      <c r="B8" s="149"/>
      <c r="C8" s="150" t="s">
        <v>2</v>
      </c>
      <c r="D8" s="150"/>
      <c r="E8" s="151"/>
      <c r="F8" s="332" t="s">
        <v>194</v>
      </c>
      <c r="G8" s="333" t="s">
        <v>195</v>
      </c>
      <c r="H8" s="334" t="s">
        <v>142</v>
      </c>
      <c r="I8" s="334" t="s">
        <v>64</v>
      </c>
      <c r="J8" s="335">
        <v>1</v>
      </c>
      <c r="K8" s="336">
        <v>13400000</v>
      </c>
      <c r="L8" s="346">
        <v>17875000</v>
      </c>
      <c r="M8" s="344">
        <f t="shared" si="0"/>
        <v>13400000</v>
      </c>
      <c r="N8" s="345">
        <v>0</v>
      </c>
      <c r="O8" s="1617">
        <f t="shared" si="1"/>
        <v>17875000</v>
      </c>
      <c r="P8" s="1618"/>
      <c r="Q8" s="1592" t="s">
        <v>177</v>
      </c>
      <c r="R8" s="1593"/>
      <c r="S8" s="152" t="s">
        <v>107</v>
      </c>
      <c r="T8" s="75"/>
      <c r="U8" s="75"/>
    </row>
    <row r="9" spans="1:21" s="82" customFormat="1" x14ac:dyDescent="0.3">
      <c r="B9" s="149"/>
      <c r="C9" s="150"/>
      <c r="D9" s="150" t="s">
        <v>2</v>
      </c>
      <c r="E9" s="151"/>
      <c r="F9" s="332" t="s">
        <v>196</v>
      </c>
      <c r="G9" s="333" t="s">
        <v>197</v>
      </c>
      <c r="H9" s="334" t="s">
        <v>142</v>
      </c>
      <c r="I9" s="334" t="s">
        <v>64</v>
      </c>
      <c r="J9" s="335">
        <v>1</v>
      </c>
      <c r="K9" s="336">
        <f t="shared" ref="K9:K14" si="2">L9*0.75</f>
        <v>285750</v>
      </c>
      <c r="L9" s="346">
        <v>381000</v>
      </c>
      <c r="M9" s="347">
        <f t="shared" si="0"/>
        <v>285750</v>
      </c>
      <c r="N9" s="345">
        <v>0</v>
      </c>
      <c r="O9" s="1617">
        <f t="shared" si="1"/>
        <v>381000</v>
      </c>
      <c r="P9" s="1618"/>
      <c r="Q9" s="1598"/>
      <c r="R9" s="1599"/>
      <c r="S9" s="152" t="s">
        <v>107</v>
      </c>
      <c r="T9" s="75"/>
      <c r="U9" s="75"/>
    </row>
    <row r="10" spans="1:21" s="82" customFormat="1" x14ac:dyDescent="0.3">
      <c r="B10" s="149"/>
      <c r="C10" s="150" t="s">
        <v>2</v>
      </c>
      <c r="D10" s="150"/>
      <c r="E10" s="151"/>
      <c r="F10" s="348" t="s">
        <v>150</v>
      </c>
      <c r="G10" s="333" t="s">
        <v>140</v>
      </c>
      <c r="H10" s="334" t="s">
        <v>142</v>
      </c>
      <c r="I10" s="334" t="s">
        <v>64</v>
      </c>
      <c r="J10" s="335">
        <v>2</v>
      </c>
      <c r="K10" s="336">
        <v>1600000</v>
      </c>
      <c r="L10" s="346">
        <v>2155000</v>
      </c>
      <c r="M10" s="347">
        <f t="shared" si="0"/>
        <v>3200000</v>
      </c>
      <c r="N10" s="345">
        <v>0</v>
      </c>
      <c r="O10" s="1617">
        <f>L10*J10</f>
        <v>4310000</v>
      </c>
      <c r="P10" s="1618"/>
      <c r="Q10" s="1592" t="s">
        <v>180</v>
      </c>
      <c r="R10" s="1593"/>
      <c r="S10" s="152" t="s">
        <v>107</v>
      </c>
      <c r="T10" s="73"/>
      <c r="U10" s="79"/>
    </row>
    <row r="11" spans="1:21" s="82" customFormat="1" x14ac:dyDescent="0.3">
      <c r="B11" s="149"/>
      <c r="C11" s="150"/>
      <c r="D11" s="150" t="s">
        <v>2</v>
      </c>
      <c r="E11" s="151"/>
      <c r="F11" s="349" t="s">
        <v>196</v>
      </c>
      <c r="G11" s="333" t="s">
        <v>141</v>
      </c>
      <c r="H11" s="334" t="s">
        <v>142</v>
      </c>
      <c r="I11" s="334" t="s">
        <v>64</v>
      </c>
      <c r="J11" s="335">
        <v>2</v>
      </c>
      <c r="K11" s="336">
        <f t="shared" si="2"/>
        <v>237750</v>
      </c>
      <c r="L11" s="346">
        <v>317000</v>
      </c>
      <c r="M11" s="347">
        <f t="shared" si="0"/>
        <v>475500</v>
      </c>
      <c r="N11" s="345">
        <v>0</v>
      </c>
      <c r="O11" s="1617">
        <f>L11*J11</f>
        <v>634000</v>
      </c>
      <c r="P11" s="1618"/>
      <c r="Q11" s="1598"/>
      <c r="R11" s="1599"/>
      <c r="S11" s="152" t="s">
        <v>107</v>
      </c>
      <c r="T11" s="73"/>
      <c r="U11" s="79"/>
    </row>
    <row r="12" spans="1:21" s="82" customFormat="1" x14ac:dyDescent="0.3">
      <c r="B12" s="149"/>
      <c r="C12" s="150" t="s">
        <v>2</v>
      </c>
      <c r="D12" s="150"/>
      <c r="E12" s="151"/>
      <c r="F12" s="174" t="s">
        <v>102</v>
      </c>
      <c r="G12" s="56" t="s">
        <v>100</v>
      </c>
      <c r="H12" s="177" t="s">
        <v>104</v>
      </c>
      <c r="I12" s="177" t="s">
        <v>64</v>
      </c>
      <c r="J12" s="56">
        <v>0</v>
      </c>
      <c r="K12" s="169">
        <f t="shared" si="2"/>
        <v>1980000</v>
      </c>
      <c r="L12" s="55">
        <v>2640000</v>
      </c>
      <c r="M12" s="193">
        <f t="shared" si="0"/>
        <v>0</v>
      </c>
      <c r="N12" s="159">
        <v>0</v>
      </c>
      <c r="O12" s="1365"/>
      <c r="P12" s="1366"/>
      <c r="Q12" s="1488" t="s">
        <v>106</v>
      </c>
      <c r="R12" s="1489"/>
      <c r="S12" s="152" t="s">
        <v>107</v>
      </c>
      <c r="T12" s="73"/>
      <c r="U12" s="83"/>
    </row>
    <row r="13" spans="1:21" s="82" customFormat="1" x14ac:dyDescent="0.3">
      <c r="B13" s="149"/>
      <c r="C13" s="150"/>
      <c r="D13" s="150" t="s">
        <v>2</v>
      </c>
      <c r="E13" s="151"/>
      <c r="F13" s="191" t="s">
        <v>103</v>
      </c>
      <c r="G13" s="192" t="s">
        <v>42</v>
      </c>
      <c r="H13" s="177" t="s">
        <v>104</v>
      </c>
      <c r="I13" s="177" t="s">
        <v>64</v>
      </c>
      <c r="J13" s="192">
        <v>0</v>
      </c>
      <c r="K13" s="169">
        <f t="shared" si="2"/>
        <v>777000</v>
      </c>
      <c r="L13" s="170">
        <v>1036000</v>
      </c>
      <c r="M13" s="193">
        <f t="shared" si="0"/>
        <v>0</v>
      </c>
      <c r="N13" s="159">
        <v>0</v>
      </c>
      <c r="O13" s="1365"/>
      <c r="P13" s="1366"/>
      <c r="Q13" s="1488"/>
      <c r="R13" s="1489"/>
      <c r="S13" s="152" t="s">
        <v>107</v>
      </c>
      <c r="T13" s="73"/>
      <c r="U13" s="83"/>
    </row>
    <row r="14" spans="1:21" s="82" customFormat="1" ht="17.25" thickBot="1" x14ac:dyDescent="0.35">
      <c r="B14" s="149"/>
      <c r="C14" s="150"/>
      <c r="D14" s="150" t="s">
        <v>2</v>
      </c>
      <c r="E14" s="151"/>
      <c r="F14" s="174" t="s">
        <v>96</v>
      </c>
      <c r="G14" s="56" t="s">
        <v>42</v>
      </c>
      <c r="H14" s="185" t="s">
        <v>104</v>
      </c>
      <c r="I14" s="185" t="s">
        <v>64</v>
      </c>
      <c r="J14" s="56">
        <v>0</v>
      </c>
      <c r="K14" s="55">
        <f t="shared" si="2"/>
        <v>120000</v>
      </c>
      <c r="L14" s="55">
        <v>160000</v>
      </c>
      <c r="M14" s="193">
        <f t="shared" si="0"/>
        <v>0</v>
      </c>
      <c r="N14" s="159">
        <v>0</v>
      </c>
      <c r="O14" s="1365"/>
      <c r="P14" s="1366"/>
      <c r="Q14" s="1488"/>
      <c r="R14" s="1489"/>
      <c r="S14" s="152" t="s">
        <v>107</v>
      </c>
      <c r="T14" s="73"/>
      <c r="U14" s="83"/>
    </row>
    <row r="15" spans="1:21" s="82" customFormat="1" ht="17.25" thickBot="1" x14ac:dyDescent="0.35">
      <c r="B15" s="122" t="s">
        <v>2</v>
      </c>
      <c r="C15" s="116"/>
      <c r="D15" s="116"/>
      <c r="E15" s="117"/>
      <c r="F15" s="270" t="s">
        <v>66</v>
      </c>
      <c r="G15" s="119"/>
      <c r="H15" s="119"/>
      <c r="I15" s="119"/>
      <c r="J15" s="119"/>
      <c r="K15" s="119"/>
      <c r="L15" s="120"/>
      <c r="M15" s="121"/>
      <c r="N15" s="135"/>
      <c r="O15" s="1447"/>
      <c r="P15" s="1448"/>
      <c r="Q15" s="1326"/>
      <c r="R15" s="1327"/>
      <c r="S15" s="115"/>
      <c r="T15" s="73"/>
      <c r="U15" s="79"/>
    </row>
    <row r="16" spans="1:21" s="82" customFormat="1" x14ac:dyDescent="0.3">
      <c r="B16" s="149"/>
      <c r="C16" s="150" t="s">
        <v>2</v>
      </c>
      <c r="D16" s="150"/>
      <c r="E16" s="151"/>
      <c r="F16" s="350" t="s">
        <v>223</v>
      </c>
      <c r="G16" s="351">
        <v>63804</v>
      </c>
      <c r="H16" s="352" t="s">
        <v>224</v>
      </c>
      <c r="I16" s="352" t="s">
        <v>225</v>
      </c>
      <c r="J16" s="353">
        <v>5</v>
      </c>
      <c r="K16" s="354">
        <f t="shared" ref="K16:K21" si="3">L16*0.75</f>
        <v>17460000</v>
      </c>
      <c r="L16" s="354">
        <v>23280000</v>
      </c>
      <c r="M16" s="355">
        <f t="shared" ref="M16:M22" si="4">J16*K16</f>
        <v>87300000</v>
      </c>
      <c r="N16" s="356">
        <v>0</v>
      </c>
      <c r="O16" s="1638">
        <f t="shared" ref="O16:O21" si="5">L16*J16</f>
        <v>116400000</v>
      </c>
      <c r="P16" s="1639"/>
      <c r="Q16" s="1625" t="s">
        <v>175</v>
      </c>
      <c r="R16" s="1626"/>
      <c r="S16" s="152" t="s">
        <v>148</v>
      </c>
      <c r="T16" s="73"/>
      <c r="U16" s="79"/>
    </row>
    <row r="17" spans="2:34" s="82" customFormat="1" x14ac:dyDescent="0.3">
      <c r="B17" s="149"/>
      <c r="C17" s="150" t="s">
        <v>2</v>
      </c>
      <c r="D17" s="150"/>
      <c r="E17" s="151"/>
      <c r="F17" s="357" t="s">
        <v>227</v>
      </c>
      <c r="G17" s="351" t="s">
        <v>228</v>
      </c>
      <c r="H17" s="352" t="s">
        <v>224</v>
      </c>
      <c r="I17" s="352" t="s">
        <v>225</v>
      </c>
      <c r="J17" s="353">
        <v>1</v>
      </c>
      <c r="K17" s="354">
        <f t="shared" si="3"/>
        <v>58065000</v>
      </c>
      <c r="L17" s="354">
        <v>77420000</v>
      </c>
      <c r="M17" s="355">
        <f t="shared" si="4"/>
        <v>58065000</v>
      </c>
      <c r="N17" s="356">
        <v>0</v>
      </c>
      <c r="O17" s="1627">
        <f t="shared" si="5"/>
        <v>77420000</v>
      </c>
      <c r="P17" s="1628"/>
      <c r="Q17" s="1629" t="s">
        <v>178</v>
      </c>
      <c r="R17" s="1630"/>
      <c r="S17" s="152"/>
      <c r="T17" s="73"/>
      <c r="U17" s="79"/>
    </row>
    <row r="18" spans="2:34" s="82" customFormat="1" x14ac:dyDescent="0.3">
      <c r="B18" s="149"/>
      <c r="C18" s="150" t="s">
        <v>2</v>
      </c>
      <c r="D18" s="150"/>
      <c r="E18" s="151"/>
      <c r="F18" s="358" t="s">
        <v>229</v>
      </c>
      <c r="G18" s="351" t="s">
        <v>232</v>
      </c>
      <c r="H18" s="352" t="s">
        <v>224</v>
      </c>
      <c r="I18" s="352"/>
      <c r="J18" s="353">
        <v>1</v>
      </c>
      <c r="K18" s="1631" t="s">
        <v>230</v>
      </c>
      <c r="L18" s="1632"/>
      <c r="M18" s="1632"/>
      <c r="N18" s="356">
        <v>0</v>
      </c>
      <c r="O18" s="1632"/>
      <c r="P18" s="1633"/>
      <c r="Q18" s="1601" t="s">
        <v>179</v>
      </c>
      <c r="R18" s="1602"/>
      <c r="S18" s="152"/>
      <c r="T18" s="73"/>
      <c r="U18" s="79"/>
    </row>
    <row r="19" spans="2:34" s="82" customFormat="1" x14ac:dyDescent="0.3">
      <c r="B19" s="149"/>
      <c r="C19" s="150" t="s">
        <v>73</v>
      </c>
      <c r="D19" s="150"/>
      <c r="E19" s="151"/>
      <c r="F19" s="332" t="s">
        <v>95</v>
      </c>
      <c r="G19" s="333" t="s">
        <v>169</v>
      </c>
      <c r="H19" s="334" t="s">
        <v>90</v>
      </c>
      <c r="I19" s="334" t="s">
        <v>91</v>
      </c>
      <c r="J19" s="335">
        <v>1</v>
      </c>
      <c r="K19" s="336">
        <f t="shared" si="3"/>
        <v>1124250</v>
      </c>
      <c r="L19" s="336">
        <v>1499000</v>
      </c>
      <c r="M19" s="337">
        <f t="shared" si="4"/>
        <v>1124250</v>
      </c>
      <c r="N19" s="338">
        <v>0</v>
      </c>
      <c r="O19" s="1617">
        <f t="shared" si="5"/>
        <v>1499000</v>
      </c>
      <c r="P19" s="1618"/>
      <c r="Q19" s="1634" t="s">
        <v>171</v>
      </c>
      <c r="R19" s="1635"/>
      <c r="S19" s="152" t="s">
        <v>149</v>
      </c>
      <c r="T19" s="73"/>
      <c r="U19" s="79"/>
    </row>
    <row r="20" spans="2:34" s="82" customFormat="1" x14ac:dyDescent="0.3">
      <c r="B20" s="149"/>
      <c r="C20" s="150"/>
      <c r="D20" s="150" t="s">
        <v>73</v>
      </c>
      <c r="E20" s="151"/>
      <c r="F20" s="332" t="s">
        <v>92</v>
      </c>
      <c r="G20" s="333" t="s">
        <v>93</v>
      </c>
      <c r="H20" s="334" t="s">
        <v>90</v>
      </c>
      <c r="I20" s="334" t="s">
        <v>91</v>
      </c>
      <c r="J20" s="335">
        <v>1</v>
      </c>
      <c r="K20" s="336">
        <f t="shared" si="3"/>
        <v>501000</v>
      </c>
      <c r="L20" s="336">
        <v>668000</v>
      </c>
      <c r="M20" s="337">
        <f t="shared" si="4"/>
        <v>501000</v>
      </c>
      <c r="N20" s="338">
        <v>0</v>
      </c>
      <c r="O20" s="1617">
        <f t="shared" si="5"/>
        <v>668000</v>
      </c>
      <c r="P20" s="1618"/>
      <c r="Q20" s="1611"/>
      <c r="R20" s="1612"/>
      <c r="S20" s="152" t="s">
        <v>149</v>
      </c>
      <c r="T20" s="73"/>
      <c r="U20" s="79"/>
    </row>
    <row r="21" spans="2:34" s="82" customFormat="1" x14ac:dyDescent="0.3">
      <c r="B21" s="149"/>
      <c r="C21" s="150"/>
      <c r="D21" s="150" t="s">
        <v>73</v>
      </c>
      <c r="E21" s="151"/>
      <c r="F21" s="332" t="s">
        <v>96</v>
      </c>
      <c r="G21" s="333" t="s">
        <v>94</v>
      </c>
      <c r="H21" s="334" t="s">
        <v>89</v>
      </c>
      <c r="I21" s="334" t="s">
        <v>91</v>
      </c>
      <c r="J21" s="335">
        <v>1</v>
      </c>
      <c r="K21" s="336">
        <f t="shared" si="3"/>
        <v>75000</v>
      </c>
      <c r="L21" s="336">
        <v>100000</v>
      </c>
      <c r="M21" s="337">
        <f t="shared" si="4"/>
        <v>75000</v>
      </c>
      <c r="N21" s="338">
        <v>0</v>
      </c>
      <c r="O21" s="1617">
        <f t="shared" si="5"/>
        <v>100000</v>
      </c>
      <c r="P21" s="1618"/>
      <c r="Q21" s="1636"/>
      <c r="R21" s="1637"/>
      <c r="S21" s="152"/>
      <c r="T21" s="73"/>
      <c r="U21" s="79"/>
    </row>
    <row r="22" spans="2:34" s="82" customFormat="1" ht="17.25" thickBot="1" x14ac:dyDescent="0.35">
      <c r="B22" s="149"/>
      <c r="C22" s="150" t="s">
        <v>73</v>
      </c>
      <c r="D22" s="150"/>
      <c r="E22" s="151"/>
      <c r="F22" s="332" t="s">
        <v>117</v>
      </c>
      <c r="G22" s="333" t="s">
        <v>60</v>
      </c>
      <c r="H22" s="334"/>
      <c r="I22" s="334" t="s">
        <v>116</v>
      </c>
      <c r="J22" s="335">
        <v>2</v>
      </c>
      <c r="K22" s="336">
        <v>1500000</v>
      </c>
      <c r="L22" s="336">
        <v>2000000</v>
      </c>
      <c r="M22" s="337">
        <f t="shared" si="4"/>
        <v>3000000</v>
      </c>
      <c r="N22" s="338">
        <v>0</v>
      </c>
      <c r="O22" s="1617">
        <f>L22*J22</f>
        <v>4000000</v>
      </c>
      <c r="P22" s="1618"/>
      <c r="Q22" s="1601"/>
      <c r="R22" s="1602"/>
      <c r="S22" s="152"/>
      <c r="T22" s="73"/>
      <c r="U22" s="79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2:34" s="82" customFormat="1" ht="17.25" thickBot="1" x14ac:dyDescent="0.35">
      <c r="B23" s="233" t="s">
        <v>2</v>
      </c>
      <c r="C23" s="234"/>
      <c r="D23" s="234"/>
      <c r="E23" s="235"/>
      <c r="F23" s="236" t="s">
        <v>67</v>
      </c>
      <c r="G23" s="237"/>
      <c r="H23" s="237"/>
      <c r="I23" s="237"/>
      <c r="J23" s="237"/>
      <c r="K23" s="237"/>
      <c r="L23" s="238"/>
      <c r="M23" s="239"/>
      <c r="N23" s="240"/>
      <c r="O23" s="1619"/>
      <c r="P23" s="1620"/>
      <c r="Q23" s="1621"/>
      <c r="R23" s="1622"/>
      <c r="S23" s="241"/>
      <c r="T23" s="73"/>
      <c r="U23" s="79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2:34" ht="16.899999999999999" customHeight="1" x14ac:dyDescent="0.3">
      <c r="B24" s="280"/>
      <c r="C24" s="295" t="s">
        <v>2</v>
      </c>
      <c r="D24" s="295"/>
      <c r="E24" s="282"/>
      <c r="F24" s="299" t="s">
        <v>105</v>
      </c>
      <c r="G24" s="300" t="s">
        <v>193</v>
      </c>
      <c r="H24" s="301" t="s">
        <v>40</v>
      </c>
      <c r="I24" s="301" t="s">
        <v>40</v>
      </c>
      <c r="J24" s="302">
        <v>1</v>
      </c>
      <c r="K24" s="303">
        <v>14314000</v>
      </c>
      <c r="L24" s="303">
        <f>35857000+1899000</f>
        <v>37756000</v>
      </c>
      <c r="M24" s="304">
        <f>J24*K24</f>
        <v>14314000</v>
      </c>
      <c r="N24" s="305">
        <v>0</v>
      </c>
      <c r="O24" s="1623">
        <f>L24*J24</f>
        <v>37756000</v>
      </c>
      <c r="P24" s="1624"/>
      <c r="Q24" s="1625"/>
      <c r="R24" s="1626"/>
      <c r="S24" s="287" t="s">
        <v>235</v>
      </c>
      <c r="T24" s="76"/>
      <c r="U24" s="79"/>
    </row>
    <row r="25" spans="2:34" ht="16.899999999999999" customHeight="1" x14ac:dyDescent="0.3">
      <c r="B25" s="293"/>
      <c r="C25" s="296"/>
      <c r="D25" s="291" t="s">
        <v>2</v>
      </c>
      <c r="E25" s="294"/>
      <c r="F25" s="306" t="s">
        <v>200</v>
      </c>
      <c r="G25" s="307">
        <v>701978</v>
      </c>
      <c r="H25" s="307" t="s">
        <v>40</v>
      </c>
      <c r="I25" s="307" t="s">
        <v>40</v>
      </c>
      <c r="J25" s="307">
        <v>2</v>
      </c>
      <c r="K25" s="308">
        <v>973925</v>
      </c>
      <c r="L25" s="308">
        <v>2287000</v>
      </c>
      <c r="M25" s="309">
        <f t="shared" ref="M25:M40" si="6">J25*K25</f>
        <v>1947850</v>
      </c>
      <c r="N25" s="310">
        <v>0</v>
      </c>
      <c r="O25" s="1584">
        <f t="shared" ref="O25:O40" si="7">L25*J25</f>
        <v>4574000</v>
      </c>
      <c r="P25" s="1585"/>
      <c r="Q25" s="1488"/>
      <c r="R25" s="1489"/>
      <c r="S25" s="359"/>
      <c r="T25" s="76"/>
      <c r="U25" s="79"/>
    </row>
    <row r="26" spans="2:34" ht="16.899999999999999" customHeight="1" x14ac:dyDescent="0.3">
      <c r="B26" s="293"/>
      <c r="C26" s="296"/>
      <c r="D26" s="291" t="s">
        <v>2</v>
      </c>
      <c r="E26" s="294"/>
      <c r="F26" s="306" t="s">
        <v>198</v>
      </c>
      <c r="G26" s="307">
        <v>701930</v>
      </c>
      <c r="H26" s="307" t="s">
        <v>40</v>
      </c>
      <c r="I26" s="307" t="s">
        <v>40</v>
      </c>
      <c r="J26" s="307">
        <v>2</v>
      </c>
      <c r="K26" s="308">
        <v>3199667</v>
      </c>
      <c r="L26" s="308">
        <v>6102000</v>
      </c>
      <c r="M26" s="309">
        <f t="shared" si="6"/>
        <v>6399334</v>
      </c>
      <c r="N26" s="310">
        <v>0</v>
      </c>
      <c r="O26" s="1584">
        <f t="shared" si="7"/>
        <v>12204000</v>
      </c>
      <c r="P26" s="1585"/>
      <c r="Q26" s="1488"/>
      <c r="R26" s="1489"/>
      <c r="S26" s="359"/>
      <c r="T26" s="76"/>
      <c r="U26" s="79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</row>
    <row r="27" spans="2:34" ht="16.899999999999999" customHeight="1" x14ac:dyDescent="0.3">
      <c r="B27" s="293"/>
      <c r="C27" s="296"/>
      <c r="D27" s="291" t="s">
        <v>2</v>
      </c>
      <c r="E27" s="294"/>
      <c r="F27" s="311" t="s">
        <v>199</v>
      </c>
      <c r="G27" s="312">
        <v>701931</v>
      </c>
      <c r="H27" s="312" t="s">
        <v>40</v>
      </c>
      <c r="I27" s="312" t="s">
        <v>40</v>
      </c>
      <c r="J27" s="312">
        <v>1</v>
      </c>
      <c r="K27" s="313">
        <v>3428214</v>
      </c>
      <c r="L27" s="313">
        <v>6538000</v>
      </c>
      <c r="M27" s="314">
        <f t="shared" si="6"/>
        <v>3428214</v>
      </c>
      <c r="N27" s="310">
        <v>0</v>
      </c>
      <c r="O27" s="1584">
        <f t="shared" si="7"/>
        <v>6538000</v>
      </c>
      <c r="P27" s="1585"/>
      <c r="Q27" s="1488"/>
      <c r="R27" s="1489"/>
      <c r="S27" s="359"/>
      <c r="T27" s="76"/>
      <c r="U27" s="79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</row>
    <row r="28" spans="2:34" ht="16.899999999999999" customHeight="1" x14ac:dyDescent="0.3">
      <c r="B28" s="293"/>
      <c r="C28" s="291" t="s">
        <v>2</v>
      </c>
      <c r="D28" s="291"/>
      <c r="E28" s="294"/>
      <c r="F28" s="306" t="s">
        <v>207</v>
      </c>
      <c r="G28" s="307" t="s">
        <v>220</v>
      </c>
      <c r="H28" s="307" t="s">
        <v>40</v>
      </c>
      <c r="I28" s="307" t="s">
        <v>40</v>
      </c>
      <c r="J28" s="307">
        <v>2</v>
      </c>
      <c r="K28" s="308">
        <v>3133000</v>
      </c>
      <c r="L28" s="308">
        <v>7320000</v>
      </c>
      <c r="M28" s="314">
        <f t="shared" si="6"/>
        <v>6266000</v>
      </c>
      <c r="N28" s="310">
        <v>0</v>
      </c>
      <c r="O28" s="1584">
        <f t="shared" si="7"/>
        <v>14640000</v>
      </c>
      <c r="P28" s="1585"/>
      <c r="Q28" s="1488"/>
      <c r="R28" s="1489"/>
      <c r="S28" s="359" t="s">
        <v>236</v>
      </c>
      <c r="T28" s="76"/>
      <c r="U28" s="79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</row>
    <row r="29" spans="2:34" ht="16.899999999999999" customHeight="1" x14ac:dyDescent="0.3">
      <c r="B29" s="293"/>
      <c r="D29" s="291" t="s">
        <v>2</v>
      </c>
      <c r="E29" s="294"/>
      <c r="F29" s="306" t="s">
        <v>221</v>
      </c>
      <c r="G29" s="307" t="s">
        <v>222</v>
      </c>
      <c r="H29" s="307" t="s">
        <v>40</v>
      </c>
      <c r="I29" s="307" t="s">
        <v>40</v>
      </c>
      <c r="J29" s="307">
        <v>20</v>
      </c>
      <c r="K29" s="308">
        <v>600000</v>
      </c>
      <c r="L29" s="308">
        <v>1411000</v>
      </c>
      <c r="M29" s="314">
        <f t="shared" si="6"/>
        <v>12000000</v>
      </c>
      <c r="N29" s="310">
        <v>0</v>
      </c>
      <c r="O29" s="1584">
        <f t="shared" si="7"/>
        <v>28220000</v>
      </c>
      <c r="P29" s="1585"/>
      <c r="Q29" s="1488"/>
      <c r="R29" s="1489"/>
      <c r="S29" s="359" t="s">
        <v>154</v>
      </c>
      <c r="T29" s="76"/>
      <c r="U29" s="79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</row>
    <row r="30" spans="2:34" ht="16.5" customHeight="1" x14ac:dyDescent="0.3">
      <c r="B30" s="149"/>
      <c r="C30" s="150" t="s">
        <v>2</v>
      </c>
      <c r="D30" s="155"/>
      <c r="E30" s="151"/>
      <c r="F30" s="315" t="s">
        <v>234</v>
      </c>
      <c r="G30" s="316" t="s">
        <v>233</v>
      </c>
      <c r="H30" s="316" t="s">
        <v>161</v>
      </c>
      <c r="I30" s="316" t="s">
        <v>201</v>
      </c>
      <c r="J30" s="316">
        <v>1</v>
      </c>
      <c r="K30" s="317">
        <f>L30*0.79</f>
        <v>23621000</v>
      </c>
      <c r="L30" s="317">
        <v>29900000</v>
      </c>
      <c r="M30" s="318">
        <f t="shared" si="6"/>
        <v>23621000</v>
      </c>
      <c r="N30" s="319">
        <v>0</v>
      </c>
      <c r="O30" s="1615">
        <f t="shared" si="7"/>
        <v>29900000</v>
      </c>
      <c r="P30" s="1616"/>
      <c r="Q30" s="1488"/>
      <c r="R30" s="1489"/>
      <c r="S30" s="152" t="s">
        <v>226</v>
      </c>
      <c r="T30" s="76"/>
      <c r="U30" s="79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</row>
    <row r="31" spans="2:34" ht="16.899999999999999" customHeight="1" x14ac:dyDescent="0.3">
      <c r="B31" s="149"/>
      <c r="C31" s="155"/>
      <c r="D31" s="155" t="s">
        <v>2</v>
      </c>
      <c r="E31" s="151"/>
      <c r="F31" s="320" t="s">
        <v>162</v>
      </c>
      <c r="G31" s="316" t="s">
        <v>163</v>
      </c>
      <c r="H31" s="316" t="s">
        <v>161</v>
      </c>
      <c r="I31" s="316" t="s">
        <v>201</v>
      </c>
      <c r="J31" s="316">
        <v>2</v>
      </c>
      <c r="K31" s="317">
        <f t="shared" ref="K31:K33" si="8">L31*0.79</f>
        <v>20777000</v>
      </c>
      <c r="L31" s="317">
        <v>26300000</v>
      </c>
      <c r="M31" s="318">
        <f t="shared" si="6"/>
        <v>41554000</v>
      </c>
      <c r="N31" s="319">
        <v>0</v>
      </c>
      <c r="O31" s="1615">
        <f t="shared" si="7"/>
        <v>52600000</v>
      </c>
      <c r="P31" s="1616"/>
      <c r="Q31" s="1488"/>
      <c r="R31" s="1489"/>
      <c r="S31" s="152" t="s">
        <v>226</v>
      </c>
      <c r="T31" s="76"/>
      <c r="U31" s="79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</row>
    <row r="32" spans="2:34" ht="16.899999999999999" customHeight="1" x14ac:dyDescent="0.3">
      <c r="B32" s="149"/>
      <c r="C32" s="155"/>
      <c r="D32" s="155" t="s">
        <v>2</v>
      </c>
      <c r="E32" s="151"/>
      <c r="F32" s="315" t="s">
        <v>164</v>
      </c>
      <c r="G32" s="316" t="s">
        <v>165</v>
      </c>
      <c r="H32" s="316" t="s">
        <v>161</v>
      </c>
      <c r="I32" s="316" t="s">
        <v>201</v>
      </c>
      <c r="J32" s="316">
        <v>2</v>
      </c>
      <c r="K32" s="317">
        <f t="shared" si="8"/>
        <v>1232400</v>
      </c>
      <c r="L32" s="317">
        <v>1560000</v>
      </c>
      <c r="M32" s="318">
        <f t="shared" si="6"/>
        <v>2464800</v>
      </c>
      <c r="N32" s="319">
        <v>0</v>
      </c>
      <c r="O32" s="1615">
        <f t="shared" si="7"/>
        <v>3120000</v>
      </c>
      <c r="P32" s="1616"/>
      <c r="Q32" s="1488"/>
      <c r="R32" s="1489"/>
      <c r="S32" s="152" t="s">
        <v>226</v>
      </c>
      <c r="T32" s="76"/>
      <c r="U32" s="79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</row>
    <row r="33" spans="2:34" ht="16.899999999999999" customHeight="1" x14ac:dyDescent="0.3">
      <c r="B33" s="149"/>
      <c r="C33" s="155"/>
      <c r="D33" s="155" t="s">
        <v>2</v>
      </c>
      <c r="E33" s="151"/>
      <c r="F33" s="315" t="s">
        <v>166</v>
      </c>
      <c r="G33" s="316" t="s">
        <v>167</v>
      </c>
      <c r="H33" s="316" t="s">
        <v>161</v>
      </c>
      <c r="I33" s="316" t="s">
        <v>201</v>
      </c>
      <c r="J33" s="316">
        <v>2</v>
      </c>
      <c r="K33" s="317">
        <f t="shared" si="8"/>
        <v>2844000</v>
      </c>
      <c r="L33" s="317">
        <v>3600000</v>
      </c>
      <c r="M33" s="318">
        <f t="shared" si="6"/>
        <v>5688000</v>
      </c>
      <c r="N33" s="319">
        <v>0</v>
      </c>
      <c r="O33" s="1615">
        <f t="shared" si="7"/>
        <v>7200000</v>
      </c>
      <c r="P33" s="1616"/>
      <c r="Q33" s="1488"/>
      <c r="R33" s="1489"/>
      <c r="S33" s="152" t="s">
        <v>226</v>
      </c>
      <c r="T33" s="76"/>
      <c r="U33" s="79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</row>
    <row r="34" spans="2:34" ht="16.899999999999999" customHeight="1" x14ac:dyDescent="0.3">
      <c r="B34" s="288"/>
      <c r="C34" s="155" t="s">
        <v>2</v>
      </c>
      <c r="D34" s="155"/>
      <c r="E34" s="279"/>
      <c r="F34" s="321" t="s">
        <v>208</v>
      </c>
      <c r="G34" s="322">
        <v>55100</v>
      </c>
      <c r="H34" s="322" t="s">
        <v>209</v>
      </c>
      <c r="I34" s="322" t="s">
        <v>210</v>
      </c>
      <c r="J34" s="322">
        <v>6</v>
      </c>
      <c r="K34" s="323">
        <v>5820000</v>
      </c>
      <c r="L34" s="323">
        <v>5820000</v>
      </c>
      <c r="M34" s="324">
        <f t="shared" si="6"/>
        <v>34920000</v>
      </c>
      <c r="N34" s="325">
        <v>0</v>
      </c>
      <c r="O34" s="1609">
        <f t="shared" si="7"/>
        <v>34920000</v>
      </c>
      <c r="P34" s="1610"/>
      <c r="Q34" s="1488"/>
      <c r="R34" s="1489"/>
      <c r="S34" s="289"/>
      <c r="T34" s="76"/>
      <c r="U34" s="79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</row>
    <row r="35" spans="2:34" ht="16.899999999999999" customHeight="1" x14ac:dyDescent="0.3">
      <c r="B35" s="288"/>
      <c r="C35" s="278"/>
      <c r="D35" s="155" t="s">
        <v>2</v>
      </c>
      <c r="E35" s="279"/>
      <c r="F35" s="321" t="s">
        <v>211</v>
      </c>
      <c r="G35" s="322">
        <v>55102</v>
      </c>
      <c r="H35" s="322" t="s">
        <v>209</v>
      </c>
      <c r="I35" s="322" t="s">
        <v>210</v>
      </c>
      <c r="J35" s="322">
        <v>6</v>
      </c>
      <c r="K35" s="323">
        <v>1669000</v>
      </c>
      <c r="L35" s="323">
        <v>1669000</v>
      </c>
      <c r="M35" s="324">
        <f t="shared" si="6"/>
        <v>10014000</v>
      </c>
      <c r="N35" s="325">
        <v>0</v>
      </c>
      <c r="O35" s="1609">
        <f t="shared" si="7"/>
        <v>10014000</v>
      </c>
      <c r="P35" s="1610"/>
      <c r="Q35" s="1488"/>
      <c r="R35" s="1489"/>
      <c r="S35" s="289"/>
      <c r="T35" s="76"/>
      <c r="U35" s="79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</row>
    <row r="36" spans="2:34" ht="16.899999999999999" customHeight="1" x14ac:dyDescent="0.3">
      <c r="B36" s="288"/>
      <c r="C36" s="278"/>
      <c r="D36" s="155" t="s">
        <v>2</v>
      </c>
      <c r="E36" s="279"/>
      <c r="F36" s="321" t="s">
        <v>212</v>
      </c>
      <c r="G36" s="322">
        <v>55400</v>
      </c>
      <c r="H36" s="322" t="s">
        <v>209</v>
      </c>
      <c r="I36" s="322" t="s">
        <v>210</v>
      </c>
      <c r="J36" s="322">
        <v>2</v>
      </c>
      <c r="K36" s="323">
        <v>2847000</v>
      </c>
      <c r="L36" s="323">
        <v>2847000</v>
      </c>
      <c r="M36" s="324">
        <f t="shared" si="6"/>
        <v>5694000</v>
      </c>
      <c r="N36" s="325">
        <v>0</v>
      </c>
      <c r="O36" s="1609">
        <f t="shared" si="7"/>
        <v>5694000</v>
      </c>
      <c r="P36" s="1610"/>
      <c r="Q36" s="1488"/>
      <c r="R36" s="1489"/>
      <c r="S36" s="289"/>
      <c r="T36" s="76"/>
      <c r="U36" s="79"/>
    </row>
    <row r="37" spans="2:34" ht="16.899999999999999" customHeight="1" x14ac:dyDescent="0.3">
      <c r="B37" s="288"/>
      <c r="C37" s="278"/>
      <c r="D37" s="155" t="s">
        <v>2</v>
      </c>
      <c r="E37" s="279"/>
      <c r="F37" s="326" t="s">
        <v>213</v>
      </c>
      <c r="G37" s="322">
        <v>7114</v>
      </c>
      <c r="H37" s="322" t="s">
        <v>209</v>
      </c>
      <c r="I37" s="322" t="s">
        <v>210</v>
      </c>
      <c r="J37" s="322">
        <v>6</v>
      </c>
      <c r="K37" s="323">
        <v>1392000</v>
      </c>
      <c r="L37" s="323">
        <v>1392000</v>
      </c>
      <c r="M37" s="324">
        <f t="shared" si="6"/>
        <v>8352000</v>
      </c>
      <c r="N37" s="325">
        <v>0</v>
      </c>
      <c r="O37" s="1609">
        <f t="shared" si="7"/>
        <v>8352000</v>
      </c>
      <c r="P37" s="1610"/>
      <c r="Q37" s="1488"/>
      <c r="R37" s="1489"/>
      <c r="S37" s="289"/>
      <c r="T37" s="76"/>
      <c r="U37" s="79"/>
    </row>
    <row r="38" spans="2:34" ht="16.899999999999999" customHeight="1" x14ac:dyDescent="0.3">
      <c r="B38" s="288"/>
      <c r="C38" s="278"/>
      <c r="D38" s="155" t="s">
        <v>2</v>
      </c>
      <c r="E38" s="279"/>
      <c r="F38" s="326" t="s">
        <v>214</v>
      </c>
      <c r="G38" s="322">
        <v>22093</v>
      </c>
      <c r="H38" s="322" t="s">
        <v>209</v>
      </c>
      <c r="I38" s="322" t="s">
        <v>210</v>
      </c>
      <c r="J38" s="322">
        <v>12</v>
      </c>
      <c r="K38" s="323">
        <v>300000</v>
      </c>
      <c r="L38" s="323">
        <v>300000</v>
      </c>
      <c r="M38" s="324">
        <f t="shared" si="6"/>
        <v>3600000</v>
      </c>
      <c r="N38" s="325">
        <v>0</v>
      </c>
      <c r="O38" s="1609">
        <f t="shared" si="7"/>
        <v>3600000</v>
      </c>
      <c r="P38" s="1610"/>
      <c r="Q38" s="1488"/>
      <c r="R38" s="1489"/>
      <c r="S38" s="289"/>
      <c r="T38" s="76"/>
      <c r="U38" s="79"/>
    </row>
    <row r="39" spans="2:34" ht="16.899999999999999" customHeight="1" x14ac:dyDescent="0.3">
      <c r="B39" s="288"/>
      <c r="C39" s="278"/>
      <c r="D39" s="155" t="s">
        <v>2</v>
      </c>
      <c r="E39" s="279"/>
      <c r="F39" s="326" t="s">
        <v>215</v>
      </c>
      <c r="G39" s="322">
        <v>22070</v>
      </c>
      <c r="H39" s="322" t="s">
        <v>209</v>
      </c>
      <c r="I39" s="322" t="s">
        <v>210</v>
      </c>
      <c r="J39" s="322">
        <v>12</v>
      </c>
      <c r="K39" s="323">
        <v>242000</v>
      </c>
      <c r="L39" s="323">
        <v>242000</v>
      </c>
      <c r="M39" s="324">
        <f t="shared" si="6"/>
        <v>2904000</v>
      </c>
      <c r="N39" s="325">
        <v>0</v>
      </c>
      <c r="O39" s="1609">
        <f t="shared" si="7"/>
        <v>2904000</v>
      </c>
      <c r="P39" s="1610"/>
      <c r="Q39" s="1488"/>
      <c r="R39" s="1489"/>
      <c r="S39" s="289"/>
      <c r="T39" s="76"/>
      <c r="U39" s="79"/>
    </row>
    <row r="40" spans="2:34" ht="16.899999999999999" customHeight="1" x14ac:dyDescent="0.3">
      <c r="B40" s="288"/>
      <c r="C40" s="278"/>
      <c r="D40" s="155" t="s">
        <v>2</v>
      </c>
      <c r="E40" s="279"/>
      <c r="F40" s="326" t="s">
        <v>216</v>
      </c>
      <c r="G40" s="327" t="s">
        <v>217</v>
      </c>
      <c r="H40" s="322" t="s">
        <v>209</v>
      </c>
      <c r="I40" s="322" t="s">
        <v>210</v>
      </c>
      <c r="J40" s="322">
        <v>3</v>
      </c>
      <c r="K40" s="323">
        <v>130000</v>
      </c>
      <c r="L40" s="323">
        <v>130000</v>
      </c>
      <c r="M40" s="324">
        <f t="shared" si="6"/>
        <v>390000</v>
      </c>
      <c r="N40" s="325">
        <v>0</v>
      </c>
      <c r="O40" s="1609">
        <f t="shared" si="7"/>
        <v>390000</v>
      </c>
      <c r="P40" s="1610"/>
      <c r="Q40" s="1611"/>
      <c r="R40" s="1612"/>
      <c r="S40" s="289"/>
      <c r="T40" s="76"/>
      <c r="U40" s="79"/>
    </row>
    <row r="41" spans="2:34" ht="16.899999999999999" customHeight="1" x14ac:dyDescent="0.3">
      <c r="B41" s="149"/>
      <c r="C41" s="155"/>
      <c r="D41" s="155" t="s">
        <v>2</v>
      </c>
      <c r="E41" s="151"/>
      <c r="F41" s="328" t="s">
        <v>218</v>
      </c>
      <c r="G41" s="329" t="s">
        <v>219</v>
      </c>
      <c r="H41" s="329" t="s">
        <v>209</v>
      </c>
      <c r="I41" s="329" t="s">
        <v>210</v>
      </c>
      <c r="J41" s="329">
        <v>6</v>
      </c>
      <c r="K41" s="330"/>
      <c r="L41" s="331" t="s">
        <v>42</v>
      </c>
      <c r="M41" s="324"/>
      <c r="N41" s="325"/>
      <c r="O41" s="1609"/>
      <c r="P41" s="1610"/>
      <c r="Q41" s="297"/>
      <c r="R41" s="298"/>
      <c r="S41" s="152"/>
      <c r="T41" s="76"/>
      <c r="U41" s="79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</row>
    <row r="42" spans="2:34" s="82" customFormat="1" ht="17.25" thickBot="1" x14ac:dyDescent="0.35">
      <c r="B42" s="242" t="s">
        <v>2</v>
      </c>
      <c r="C42" s="243"/>
      <c r="D42" s="243"/>
      <c r="E42" s="244"/>
      <c r="F42" s="218" t="s">
        <v>68</v>
      </c>
      <c r="G42" s="219"/>
      <c r="H42" s="219"/>
      <c r="I42" s="219"/>
      <c r="J42" s="219"/>
      <c r="K42" s="219"/>
      <c r="L42" s="220"/>
      <c r="M42" s="221"/>
      <c r="N42" s="245"/>
      <c r="O42" s="1603"/>
      <c r="P42" s="1604"/>
      <c r="Q42" s="1605"/>
      <c r="R42" s="1606"/>
      <c r="S42" s="246"/>
      <c r="T42" s="73"/>
      <c r="U42" s="79"/>
    </row>
    <row r="43" spans="2:34" s="82" customFormat="1" x14ac:dyDescent="0.3">
      <c r="B43" s="280"/>
      <c r="C43" s="281" t="s">
        <v>2</v>
      </c>
      <c r="D43" s="281"/>
      <c r="E43" s="282"/>
      <c r="F43" s="283" t="s">
        <v>69</v>
      </c>
      <c r="G43" s="284" t="s">
        <v>153</v>
      </c>
      <c r="H43" s="285" t="s">
        <v>71</v>
      </c>
      <c r="I43" s="285" t="s">
        <v>72</v>
      </c>
      <c r="J43" s="286">
        <v>1</v>
      </c>
      <c r="K43" s="81">
        <v>42000000</v>
      </c>
      <c r="L43" s="81">
        <v>42000000</v>
      </c>
      <c r="M43" s="195">
        <f t="shared" ref="M43:M44" si="9">J43*K43</f>
        <v>42000000</v>
      </c>
      <c r="N43" s="148">
        <v>0.13</v>
      </c>
      <c r="O43" s="1574">
        <f>ROUND((L43*J43)/(1-N43),-3)</f>
        <v>48276000</v>
      </c>
      <c r="P43" s="1575"/>
      <c r="Q43" s="1613" t="s">
        <v>231</v>
      </c>
      <c r="R43" s="1614"/>
      <c r="S43" s="287" t="s">
        <v>226</v>
      </c>
      <c r="T43" s="73"/>
      <c r="U43" s="79"/>
    </row>
    <row r="44" spans="2:34" s="82" customFormat="1" x14ac:dyDescent="0.3">
      <c r="B44" s="149"/>
      <c r="C44" s="155" t="s">
        <v>2</v>
      </c>
      <c r="D44" s="155"/>
      <c r="E44" s="151"/>
      <c r="F44" s="167" t="s">
        <v>204</v>
      </c>
      <c r="G44" s="155" t="s">
        <v>70</v>
      </c>
      <c r="H44" s="155" t="s">
        <v>202</v>
      </c>
      <c r="I44" s="155" t="s">
        <v>203</v>
      </c>
      <c r="J44" s="155">
        <v>1</v>
      </c>
      <c r="K44" s="169">
        <v>11600000</v>
      </c>
      <c r="L44" s="169">
        <v>11600000</v>
      </c>
      <c r="M44" s="194">
        <f t="shared" si="9"/>
        <v>11600000</v>
      </c>
      <c r="N44" s="158">
        <v>0.25</v>
      </c>
      <c r="O44" s="1365">
        <f>ROUND((L44*J44)/(1-N44),-3)</f>
        <v>15467000</v>
      </c>
      <c r="P44" s="1366"/>
      <c r="Q44" s="1601"/>
      <c r="R44" s="1602"/>
      <c r="S44" s="359" t="s">
        <v>122</v>
      </c>
      <c r="T44" s="73"/>
      <c r="U44" s="79"/>
    </row>
    <row r="45" spans="2:34" s="82" customFormat="1" ht="17.25" thickBot="1" x14ac:dyDescent="0.35">
      <c r="B45" s="242" t="s">
        <v>2</v>
      </c>
      <c r="C45" s="243"/>
      <c r="D45" s="243"/>
      <c r="E45" s="244"/>
      <c r="F45" s="218" t="s">
        <v>77</v>
      </c>
      <c r="G45" s="219"/>
      <c r="H45" s="219"/>
      <c r="I45" s="219"/>
      <c r="J45" s="219"/>
      <c r="K45" s="271"/>
      <c r="L45" s="220"/>
      <c r="M45" s="221"/>
      <c r="N45" s="245"/>
      <c r="O45" s="1603"/>
      <c r="P45" s="1604"/>
      <c r="Q45" s="1605"/>
      <c r="R45" s="1606"/>
      <c r="S45" s="246"/>
      <c r="T45" s="73"/>
      <c r="U45" s="79"/>
    </row>
    <row r="46" spans="2:34" s="82" customFormat="1" x14ac:dyDescent="0.3">
      <c r="B46" s="181"/>
      <c r="C46" s="182" t="s">
        <v>2</v>
      </c>
      <c r="D46" s="182"/>
      <c r="E46" s="183"/>
      <c r="F46" s="175" t="s">
        <v>78</v>
      </c>
      <c r="G46" s="176" t="s">
        <v>79</v>
      </c>
      <c r="H46" s="177" t="s">
        <v>80</v>
      </c>
      <c r="I46" s="177" t="s">
        <v>240</v>
      </c>
      <c r="J46" s="178">
        <v>1</v>
      </c>
      <c r="K46" s="169">
        <f>L46*0.95</f>
        <v>3524500</v>
      </c>
      <c r="L46" s="169">
        <v>3710000</v>
      </c>
      <c r="M46" s="195">
        <f>J46*K46</f>
        <v>3524500</v>
      </c>
      <c r="N46" s="188">
        <v>0</v>
      </c>
      <c r="O46" s="1365">
        <f t="shared" ref="O46:O53" si="10">L46*J46</f>
        <v>3710000</v>
      </c>
      <c r="P46" s="1366"/>
      <c r="Q46" s="1607"/>
      <c r="R46" s="1608"/>
      <c r="S46" s="1600" t="s">
        <v>152</v>
      </c>
      <c r="T46" s="73"/>
      <c r="U46" s="79"/>
    </row>
    <row r="47" spans="2:34" s="82" customFormat="1" ht="16.5" hidden="1" customHeight="1" x14ac:dyDescent="0.3">
      <c r="B47" s="181"/>
      <c r="C47" s="182" t="s">
        <v>2</v>
      </c>
      <c r="D47" s="182"/>
      <c r="E47" s="183"/>
      <c r="F47" s="175" t="s">
        <v>81</v>
      </c>
      <c r="G47" s="176" t="s">
        <v>82</v>
      </c>
      <c r="H47" s="177" t="s">
        <v>80</v>
      </c>
      <c r="I47" s="177" t="s">
        <v>240</v>
      </c>
      <c r="J47" s="178">
        <v>0</v>
      </c>
      <c r="K47" s="169">
        <f t="shared" ref="K47:K53" si="11">L47*0.95</f>
        <v>541500</v>
      </c>
      <c r="L47" s="169">
        <v>570000</v>
      </c>
      <c r="M47" s="194">
        <f t="shared" ref="M47:M55" si="12">J47*K47</f>
        <v>0</v>
      </c>
      <c r="N47" s="189">
        <v>0</v>
      </c>
      <c r="O47" s="1365">
        <f t="shared" si="10"/>
        <v>0</v>
      </c>
      <c r="P47" s="1366"/>
      <c r="Q47" s="265"/>
      <c r="R47" s="266"/>
      <c r="S47" s="1470"/>
      <c r="T47" s="73"/>
      <c r="U47" s="79"/>
    </row>
    <row r="48" spans="2:34" s="82" customFormat="1" x14ac:dyDescent="0.3">
      <c r="B48" s="181"/>
      <c r="C48" s="182" t="s">
        <v>2</v>
      </c>
      <c r="D48" s="182"/>
      <c r="E48" s="183"/>
      <c r="F48" s="187" t="s">
        <v>147</v>
      </c>
      <c r="G48" s="184" t="s">
        <v>127</v>
      </c>
      <c r="H48" s="185" t="s">
        <v>80</v>
      </c>
      <c r="I48" s="177" t="s">
        <v>240</v>
      </c>
      <c r="J48" s="186">
        <v>1</v>
      </c>
      <c r="K48" s="55">
        <f t="shared" si="11"/>
        <v>921500</v>
      </c>
      <c r="L48" s="55">
        <v>970000</v>
      </c>
      <c r="M48" s="164">
        <f t="shared" si="12"/>
        <v>921500</v>
      </c>
      <c r="N48" s="189">
        <v>0</v>
      </c>
      <c r="O48" s="1365">
        <f t="shared" si="10"/>
        <v>970000</v>
      </c>
      <c r="P48" s="1366"/>
      <c r="Q48" s="1488"/>
      <c r="R48" s="1489"/>
      <c r="S48" s="1470"/>
      <c r="T48" s="73"/>
      <c r="U48" s="79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 spans="2:34" s="82" customFormat="1" x14ac:dyDescent="0.3">
      <c r="B49" s="181"/>
      <c r="C49" s="182" t="s">
        <v>2</v>
      </c>
      <c r="D49" s="182"/>
      <c r="E49" s="183"/>
      <c r="F49" s="187" t="s">
        <v>88</v>
      </c>
      <c r="G49" s="184" t="s">
        <v>83</v>
      </c>
      <c r="H49" s="185" t="s">
        <v>80</v>
      </c>
      <c r="I49" s="177" t="s">
        <v>240</v>
      </c>
      <c r="J49" s="186">
        <v>2</v>
      </c>
      <c r="K49" s="55">
        <f t="shared" si="11"/>
        <v>769500</v>
      </c>
      <c r="L49" s="55">
        <v>810000</v>
      </c>
      <c r="M49" s="164">
        <f t="shared" si="12"/>
        <v>1539000</v>
      </c>
      <c r="N49" s="189">
        <v>0</v>
      </c>
      <c r="O49" s="1365">
        <f t="shared" si="10"/>
        <v>1620000</v>
      </c>
      <c r="P49" s="1366"/>
      <c r="Q49" s="1488"/>
      <c r="R49" s="1489"/>
      <c r="S49" s="1470"/>
      <c r="T49" s="73"/>
      <c r="U49" s="7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 spans="2:34" s="82" customFormat="1" x14ac:dyDescent="0.3">
      <c r="B50" s="181"/>
      <c r="C50" s="182" t="s">
        <v>2</v>
      </c>
      <c r="D50" s="182"/>
      <c r="E50" s="183"/>
      <c r="F50" s="187" t="s">
        <v>84</v>
      </c>
      <c r="G50" s="184" t="s">
        <v>98</v>
      </c>
      <c r="H50" s="185" t="s">
        <v>80</v>
      </c>
      <c r="I50" s="177" t="s">
        <v>240</v>
      </c>
      <c r="J50" s="186">
        <v>1</v>
      </c>
      <c r="K50" s="55">
        <f t="shared" si="11"/>
        <v>1073500</v>
      </c>
      <c r="L50" s="55">
        <v>1130000</v>
      </c>
      <c r="M50" s="164">
        <f t="shared" si="12"/>
        <v>1073500</v>
      </c>
      <c r="N50" s="189">
        <v>0</v>
      </c>
      <c r="O50" s="1365">
        <f t="shared" si="10"/>
        <v>1130000</v>
      </c>
      <c r="P50" s="1366"/>
      <c r="Q50" s="1592" t="s">
        <v>173</v>
      </c>
      <c r="R50" s="1593"/>
      <c r="S50" s="1470"/>
      <c r="T50" s="73"/>
      <c r="U50" s="79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 spans="2:34" s="82" customFormat="1" x14ac:dyDescent="0.3">
      <c r="B51" s="181"/>
      <c r="C51" s="182" t="s">
        <v>2</v>
      </c>
      <c r="D51" s="182"/>
      <c r="E51" s="183"/>
      <c r="F51" s="187" t="s">
        <v>85</v>
      </c>
      <c r="G51" s="184" t="s">
        <v>99</v>
      </c>
      <c r="H51" s="185" t="s">
        <v>80</v>
      </c>
      <c r="I51" s="177" t="s">
        <v>240</v>
      </c>
      <c r="J51" s="186">
        <v>1</v>
      </c>
      <c r="K51" s="55">
        <f t="shared" si="11"/>
        <v>1757500</v>
      </c>
      <c r="L51" s="55">
        <v>1850000</v>
      </c>
      <c r="M51" s="164">
        <f t="shared" si="12"/>
        <v>1757500</v>
      </c>
      <c r="N51" s="190">
        <v>0</v>
      </c>
      <c r="O51" s="1365">
        <f t="shared" si="10"/>
        <v>1850000</v>
      </c>
      <c r="P51" s="1366"/>
      <c r="Q51" s="1598"/>
      <c r="R51" s="1599"/>
      <c r="S51" s="1470"/>
      <c r="T51" s="73"/>
      <c r="U51" s="79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 spans="2:34" s="84" customFormat="1" x14ac:dyDescent="0.3">
      <c r="B52" s="149"/>
      <c r="C52" s="155" t="s">
        <v>2</v>
      </c>
      <c r="D52" s="155"/>
      <c r="E52" s="151"/>
      <c r="F52" s="156" t="s">
        <v>87</v>
      </c>
      <c r="G52" s="155" t="s">
        <v>97</v>
      </c>
      <c r="H52" s="185" t="s">
        <v>80</v>
      </c>
      <c r="I52" s="177" t="s">
        <v>240</v>
      </c>
      <c r="J52" s="186">
        <v>4</v>
      </c>
      <c r="K52" s="157">
        <f t="shared" si="11"/>
        <v>1349000</v>
      </c>
      <c r="L52" s="157">
        <v>1420000</v>
      </c>
      <c r="M52" s="164">
        <f t="shared" si="12"/>
        <v>5396000</v>
      </c>
      <c r="N52" s="158">
        <v>0</v>
      </c>
      <c r="O52" s="1365">
        <f t="shared" si="10"/>
        <v>5680000</v>
      </c>
      <c r="P52" s="1366"/>
      <c r="Q52" s="1488" t="s">
        <v>239</v>
      </c>
      <c r="R52" s="1489"/>
      <c r="S52" s="1470"/>
      <c r="T52" s="78"/>
      <c r="U52" s="83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 spans="2:34" s="84" customFormat="1" x14ac:dyDescent="0.3">
      <c r="B53" s="149"/>
      <c r="C53" s="150" t="s">
        <v>2</v>
      </c>
      <c r="D53" s="155"/>
      <c r="E53" s="151"/>
      <c r="F53" s="156" t="s">
        <v>146</v>
      </c>
      <c r="G53" s="155" t="s">
        <v>145</v>
      </c>
      <c r="H53" s="184" t="s">
        <v>112</v>
      </c>
      <c r="I53" s="177" t="s">
        <v>240</v>
      </c>
      <c r="J53" s="186">
        <v>1</v>
      </c>
      <c r="K53" s="157">
        <f t="shared" si="11"/>
        <v>1254000</v>
      </c>
      <c r="L53" s="157">
        <v>1320000</v>
      </c>
      <c r="M53" s="164">
        <f t="shared" si="12"/>
        <v>1254000</v>
      </c>
      <c r="N53" s="158">
        <v>0</v>
      </c>
      <c r="O53" s="1365">
        <f t="shared" si="10"/>
        <v>1320000</v>
      </c>
      <c r="P53" s="1366"/>
      <c r="Q53" s="1488"/>
      <c r="R53" s="1489"/>
      <c r="S53" s="1471"/>
      <c r="T53" s="78"/>
      <c r="U53" s="8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 spans="2:34" s="84" customFormat="1" x14ac:dyDescent="0.3">
      <c r="B54" s="149"/>
      <c r="C54" s="150" t="s">
        <v>2</v>
      </c>
      <c r="D54" s="155"/>
      <c r="E54" s="151"/>
      <c r="F54" s="156" t="s">
        <v>123</v>
      </c>
      <c r="G54" s="155" t="s">
        <v>124</v>
      </c>
      <c r="H54" s="184" t="s">
        <v>119</v>
      </c>
      <c r="I54" s="184" t="s">
        <v>125</v>
      </c>
      <c r="J54" s="186">
        <v>1</v>
      </c>
      <c r="K54" s="157">
        <v>6091900</v>
      </c>
      <c r="L54" s="157">
        <f>ROUND(K54/0.95,-3)</f>
        <v>6413000</v>
      </c>
      <c r="M54" s="164">
        <f t="shared" si="12"/>
        <v>6091900</v>
      </c>
      <c r="N54" s="158">
        <v>0</v>
      </c>
      <c r="O54" s="1365">
        <f>L54*J54</f>
        <v>6413000</v>
      </c>
      <c r="P54" s="1366"/>
      <c r="Q54" s="1592" t="s">
        <v>172</v>
      </c>
      <c r="R54" s="1593"/>
      <c r="S54" s="152" t="s">
        <v>154</v>
      </c>
      <c r="T54" s="78"/>
      <c r="U54" s="83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 spans="2:34" s="84" customFormat="1" ht="17.25" thickBot="1" x14ac:dyDescent="0.35">
      <c r="B55" s="149"/>
      <c r="C55" s="150"/>
      <c r="D55" s="150" t="s">
        <v>2</v>
      </c>
      <c r="E55" s="151"/>
      <c r="F55" s="156" t="s">
        <v>120</v>
      </c>
      <c r="G55" s="155" t="s">
        <v>121</v>
      </c>
      <c r="H55" s="184" t="s">
        <v>119</v>
      </c>
      <c r="I55" s="184" t="s">
        <v>125</v>
      </c>
      <c r="J55" s="186">
        <v>1</v>
      </c>
      <c r="K55" s="157">
        <v>416900</v>
      </c>
      <c r="L55" s="157">
        <f>ROUND(K55/0.95,-3)</f>
        <v>439000</v>
      </c>
      <c r="M55" s="164">
        <f t="shared" si="12"/>
        <v>416900</v>
      </c>
      <c r="N55" s="158">
        <v>0</v>
      </c>
      <c r="O55" s="1365">
        <f>ROUND(L55*J55,-3)</f>
        <v>439000</v>
      </c>
      <c r="P55" s="1366"/>
      <c r="Q55" s="1598"/>
      <c r="R55" s="1599"/>
      <c r="S55" s="152" t="s">
        <v>126</v>
      </c>
      <c r="T55" s="78"/>
      <c r="U55" s="83"/>
      <c r="V55"/>
      <c r="W55"/>
      <c r="X55"/>
      <c r="Y55"/>
      <c r="Z55"/>
      <c r="AA55"/>
      <c r="AB55"/>
      <c r="AC55"/>
      <c r="AD55"/>
      <c r="AE55"/>
      <c r="AF55"/>
      <c r="AG55"/>
      <c r="AH55"/>
    </row>
    <row r="56" spans="2:34" s="82" customFormat="1" ht="17.25" thickBot="1" x14ac:dyDescent="0.35">
      <c r="B56" s="122" t="s">
        <v>2</v>
      </c>
      <c r="C56" s="116"/>
      <c r="D56" s="116"/>
      <c r="E56" s="117"/>
      <c r="F56" s="118" t="s">
        <v>74</v>
      </c>
      <c r="G56" s="119"/>
      <c r="H56" s="119"/>
      <c r="I56" s="119"/>
      <c r="J56" s="119"/>
      <c r="K56" s="272"/>
      <c r="L56" s="120"/>
      <c r="M56" s="121"/>
      <c r="N56" s="135"/>
      <c r="O56" s="1447"/>
      <c r="P56" s="1448"/>
      <c r="Q56" s="1326"/>
      <c r="R56" s="1327"/>
      <c r="S56" s="115"/>
      <c r="T56" s="73"/>
      <c r="U56" s="79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 spans="2:34" s="82" customFormat="1" x14ac:dyDescent="0.3">
      <c r="B57" s="142"/>
      <c r="C57" s="143" t="s">
        <v>2</v>
      </c>
      <c r="D57" s="144"/>
      <c r="E57" s="145"/>
      <c r="F57" s="146" t="s">
        <v>58</v>
      </c>
      <c r="G57" s="144" t="s">
        <v>157</v>
      </c>
      <c r="H57" s="144" t="s">
        <v>57</v>
      </c>
      <c r="I57" s="144" t="s">
        <v>86</v>
      </c>
      <c r="J57" s="144">
        <v>1</v>
      </c>
      <c r="K57" s="147">
        <v>17200000</v>
      </c>
      <c r="L57" s="147">
        <v>17200000</v>
      </c>
      <c r="M57" s="163">
        <f>J57*K57</f>
        <v>17200000</v>
      </c>
      <c r="N57" s="148">
        <v>0.2</v>
      </c>
      <c r="O57" s="1365">
        <f>(L57*J57)/(1-N57)</f>
        <v>21500000</v>
      </c>
      <c r="P57" s="1366"/>
      <c r="Q57" s="267"/>
      <c r="R57" s="268"/>
      <c r="S57" s="359"/>
      <c r="T57" s="73"/>
      <c r="U57" s="79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 spans="2:34" s="82" customFormat="1" x14ac:dyDescent="0.3">
      <c r="B58" s="153"/>
      <c r="C58" s="196"/>
      <c r="D58" s="197" t="s">
        <v>2</v>
      </c>
      <c r="E58" s="154"/>
      <c r="F58" s="198" t="s">
        <v>128</v>
      </c>
      <c r="G58" s="197" t="s">
        <v>42</v>
      </c>
      <c r="H58" s="197" t="s">
        <v>42</v>
      </c>
      <c r="I58" s="155" t="s">
        <v>86</v>
      </c>
      <c r="J58" s="197">
        <v>1</v>
      </c>
      <c r="K58" s="199">
        <v>0</v>
      </c>
      <c r="L58" s="199">
        <v>0</v>
      </c>
      <c r="M58" s="164">
        <f t="shared" ref="M58:M67" si="13">J58*K58</f>
        <v>0</v>
      </c>
      <c r="N58" s="159">
        <v>0</v>
      </c>
      <c r="O58" s="179"/>
      <c r="P58" s="180"/>
      <c r="Q58" s="265"/>
      <c r="R58" s="266"/>
      <c r="S58" s="359"/>
      <c r="T58" s="73"/>
      <c r="U58" s="79"/>
      <c r="V58"/>
      <c r="W58"/>
      <c r="X58"/>
      <c r="Y58"/>
      <c r="Z58"/>
      <c r="AA58"/>
      <c r="AB58"/>
      <c r="AC58"/>
      <c r="AD58"/>
      <c r="AE58"/>
      <c r="AF58"/>
      <c r="AG58"/>
      <c r="AH58"/>
    </row>
    <row r="59" spans="2:34" s="82" customFormat="1" x14ac:dyDescent="0.3">
      <c r="B59" s="149"/>
      <c r="C59" s="150"/>
      <c r="D59" s="155" t="s">
        <v>2</v>
      </c>
      <c r="E59" s="151"/>
      <c r="F59" s="167" t="s">
        <v>118</v>
      </c>
      <c r="G59" s="155" t="s">
        <v>42</v>
      </c>
      <c r="H59" s="197" t="s">
        <v>42</v>
      </c>
      <c r="I59" s="205" t="s">
        <v>86</v>
      </c>
      <c r="J59" s="197">
        <v>8</v>
      </c>
      <c r="K59" s="199">
        <v>0</v>
      </c>
      <c r="L59" s="199">
        <v>0</v>
      </c>
      <c r="M59" s="164">
        <f>J59*K59</f>
        <v>0</v>
      </c>
      <c r="N59" s="158">
        <v>0</v>
      </c>
      <c r="O59" s="360"/>
      <c r="P59" s="361"/>
      <c r="Q59" s="265"/>
      <c r="R59" s="266"/>
      <c r="S59" s="359"/>
      <c r="T59" s="73"/>
      <c r="U59" s="7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 spans="2:34" s="82" customFormat="1" x14ac:dyDescent="0.3">
      <c r="B60" s="149"/>
      <c r="C60" s="150"/>
      <c r="D60" s="155" t="s">
        <v>2</v>
      </c>
      <c r="E60" s="151"/>
      <c r="F60" s="156" t="s">
        <v>158</v>
      </c>
      <c r="G60" s="155" t="s">
        <v>60</v>
      </c>
      <c r="H60" s="155" t="s">
        <v>40</v>
      </c>
      <c r="I60" s="155" t="s">
        <v>86</v>
      </c>
      <c r="J60" s="155">
        <v>1</v>
      </c>
      <c r="K60" s="157">
        <v>0</v>
      </c>
      <c r="L60" s="157">
        <v>0</v>
      </c>
      <c r="M60" s="164">
        <f t="shared" si="13"/>
        <v>0</v>
      </c>
      <c r="N60" s="158">
        <v>0</v>
      </c>
      <c r="O60" s="1365"/>
      <c r="P60" s="1366"/>
      <c r="Q60" s="265"/>
      <c r="R60" s="266"/>
      <c r="S60" s="359"/>
      <c r="T60" s="73"/>
      <c r="U60" s="79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 spans="2:34" s="82" customFormat="1" x14ac:dyDescent="0.3">
      <c r="B61" s="149"/>
      <c r="C61" s="150"/>
      <c r="D61" s="155" t="s">
        <v>2</v>
      </c>
      <c r="E61" s="151"/>
      <c r="F61" s="156" t="s">
        <v>185</v>
      </c>
      <c r="G61" s="155" t="s">
        <v>184</v>
      </c>
      <c r="H61" s="155" t="s">
        <v>183</v>
      </c>
      <c r="I61" s="155" t="s">
        <v>86</v>
      </c>
      <c r="J61" s="155">
        <v>1</v>
      </c>
      <c r="K61" s="157">
        <v>400000</v>
      </c>
      <c r="L61" s="157">
        <v>500000</v>
      </c>
      <c r="M61" s="164">
        <f t="shared" si="13"/>
        <v>400000</v>
      </c>
      <c r="N61" s="158">
        <v>0</v>
      </c>
      <c r="O61" s="1365">
        <f>L61</f>
        <v>500000</v>
      </c>
      <c r="P61" s="1366"/>
      <c r="Q61" s="1488" t="s">
        <v>192</v>
      </c>
      <c r="R61" s="1489"/>
      <c r="S61" s="152"/>
      <c r="T61" s="273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 spans="2:34" s="82" customFormat="1" x14ac:dyDescent="0.3">
      <c r="B62" s="149"/>
      <c r="C62" s="150" t="s">
        <v>2</v>
      </c>
      <c r="D62" s="155"/>
      <c r="E62" s="151"/>
      <c r="F62" s="167" t="s">
        <v>144</v>
      </c>
      <c r="G62" s="155" t="s">
        <v>60</v>
      </c>
      <c r="H62" s="155" t="s">
        <v>40</v>
      </c>
      <c r="I62" s="205" t="s">
        <v>143</v>
      </c>
      <c r="J62" s="197">
        <v>0</v>
      </c>
      <c r="K62" s="199">
        <v>1500000</v>
      </c>
      <c r="L62" s="157">
        <v>1650000</v>
      </c>
      <c r="M62" s="164">
        <f t="shared" si="13"/>
        <v>0</v>
      </c>
      <c r="N62" s="158">
        <v>0</v>
      </c>
      <c r="O62" s="360"/>
      <c r="P62" s="361"/>
      <c r="Q62" s="1488" t="s">
        <v>186</v>
      </c>
      <c r="R62" s="1489"/>
      <c r="S62" s="359"/>
      <c r="T62" s="73"/>
      <c r="U62" s="79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 spans="2:34" s="82" customFormat="1" x14ac:dyDescent="0.3">
      <c r="B63" s="149"/>
      <c r="C63" s="150" t="s">
        <v>2</v>
      </c>
      <c r="D63" s="155"/>
      <c r="E63" s="151"/>
      <c r="F63" s="167" t="s">
        <v>206</v>
      </c>
      <c r="G63" s="155" t="s">
        <v>205</v>
      </c>
      <c r="H63" s="176" t="s">
        <v>108</v>
      </c>
      <c r="I63" s="200" t="s">
        <v>109</v>
      </c>
      <c r="J63" s="201">
        <v>1</v>
      </c>
      <c r="K63" s="169">
        <v>270000</v>
      </c>
      <c r="L63" s="157">
        <v>280000</v>
      </c>
      <c r="M63" s="164">
        <f t="shared" si="13"/>
        <v>270000</v>
      </c>
      <c r="N63" s="158">
        <v>0</v>
      </c>
      <c r="O63" s="1365">
        <f>L63</f>
        <v>280000</v>
      </c>
      <c r="P63" s="1366"/>
      <c r="Q63" s="1488" t="s">
        <v>174</v>
      </c>
      <c r="R63" s="1489"/>
      <c r="S63" s="152" t="s">
        <v>151</v>
      </c>
      <c r="T63" s="73"/>
      <c r="U63" s="79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 spans="2:34" s="84" customFormat="1" x14ac:dyDescent="0.3">
      <c r="B64" s="149"/>
      <c r="C64" s="150" t="s">
        <v>2</v>
      </c>
      <c r="D64" s="155"/>
      <c r="E64" s="151"/>
      <c r="F64" s="203" t="s">
        <v>155</v>
      </c>
      <c r="G64" s="176" t="s">
        <v>110</v>
      </c>
      <c r="H64" s="176" t="s">
        <v>111</v>
      </c>
      <c r="I64" s="200" t="s">
        <v>111</v>
      </c>
      <c r="J64" s="201">
        <v>1</v>
      </c>
      <c r="K64" s="169">
        <v>2080000</v>
      </c>
      <c r="L64" s="202">
        <v>2500000</v>
      </c>
      <c r="M64" s="164">
        <f t="shared" si="13"/>
        <v>2080000</v>
      </c>
      <c r="N64" s="158">
        <v>0</v>
      </c>
      <c r="O64" s="1365">
        <f>L64</f>
        <v>2500000</v>
      </c>
      <c r="P64" s="1366"/>
      <c r="Q64" s="1488" t="s">
        <v>174</v>
      </c>
      <c r="R64" s="1489"/>
      <c r="S64" s="168" t="s">
        <v>156</v>
      </c>
      <c r="T64" s="78"/>
      <c r="U64" s="83"/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 spans="2:34" s="84" customFormat="1" x14ac:dyDescent="0.3">
      <c r="B65" s="149"/>
      <c r="C65" s="150" t="s">
        <v>2</v>
      </c>
      <c r="D65" s="155"/>
      <c r="E65" s="151"/>
      <c r="F65" s="203" t="s">
        <v>187</v>
      </c>
      <c r="G65" s="176" t="s">
        <v>188</v>
      </c>
      <c r="H65" s="176" t="s">
        <v>189</v>
      </c>
      <c r="I65" s="200" t="s">
        <v>190</v>
      </c>
      <c r="J65" s="201">
        <v>1</v>
      </c>
      <c r="K65" s="169">
        <v>270000</v>
      </c>
      <c r="L65" s="202">
        <v>297000</v>
      </c>
      <c r="M65" s="164">
        <f t="shared" si="13"/>
        <v>270000</v>
      </c>
      <c r="N65" s="158">
        <v>0</v>
      </c>
      <c r="O65" s="1365">
        <f>L65</f>
        <v>297000</v>
      </c>
      <c r="P65" s="1366"/>
      <c r="Q65" s="1488" t="s">
        <v>191</v>
      </c>
      <c r="R65" s="1489"/>
      <c r="S65" s="168"/>
      <c r="T65" s="78"/>
      <c r="U65" s="83"/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 spans="2:34" s="84" customFormat="1" x14ac:dyDescent="0.3">
      <c r="B66" s="247"/>
      <c r="C66" s="248" t="s">
        <v>2</v>
      </c>
      <c r="D66" s="248"/>
      <c r="E66" s="249"/>
      <c r="F66" s="250" t="s">
        <v>237</v>
      </c>
      <c r="G66" s="251" t="s">
        <v>238</v>
      </c>
      <c r="H66" s="252" t="s">
        <v>113</v>
      </c>
      <c r="I66" s="252" t="s">
        <v>114</v>
      </c>
      <c r="J66" s="253">
        <v>1</v>
      </c>
      <c r="K66" s="254">
        <f>L66*0.7</f>
        <v>965999.99999999988</v>
      </c>
      <c r="L66" s="254">
        <v>1380000</v>
      </c>
      <c r="M66" s="255">
        <f t="shared" si="13"/>
        <v>965999.99999999988</v>
      </c>
      <c r="N66" s="206">
        <v>0</v>
      </c>
      <c r="O66" s="1590">
        <f>L66*J66</f>
        <v>1380000</v>
      </c>
      <c r="P66" s="1591"/>
      <c r="Q66" s="1592"/>
      <c r="R66" s="1593"/>
      <c r="S66" s="204"/>
      <c r="T66" s="78"/>
      <c r="U66" s="83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 spans="2:34" s="84" customFormat="1" x14ac:dyDescent="0.3">
      <c r="B67" s="290"/>
      <c r="C67" s="291" t="s">
        <v>2</v>
      </c>
      <c r="D67" s="291"/>
      <c r="E67" s="292"/>
      <c r="F67" s="269" t="s">
        <v>115</v>
      </c>
      <c r="G67" s="184" t="s">
        <v>60</v>
      </c>
      <c r="H67" s="185" t="s">
        <v>60</v>
      </c>
      <c r="I67" s="185" t="s">
        <v>116</v>
      </c>
      <c r="J67" s="186">
        <v>1</v>
      </c>
      <c r="K67" s="55">
        <v>500000</v>
      </c>
      <c r="L67" s="55">
        <v>800000</v>
      </c>
      <c r="M67" s="164">
        <f t="shared" si="13"/>
        <v>500000</v>
      </c>
      <c r="N67" s="158">
        <v>0</v>
      </c>
      <c r="O67" s="1365">
        <f>L67*J67</f>
        <v>800000</v>
      </c>
      <c r="P67" s="1366"/>
      <c r="Q67" s="1488"/>
      <c r="R67" s="1489"/>
      <c r="S67" s="168"/>
      <c r="T67" s="78"/>
      <c r="U67" s="83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 spans="2:34" s="84" customFormat="1" ht="17.25" thickBot="1" x14ac:dyDescent="0.35">
      <c r="B68" s="256"/>
      <c r="C68" s="257"/>
      <c r="D68" s="258"/>
      <c r="E68" s="259"/>
      <c r="F68" s="260"/>
      <c r="G68" s="258"/>
      <c r="H68" s="258"/>
      <c r="I68" s="258"/>
      <c r="J68" s="258"/>
      <c r="K68" s="261"/>
      <c r="L68" s="261"/>
      <c r="M68" s="262"/>
      <c r="N68" s="263"/>
      <c r="O68" s="1594"/>
      <c r="P68" s="1595"/>
      <c r="Q68" s="1596"/>
      <c r="R68" s="1597"/>
      <c r="S68" s="264"/>
      <c r="T68" s="78"/>
      <c r="U68" s="83"/>
      <c r="V68"/>
      <c r="W68"/>
      <c r="X68"/>
      <c r="Y68"/>
      <c r="Z68"/>
      <c r="AA68"/>
      <c r="AB68"/>
      <c r="AC68"/>
      <c r="AD68"/>
      <c r="AE68"/>
      <c r="AF68"/>
      <c r="AG68"/>
      <c r="AH68"/>
    </row>
    <row r="69" spans="2:34" s="84" customFormat="1" ht="18" thickBot="1" x14ac:dyDescent="0.35">
      <c r="B69" s="1338" t="s">
        <v>53</v>
      </c>
      <c r="C69" s="1339"/>
      <c r="D69" s="1339"/>
      <c r="E69" s="1339"/>
      <c r="F69" s="1339"/>
      <c r="G69" s="1339"/>
      <c r="H69" s="1339"/>
      <c r="I69" s="1339"/>
      <c r="J69" s="1339"/>
      <c r="K69" s="1339"/>
      <c r="L69" s="1340"/>
      <c r="M69" s="123">
        <f>SUM(M6:M68)</f>
        <v>579944498</v>
      </c>
      <c r="N69" s="136"/>
      <c r="O69" s="1341">
        <f>SUM(O6:P67)</f>
        <v>775884000</v>
      </c>
      <c r="P69" s="1342"/>
      <c r="Q69" s="1343"/>
      <c r="R69" s="1344"/>
      <c r="S69" s="130"/>
      <c r="T69" s="78"/>
      <c r="U69" s="83"/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 spans="2:34" s="84" customFormat="1" ht="17.25" thickBot="1" x14ac:dyDescent="0.35">
      <c r="B70" s="122" t="s">
        <v>2</v>
      </c>
      <c r="C70" s="116"/>
      <c r="D70" s="116"/>
      <c r="E70" s="117"/>
      <c r="F70" s="118" t="s">
        <v>75</v>
      </c>
      <c r="G70" s="119"/>
      <c r="H70" s="119"/>
      <c r="I70" s="119"/>
      <c r="J70" s="119"/>
      <c r="K70" s="119"/>
      <c r="L70" s="120"/>
      <c r="M70" s="121"/>
      <c r="N70" s="135"/>
      <c r="O70" s="1447"/>
      <c r="P70" s="1448"/>
      <c r="Q70" s="1326"/>
      <c r="R70" s="1327"/>
      <c r="S70" s="115"/>
      <c r="T70" s="78"/>
      <c r="U70" s="83"/>
      <c r="V70"/>
      <c r="W70"/>
      <c r="X70"/>
      <c r="Y70"/>
      <c r="Z70"/>
      <c r="AA70"/>
      <c r="AB70"/>
      <c r="AC70"/>
      <c r="AD70"/>
      <c r="AE70"/>
      <c r="AF70"/>
      <c r="AG70"/>
      <c r="AH70"/>
    </row>
    <row r="71" spans="2:34" s="84" customFormat="1" x14ac:dyDescent="0.3">
      <c r="B71" s="131"/>
      <c r="C71" s="132" t="s">
        <v>73</v>
      </c>
      <c r="D71" s="133"/>
      <c r="E71" s="165"/>
      <c r="F71" s="227" t="s">
        <v>129</v>
      </c>
      <c r="G71" s="222" t="s">
        <v>94</v>
      </c>
      <c r="H71" s="222" t="s">
        <v>130</v>
      </c>
      <c r="I71" s="222" t="s">
        <v>131</v>
      </c>
      <c r="J71" s="222">
        <v>20</v>
      </c>
      <c r="K71" s="274">
        <v>307000</v>
      </c>
      <c r="L71" s="274">
        <v>307000</v>
      </c>
      <c r="M71" s="230">
        <f t="shared" ref="M71:M79" si="14">J71*K71</f>
        <v>6140000</v>
      </c>
      <c r="N71" s="148"/>
      <c r="O71" s="1365">
        <f t="shared" ref="O71:O79" si="15">L71*J71</f>
        <v>6140000</v>
      </c>
      <c r="P71" s="1366"/>
      <c r="Q71" s="1492"/>
      <c r="R71" s="1493"/>
      <c r="S71" s="207"/>
      <c r="T71" s="78"/>
      <c r="U71" s="83"/>
      <c r="V71"/>
      <c r="W71"/>
      <c r="X71"/>
      <c r="Y71"/>
      <c r="Z71"/>
      <c r="AA71"/>
      <c r="AB71"/>
      <c r="AC71"/>
      <c r="AD71"/>
      <c r="AE71"/>
      <c r="AF71"/>
      <c r="AG71"/>
      <c r="AH71"/>
    </row>
    <row r="72" spans="2:34" s="84" customFormat="1" x14ac:dyDescent="0.3">
      <c r="B72" s="208"/>
      <c r="C72" s="209" t="s">
        <v>73</v>
      </c>
      <c r="D72" s="210"/>
      <c r="E72" s="211"/>
      <c r="F72" s="228" t="s">
        <v>132</v>
      </c>
      <c r="G72" s="223" t="s">
        <v>94</v>
      </c>
      <c r="H72" s="223" t="s">
        <v>130</v>
      </c>
      <c r="I72" s="223" t="s">
        <v>131</v>
      </c>
      <c r="J72" s="223">
        <v>15</v>
      </c>
      <c r="K72" s="276">
        <v>307000</v>
      </c>
      <c r="L72" s="276">
        <v>307000</v>
      </c>
      <c r="M72" s="231">
        <f t="shared" si="14"/>
        <v>4605000</v>
      </c>
      <c r="N72" s="158"/>
      <c r="O72" s="1365">
        <f t="shared" si="15"/>
        <v>4605000</v>
      </c>
      <c r="P72" s="1366"/>
      <c r="Q72" s="1494"/>
      <c r="R72" s="1495"/>
      <c r="S72" s="212"/>
      <c r="T72" s="78"/>
      <c r="U72" s="83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 spans="2:34" s="84" customFormat="1" x14ac:dyDescent="0.3">
      <c r="B73" s="208"/>
      <c r="C73" s="209" t="s">
        <v>73</v>
      </c>
      <c r="D73" s="210"/>
      <c r="E73" s="211"/>
      <c r="F73" s="228" t="s">
        <v>133</v>
      </c>
      <c r="G73" s="223" t="s">
        <v>94</v>
      </c>
      <c r="H73" s="223" t="s">
        <v>130</v>
      </c>
      <c r="I73" s="223" t="s">
        <v>131</v>
      </c>
      <c r="J73" s="223">
        <v>15</v>
      </c>
      <c r="K73" s="276">
        <v>307000</v>
      </c>
      <c r="L73" s="276">
        <v>307000</v>
      </c>
      <c r="M73" s="231">
        <f t="shared" si="14"/>
        <v>4605000</v>
      </c>
      <c r="N73" s="158"/>
      <c r="O73" s="1365">
        <f t="shared" si="15"/>
        <v>4605000</v>
      </c>
      <c r="P73" s="1366"/>
      <c r="Q73" s="1494"/>
      <c r="R73" s="1495"/>
      <c r="S73" s="212"/>
      <c r="T73" s="78"/>
      <c r="U73" s="8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 spans="2:34" s="84" customFormat="1" x14ac:dyDescent="0.3">
      <c r="B74" s="208"/>
      <c r="C74" s="209" t="s">
        <v>73</v>
      </c>
      <c r="D74" s="210"/>
      <c r="E74" s="211"/>
      <c r="F74" s="228" t="s">
        <v>134</v>
      </c>
      <c r="G74" s="223" t="s">
        <v>94</v>
      </c>
      <c r="H74" s="223" t="s">
        <v>130</v>
      </c>
      <c r="I74" s="223" t="s">
        <v>131</v>
      </c>
      <c r="J74" s="223">
        <v>15</v>
      </c>
      <c r="K74" s="276">
        <v>307000</v>
      </c>
      <c r="L74" s="276">
        <v>307000</v>
      </c>
      <c r="M74" s="231">
        <f t="shared" si="14"/>
        <v>4605000</v>
      </c>
      <c r="N74" s="158"/>
      <c r="O74" s="1365">
        <f t="shared" si="15"/>
        <v>4605000</v>
      </c>
      <c r="P74" s="1366"/>
      <c r="Q74" s="1494"/>
      <c r="R74" s="1495"/>
      <c r="S74" s="212"/>
      <c r="T74" s="78"/>
      <c r="U74" s="83"/>
      <c r="V74"/>
      <c r="W74"/>
      <c r="X74"/>
      <c r="Y74"/>
      <c r="Z74"/>
      <c r="AA74"/>
      <c r="AB74"/>
      <c r="AC74"/>
      <c r="AD74"/>
      <c r="AE74"/>
      <c r="AF74"/>
      <c r="AG74"/>
      <c r="AH74"/>
    </row>
    <row r="75" spans="2:34" s="84" customFormat="1" x14ac:dyDescent="0.3">
      <c r="B75" s="208"/>
      <c r="C75" s="209" t="s">
        <v>73</v>
      </c>
      <c r="D75" s="210"/>
      <c r="E75" s="211"/>
      <c r="F75" s="228" t="s">
        <v>135</v>
      </c>
      <c r="G75" s="223" t="s">
        <v>94</v>
      </c>
      <c r="H75" s="223" t="s">
        <v>130</v>
      </c>
      <c r="I75" s="223" t="s">
        <v>131</v>
      </c>
      <c r="J75" s="223">
        <v>10</v>
      </c>
      <c r="K75" s="276">
        <v>307000</v>
      </c>
      <c r="L75" s="276">
        <v>307000</v>
      </c>
      <c r="M75" s="231">
        <f t="shared" si="14"/>
        <v>3070000</v>
      </c>
      <c r="N75" s="158"/>
      <c r="O75" s="1365">
        <f t="shared" si="15"/>
        <v>3070000</v>
      </c>
      <c r="P75" s="1366"/>
      <c r="Q75" s="1494"/>
      <c r="R75" s="1495"/>
      <c r="S75" s="212"/>
      <c r="T75" s="78"/>
      <c r="U75" s="83"/>
      <c r="V75"/>
      <c r="W75"/>
      <c r="X75"/>
      <c r="Y75"/>
      <c r="Z75"/>
      <c r="AA75"/>
      <c r="AB75"/>
      <c r="AC75"/>
      <c r="AD75"/>
      <c r="AE75"/>
      <c r="AF75"/>
      <c r="AG75"/>
      <c r="AH75"/>
    </row>
    <row r="76" spans="2:34" s="84" customFormat="1" x14ac:dyDescent="0.3">
      <c r="B76" s="208"/>
      <c r="C76" s="209" t="s">
        <v>73</v>
      </c>
      <c r="D76" s="210"/>
      <c r="E76" s="211"/>
      <c r="F76" s="228" t="s">
        <v>136</v>
      </c>
      <c r="G76" s="223" t="s">
        <v>94</v>
      </c>
      <c r="H76" s="223" t="s">
        <v>130</v>
      </c>
      <c r="I76" s="223" t="s">
        <v>131</v>
      </c>
      <c r="J76" s="223">
        <v>10</v>
      </c>
      <c r="K76" s="276">
        <v>307000</v>
      </c>
      <c r="L76" s="276">
        <v>307000</v>
      </c>
      <c r="M76" s="231">
        <f t="shared" si="14"/>
        <v>3070000</v>
      </c>
      <c r="N76" s="158"/>
      <c r="O76" s="1365">
        <f t="shared" si="15"/>
        <v>3070000</v>
      </c>
      <c r="P76" s="1366"/>
      <c r="Q76" s="1494"/>
      <c r="R76" s="1495"/>
      <c r="S76" s="212"/>
      <c r="T76" s="78"/>
      <c r="U76" s="83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 spans="2:34" s="84" customFormat="1" x14ac:dyDescent="0.3">
      <c r="B77" s="208"/>
      <c r="C77" s="209" t="s">
        <v>73</v>
      </c>
      <c r="D77" s="210"/>
      <c r="E77" s="211"/>
      <c r="F77" s="228" t="s">
        <v>137</v>
      </c>
      <c r="G77" s="223" t="s">
        <v>94</v>
      </c>
      <c r="H77" s="223" t="s">
        <v>130</v>
      </c>
      <c r="I77" s="223" t="s">
        <v>131</v>
      </c>
      <c r="J77" s="223">
        <v>10</v>
      </c>
      <c r="K77" s="276">
        <v>307000</v>
      </c>
      <c r="L77" s="276">
        <v>307000</v>
      </c>
      <c r="M77" s="231">
        <f t="shared" si="14"/>
        <v>3070000</v>
      </c>
      <c r="N77" s="158"/>
      <c r="O77" s="1365">
        <f t="shared" si="15"/>
        <v>3070000</v>
      </c>
      <c r="P77" s="1366"/>
      <c r="Q77" s="1494"/>
      <c r="R77" s="1495"/>
      <c r="S77" s="212"/>
      <c r="T77" s="78"/>
      <c r="U77" s="83"/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 spans="2:34" s="84" customFormat="1" x14ac:dyDescent="0.3">
      <c r="B78" s="208"/>
      <c r="C78" s="209" t="s">
        <v>73</v>
      </c>
      <c r="D78" s="210"/>
      <c r="E78" s="211"/>
      <c r="F78" s="228" t="s">
        <v>138</v>
      </c>
      <c r="G78" s="223" t="s">
        <v>94</v>
      </c>
      <c r="H78" s="223" t="s">
        <v>130</v>
      </c>
      <c r="I78" s="223" t="s">
        <v>131</v>
      </c>
      <c r="J78" s="223">
        <v>10</v>
      </c>
      <c r="K78" s="276">
        <v>307000</v>
      </c>
      <c r="L78" s="276">
        <v>307000</v>
      </c>
      <c r="M78" s="231">
        <f t="shared" si="14"/>
        <v>3070000</v>
      </c>
      <c r="N78" s="158"/>
      <c r="O78" s="1365">
        <f t="shared" si="15"/>
        <v>3070000</v>
      </c>
      <c r="P78" s="1366"/>
      <c r="Q78" s="1494"/>
      <c r="R78" s="1495"/>
      <c r="S78" s="212"/>
      <c r="T78" s="78"/>
      <c r="U78" s="83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 spans="2:34" s="84" customFormat="1" x14ac:dyDescent="0.3">
      <c r="B79" s="208"/>
      <c r="C79" s="209" t="s">
        <v>73</v>
      </c>
      <c r="D79" s="210"/>
      <c r="E79" s="211"/>
      <c r="F79" s="228" t="s">
        <v>139</v>
      </c>
      <c r="G79" s="223" t="s">
        <v>94</v>
      </c>
      <c r="H79" s="223" t="s">
        <v>130</v>
      </c>
      <c r="I79" s="223" t="s">
        <v>131</v>
      </c>
      <c r="J79" s="223">
        <v>15</v>
      </c>
      <c r="K79" s="275">
        <v>307000</v>
      </c>
      <c r="L79" s="275">
        <v>307000</v>
      </c>
      <c r="M79" s="232">
        <f t="shared" si="14"/>
        <v>4605000</v>
      </c>
      <c r="N79" s="158"/>
      <c r="O79" s="1365">
        <f t="shared" si="15"/>
        <v>4605000</v>
      </c>
      <c r="P79" s="1366"/>
      <c r="Q79" s="1494"/>
      <c r="R79" s="1495"/>
      <c r="S79" s="212"/>
      <c r="T79" s="78"/>
      <c r="U79" s="83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 spans="2:34" s="84" customFormat="1" ht="17.25" thickBot="1" x14ac:dyDescent="0.35">
      <c r="B80" s="213"/>
      <c r="C80" s="214"/>
      <c r="D80" s="215"/>
      <c r="E80" s="216"/>
      <c r="F80" s="229"/>
      <c r="G80" s="224"/>
      <c r="H80" s="224"/>
      <c r="I80" s="224"/>
      <c r="J80" s="224"/>
      <c r="K80" s="225"/>
      <c r="L80" s="225"/>
      <c r="M80" s="226"/>
      <c r="N80" s="162"/>
      <c r="O80" s="1365">
        <f t="shared" ref="O80" si="16">L80</f>
        <v>0</v>
      </c>
      <c r="P80" s="1366"/>
      <c r="Q80" s="1453"/>
      <c r="R80" s="1454"/>
      <c r="S80" s="217"/>
      <c r="T80" s="78"/>
      <c r="U80" s="83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 spans="2:34" ht="17.25" thickBot="1" x14ac:dyDescent="0.35">
      <c r="B81" s="122" t="s">
        <v>2</v>
      </c>
      <c r="C81" s="116"/>
      <c r="D81" s="116"/>
      <c r="E81" s="117"/>
      <c r="F81" s="218" t="s">
        <v>76</v>
      </c>
      <c r="G81" s="219"/>
      <c r="H81" s="219"/>
      <c r="I81" s="219"/>
      <c r="J81" s="219"/>
      <c r="K81" s="220"/>
      <c r="L81" s="220"/>
      <c r="M81" s="221"/>
      <c r="N81" s="135"/>
      <c r="O81" s="1447"/>
      <c r="P81" s="1448"/>
      <c r="Q81" s="1447"/>
      <c r="R81" s="1448"/>
      <c r="S81" s="115"/>
      <c r="T81" s="73"/>
      <c r="U81" s="4"/>
      <c r="V81" s="103"/>
      <c r="W81" s="103"/>
      <c r="X81" s="103"/>
      <c r="Y81" s="103"/>
      <c r="Z81" s="103"/>
      <c r="AA81" s="103"/>
      <c r="AB81" s="103"/>
      <c r="AC81" s="103"/>
      <c r="AD81" s="103"/>
      <c r="AE81" s="103"/>
      <c r="AF81" s="103"/>
      <c r="AG81" s="103"/>
      <c r="AH81" s="103"/>
    </row>
    <row r="82" spans="2:34" x14ac:dyDescent="0.3">
      <c r="B82" s="64"/>
      <c r="C82" s="65" t="s">
        <v>2</v>
      </c>
      <c r="D82" s="65"/>
      <c r="E82" s="66"/>
      <c r="F82" s="88" t="s">
        <v>7</v>
      </c>
      <c r="G82" s="85"/>
      <c r="H82" s="223" t="s">
        <v>130</v>
      </c>
      <c r="I82" s="223" t="s">
        <v>131</v>
      </c>
      <c r="J82" s="80">
        <v>5</v>
      </c>
      <c r="K82" s="277">
        <v>307000</v>
      </c>
      <c r="L82" s="277">
        <v>307000</v>
      </c>
      <c r="M82" s="112">
        <f>K82*J82</f>
        <v>1535000</v>
      </c>
      <c r="N82" s="137"/>
      <c r="O82" s="1365">
        <f t="shared" ref="O82:O88" si="17">L82*J82</f>
        <v>1535000</v>
      </c>
      <c r="P82" s="1366"/>
      <c r="Q82" s="1359" t="s">
        <v>62</v>
      </c>
      <c r="R82" s="1360"/>
      <c r="S82" s="94"/>
      <c r="T82" s="73"/>
      <c r="U82" s="4"/>
    </row>
    <row r="83" spans="2:34" x14ac:dyDescent="0.3">
      <c r="B83" s="62"/>
      <c r="C83" s="63" t="s">
        <v>2</v>
      </c>
      <c r="D83" s="63"/>
      <c r="E83" s="61"/>
      <c r="F83" s="89" t="s">
        <v>11</v>
      </c>
      <c r="G83" s="86"/>
      <c r="H83" s="223" t="s">
        <v>130</v>
      </c>
      <c r="I83" s="223" t="s">
        <v>131</v>
      </c>
      <c r="J83" s="56">
        <v>4</v>
      </c>
      <c r="K83" s="55">
        <v>307000</v>
      </c>
      <c r="L83" s="55">
        <v>307000</v>
      </c>
      <c r="M83" s="113">
        <f t="shared" ref="M83:M88" si="18">K83*J83</f>
        <v>1228000</v>
      </c>
      <c r="N83" s="138"/>
      <c r="O83" s="1365">
        <f t="shared" si="17"/>
        <v>1228000</v>
      </c>
      <c r="P83" s="1366"/>
      <c r="Q83" s="1361"/>
      <c r="R83" s="1362"/>
      <c r="S83" s="95"/>
      <c r="T83" s="73"/>
      <c r="U83" s="4"/>
    </row>
    <row r="84" spans="2:34" x14ac:dyDescent="0.3">
      <c r="B84" s="62"/>
      <c r="C84" s="63" t="s">
        <v>2</v>
      </c>
      <c r="D84" s="63"/>
      <c r="E84" s="61"/>
      <c r="F84" s="89" t="s">
        <v>41</v>
      </c>
      <c r="G84" s="86"/>
      <c r="H84" s="223" t="s">
        <v>130</v>
      </c>
      <c r="I84" s="223" t="s">
        <v>131</v>
      </c>
      <c r="J84" s="56">
        <v>5</v>
      </c>
      <c r="K84" s="55">
        <v>307000</v>
      </c>
      <c r="L84" s="55">
        <v>307000</v>
      </c>
      <c r="M84" s="113">
        <f t="shared" si="18"/>
        <v>1535000</v>
      </c>
      <c r="N84" s="138"/>
      <c r="O84" s="1365">
        <f t="shared" si="17"/>
        <v>1535000</v>
      </c>
      <c r="P84" s="1366"/>
      <c r="Q84" s="1361"/>
      <c r="R84" s="1362"/>
      <c r="S84" s="95"/>
      <c r="T84" s="73"/>
    </row>
    <row r="85" spans="2:34" x14ac:dyDescent="0.3">
      <c r="B85" s="62"/>
      <c r="C85" s="63" t="s">
        <v>2</v>
      </c>
      <c r="D85" s="63"/>
      <c r="E85" s="61"/>
      <c r="F85" s="89" t="s">
        <v>10</v>
      </c>
      <c r="G85" s="86"/>
      <c r="H85" s="223" t="s">
        <v>130</v>
      </c>
      <c r="I85" s="223" t="s">
        <v>131</v>
      </c>
      <c r="J85" s="56">
        <v>10</v>
      </c>
      <c r="K85" s="55">
        <v>307000</v>
      </c>
      <c r="L85" s="55">
        <v>307000</v>
      </c>
      <c r="M85" s="113">
        <f t="shared" si="18"/>
        <v>3070000</v>
      </c>
      <c r="N85" s="138"/>
      <c r="O85" s="1365">
        <f t="shared" si="17"/>
        <v>3070000</v>
      </c>
      <c r="P85" s="1366"/>
      <c r="Q85" s="1361"/>
      <c r="R85" s="1362"/>
      <c r="S85" s="95"/>
      <c r="T85" s="74"/>
    </row>
    <row r="86" spans="2:34" x14ac:dyDescent="0.3">
      <c r="B86" s="62"/>
      <c r="C86" s="63" t="s">
        <v>2</v>
      </c>
      <c r="D86" s="63"/>
      <c r="E86" s="61"/>
      <c r="F86" s="89" t="s">
        <v>61</v>
      </c>
      <c r="G86" s="86"/>
      <c r="H86" s="223" t="s">
        <v>130</v>
      </c>
      <c r="I86" s="223" t="s">
        <v>131</v>
      </c>
      <c r="J86" s="56">
        <v>2</v>
      </c>
      <c r="K86" s="55">
        <v>307000</v>
      </c>
      <c r="L86" s="55">
        <v>307000</v>
      </c>
      <c r="M86" s="113">
        <f t="shared" si="18"/>
        <v>614000</v>
      </c>
      <c r="N86" s="138"/>
      <c r="O86" s="1365">
        <f t="shared" si="17"/>
        <v>614000</v>
      </c>
      <c r="P86" s="1366"/>
      <c r="Q86" s="1361"/>
      <c r="R86" s="1362"/>
      <c r="S86" s="95"/>
    </row>
    <row r="87" spans="2:34" x14ac:dyDescent="0.3">
      <c r="B87" s="67"/>
      <c r="C87" s="63" t="s">
        <v>2</v>
      </c>
      <c r="D87" s="68"/>
      <c r="E87" s="69"/>
      <c r="F87" s="90" t="s">
        <v>9</v>
      </c>
      <c r="G87" s="86"/>
      <c r="H87" s="223" t="s">
        <v>130</v>
      </c>
      <c r="I87" s="223" t="s">
        <v>131</v>
      </c>
      <c r="J87" s="56">
        <v>5</v>
      </c>
      <c r="K87" s="55">
        <v>307000</v>
      </c>
      <c r="L87" s="55">
        <v>307000</v>
      </c>
      <c r="M87" s="113">
        <f t="shared" si="18"/>
        <v>1535000</v>
      </c>
      <c r="N87" s="138"/>
      <c r="O87" s="1365">
        <f t="shared" si="17"/>
        <v>1535000</v>
      </c>
      <c r="P87" s="1366"/>
      <c r="Q87" s="1361"/>
      <c r="R87" s="1362"/>
      <c r="S87" s="95"/>
    </row>
    <row r="88" spans="2:34" ht="17.25" thickBot="1" x14ac:dyDescent="0.35">
      <c r="B88" s="57"/>
      <c r="C88" s="58" t="s">
        <v>2</v>
      </c>
      <c r="D88" s="58"/>
      <c r="E88" s="60"/>
      <c r="F88" s="91" t="s">
        <v>8</v>
      </c>
      <c r="G88" s="87"/>
      <c r="H88" s="223" t="s">
        <v>130</v>
      </c>
      <c r="I88" s="223" t="s">
        <v>131</v>
      </c>
      <c r="J88" s="59">
        <v>3</v>
      </c>
      <c r="K88" s="169">
        <v>307000</v>
      </c>
      <c r="L88" s="169">
        <v>307000</v>
      </c>
      <c r="M88" s="114">
        <f t="shared" si="18"/>
        <v>921000</v>
      </c>
      <c r="N88" s="139"/>
      <c r="O88" s="1365">
        <f t="shared" si="17"/>
        <v>921000</v>
      </c>
      <c r="P88" s="1366"/>
      <c r="Q88" s="1363"/>
      <c r="R88" s="1364"/>
      <c r="S88" s="96"/>
    </row>
    <row r="89" spans="2:34" ht="18" thickBot="1" x14ac:dyDescent="0.35">
      <c r="B89" s="1345" t="s">
        <v>46</v>
      </c>
      <c r="C89" s="1346"/>
      <c r="D89" s="1346"/>
      <c r="E89" s="1346"/>
      <c r="F89" s="1346"/>
      <c r="G89" s="1346"/>
      <c r="H89" s="1346"/>
      <c r="I89" s="1346"/>
      <c r="J89" s="1346"/>
      <c r="K89" s="1346"/>
      <c r="L89" s="1347"/>
      <c r="M89" s="124">
        <f>SUM(M70:M88)</f>
        <v>47278000</v>
      </c>
      <c r="N89" s="140"/>
      <c r="O89" s="1348">
        <f>SUM(O71:P88)</f>
        <v>47278000</v>
      </c>
      <c r="P89" s="1349"/>
      <c r="Q89" s="1350"/>
      <c r="R89" s="1350"/>
      <c r="S89" s="1351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2:34" ht="20.25" thickBot="1" x14ac:dyDescent="0.35">
      <c r="B90" s="1352" t="s">
        <v>52</v>
      </c>
      <c r="C90" s="1353"/>
      <c r="D90" s="1353"/>
      <c r="E90" s="1353"/>
      <c r="F90" s="1353"/>
      <c r="G90" s="1353"/>
      <c r="H90" s="1353"/>
      <c r="I90" s="1353"/>
      <c r="J90" s="1353"/>
      <c r="K90" s="1353"/>
      <c r="L90" s="1353"/>
      <c r="M90" s="125"/>
      <c r="N90" s="134">
        <v>0</v>
      </c>
      <c r="O90" s="1354">
        <v>0</v>
      </c>
      <c r="P90" s="1355"/>
      <c r="Q90" s="1356"/>
      <c r="R90" s="1357"/>
      <c r="S90" s="1358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2:34" ht="20.25" thickBot="1" x14ac:dyDescent="0.35">
      <c r="B91" s="1352" t="s">
        <v>54</v>
      </c>
      <c r="C91" s="1353"/>
      <c r="D91" s="1353"/>
      <c r="E91" s="1353"/>
      <c r="F91" s="1353"/>
      <c r="G91" s="1353"/>
      <c r="H91" s="1353"/>
      <c r="I91" s="1353"/>
      <c r="J91" s="1353"/>
      <c r="K91" s="1353"/>
      <c r="L91" s="1353"/>
      <c r="M91" s="127"/>
      <c r="N91" s="128"/>
      <c r="O91" s="1354">
        <f>SUM(O90,O89,O69)</f>
        <v>823162000</v>
      </c>
      <c r="P91" s="1355"/>
      <c r="Q91" s="1374"/>
      <c r="R91" s="1375"/>
      <c r="S91" s="1376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2:34" ht="20.25" thickBot="1" x14ac:dyDescent="0.35">
      <c r="B92" s="1352" t="s">
        <v>51</v>
      </c>
      <c r="C92" s="1353"/>
      <c r="D92" s="1353"/>
      <c r="E92" s="1353"/>
      <c r="F92" s="1353"/>
      <c r="G92" s="1353"/>
      <c r="H92" s="1353"/>
      <c r="I92" s="1353"/>
      <c r="J92" s="1353"/>
      <c r="K92" s="1353"/>
      <c r="L92" s="1353"/>
      <c r="M92" s="129"/>
      <c r="N92" s="126">
        <v>0.1</v>
      </c>
      <c r="O92" s="1381">
        <f>O91*N92</f>
        <v>82316200</v>
      </c>
      <c r="P92" s="1382"/>
      <c r="Q92" s="1383"/>
      <c r="R92" s="1384"/>
      <c r="S92" s="1385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2:34" ht="21" thickBot="1" x14ac:dyDescent="0.35">
      <c r="B93" s="1367" t="s">
        <v>44</v>
      </c>
      <c r="C93" s="1368"/>
      <c r="D93" s="1368"/>
      <c r="E93" s="1368"/>
      <c r="F93" s="1368"/>
      <c r="G93" s="1368"/>
      <c r="H93" s="1368"/>
      <c r="I93" s="1368"/>
      <c r="J93" s="1368"/>
      <c r="K93" s="1368"/>
      <c r="L93" s="1368"/>
      <c r="M93" s="92"/>
      <c r="N93" s="111"/>
      <c r="O93" s="1369">
        <f>ROUNDDOWN(SUM(O91:P92), -3)</f>
        <v>905478000</v>
      </c>
      <c r="P93" s="1370"/>
      <c r="Q93" s="1371"/>
      <c r="R93" s="1372"/>
      <c r="S93" s="137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2:34" ht="21" thickBot="1" x14ac:dyDescent="0.35">
      <c r="B94" s="104"/>
      <c r="C94" s="104"/>
      <c r="D94" s="104"/>
      <c r="E94" s="104"/>
      <c r="F94" s="105"/>
      <c r="G94" s="105"/>
      <c r="H94" s="105"/>
      <c r="I94" s="105"/>
      <c r="J94" s="105"/>
      <c r="K94" s="105"/>
      <c r="L94" s="105"/>
      <c r="M94" s="106"/>
      <c r="N94" s="107"/>
      <c r="O94" s="107"/>
      <c r="P94" s="107"/>
      <c r="Q94" s="108"/>
      <c r="R94" s="108"/>
      <c r="S94" s="108"/>
    </row>
    <row r="95" spans="2:34" ht="18" customHeight="1" thickBot="1" x14ac:dyDescent="0.35">
      <c r="B95" s="1374" t="s">
        <v>50</v>
      </c>
      <c r="C95" s="1375"/>
      <c r="D95" s="1375"/>
      <c r="E95" s="1376"/>
      <c r="F95" s="109"/>
      <c r="G95" s="109"/>
      <c r="H95" s="109"/>
      <c r="I95" s="109"/>
      <c r="J95" s="109"/>
      <c r="K95" s="110"/>
      <c r="L95" s="110"/>
      <c r="M95" s="110"/>
      <c r="N95" s="77" t="s">
        <v>14</v>
      </c>
      <c r="O95" s="1377" t="s">
        <v>15</v>
      </c>
      <c r="P95" s="1378"/>
      <c r="Q95" s="1379" t="s">
        <v>17</v>
      </c>
      <c r="R95" s="1380"/>
      <c r="S95" s="166" t="s">
        <v>16</v>
      </c>
    </row>
    <row r="96" spans="2:34" ht="18" customHeight="1" x14ac:dyDescent="0.3">
      <c r="B96" s="102">
        <v>1</v>
      </c>
      <c r="C96" s="1400" t="s">
        <v>159</v>
      </c>
      <c r="D96" s="1401"/>
      <c r="E96" s="1401"/>
      <c r="F96" s="1401"/>
      <c r="G96" s="1401"/>
      <c r="H96" s="1401"/>
      <c r="I96" s="1401"/>
      <c r="J96" s="1402"/>
      <c r="N96" s="11">
        <v>0</v>
      </c>
      <c r="O96" s="1403">
        <f>$O$93/(1+N96)</f>
        <v>905478000</v>
      </c>
      <c r="P96" s="1404"/>
      <c r="Q96" s="1405">
        <f>O96-$M$69</f>
        <v>325533502</v>
      </c>
      <c r="R96" s="1406"/>
      <c r="S96" s="160">
        <f>Q96/O96</f>
        <v>0.35951563925352137</v>
      </c>
    </row>
    <row r="97" spans="1:34" ht="18" customHeight="1" x14ac:dyDescent="0.3">
      <c r="B97" s="100">
        <v>2</v>
      </c>
      <c r="C97" s="1458" t="s">
        <v>182</v>
      </c>
      <c r="D97" s="1456"/>
      <c r="E97" s="1456"/>
      <c r="F97" s="1456"/>
      <c r="G97" s="1456"/>
      <c r="H97" s="1456"/>
      <c r="I97" s="1456"/>
      <c r="J97" s="1457"/>
      <c r="N97" s="9">
        <v>0.1</v>
      </c>
      <c r="O97" s="1389">
        <f>$O$93/(1+N97)</f>
        <v>823161818.18181813</v>
      </c>
      <c r="P97" s="1390"/>
      <c r="Q97" s="1391">
        <f t="shared" ref="Q97:Q100" si="19">O97-$M$69</f>
        <v>243217320.18181813</v>
      </c>
      <c r="R97" s="1392"/>
      <c r="S97" s="161">
        <f t="shared" ref="S97:S100" si="20">Q97/O97</f>
        <v>0.29546720317887343</v>
      </c>
      <c r="U97" s="103"/>
    </row>
    <row r="98" spans="1:34" s="103" customFormat="1" ht="18" customHeight="1" x14ac:dyDescent="0.3">
      <c r="B98" s="100">
        <v>3</v>
      </c>
      <c r="C98" s="1455" t="s">
        <v>181</v>
      </c>
      <c r="D98" s="1456"/>
      <c r="E98" s="1456"/>
      <c r="F98" s="1456"/>
      <c r="G98" s="1456"/>
      <c r="H98" s="1456"/>
      <c r="I98" s="1456"/>
      <c r="J98" s="1457"/>
      <c r="K98" s="1"/>
      <c r="L98" s="1"/>
      <c r="M98" s="1"/>
      <c r="N98" s="10">
        <v>0.15</v>
      </c>
      <c r="O98" s="1389">
        <f t="shared" ref="O98:O99" si="21">$O$93/(1+N98)</f>
        <v>787372173.9130435</v>
      </c>
      <c r="P98" s="1390"/>
      <c r="Q98" s="1391">
        <f t="shared" si="19"/>
        <v>207427675.9130435</v>
      </c>
      <c r="R98" s="1392"/>
      <c r="S98" s="161">
        <f t="shared" si="20"/>
        <v>0.26344298514154957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4" ht="18" customHeight="1" x14ac:dyDescent="0.3">
      <c r="B99" s="100">
        <v>4</v>
      </c>
      <c r="C99" s="1455"/>
      <c r="D99" s="1456"/>
      <c r="E99" s="1456"/>
      <c r="F99" s="1456"/>
      <c r="G99" s="1456"/>
      <c r="H99" s="1456"/>
      <c r="I99" s="1456"/>
      <c r="J99" s="1457"/>
      <c r="N99" s="10">
        <v>0.2</v>
      </c>
      <c r="O99" s="1389">
        <f t="shared" si="21"/>
        <v>754565000</v>
      </c>
      <c r="P99" s="1390"/>
      <c r="Q99" s="1391">
        <f t="shared" si="19"/>
        <v>174620502</v>
      </c>
      <c r="R99" s="1392"/>
      <c r="S99" s="161">
        <f t="shared" si="20"/>
        <v>0.23141876710422563</v>
      </c>
    </row>
    <row r="100" spans="1:34" ht="18" customHeight="1" thickBot="1" x14ac:dyDescent="0.35">
      <c r="B100" s="100">
        <v>5</v>
      </c>
      <c r="C100" s="1393"/>
      <c r="D100" s="1394"/>
      <c r="E100" s="1394"/>
      <c r="F100" s="1394"/>
      <c r="G100" s="1394"/>
      <c r="H100" s="1394"/>
      <c r="I100" s="1394"/>
      <c r="J100" s="1395"/>
      <c r="N100" s="12" t="s">
        <v>45</v>
      </c>
      <c r="O100" s="1396">
        <v>0</v>
      </c>
      <c r="P100" s="1397"/>
      <c r="Q100" s="1398">
        <f t="shared" si="19"/>
        <v>-579944498</v>
      </c>
      <c r="R100" s="1399"/>
      <c r="S100" s="99" t="e">
        <f t="shared" si="20"/>
        <v>#DIV/0!</v>
      </c>
    </row>
    <row r="101" spans="1:34" ht="18" customHeight="1" thickBot="1" x14ac:dyDescent="0.35">
      <c r="B101" s="100">
        <v>6</v>
      </c>
      <c r="C101" s="1393"/>
      <c r="D101" s="1394"/>
      <c r="E101" s="1394"/>
      <c r="F101" s="1394"/>
      <c r="G101" s="1394"/>
      <c r="H101" s="1394"/>
      <c r="I101" s="1394"/>
      <c r="J101" s="1395"/>
    </row>
    <row r="102" spans="1:34" ht="18" customHeight="1" thickBot="1" x14ac:dyDescent="0.35">
      <c r="B102" s="100">
        <v>7</v>
      </c>
      <c r="C102" s="362"/>
      <c r="D102" s="363"/>
      <c r="E102" s="363"/>
      <c r="F102" s="363"/>
      <c r="G102" s="363"/>
      <c r="H102" s="363"/>
      <c r="I102" s="363"/>
      <c r="J102" s="364"/>
      <c r="N102" s="1410" t="s">
        <v>47</v>
      </c>
      <c r="O102" s="1411"/>
      <c r="P102" s="1412" t="s">
        <v>48</v>
      </c>
      <c r="Q102" s="1413"/>
      <c r="R102" s="1414" t="s">
        <v>49</v>
      </c>
      <c r="S102" s="1415"/>
    </row>
    <row r="103" spans="1:34" ht="18" customHeight="1" x14ac:dyDescent="0.3">
      <c r="B103" s="100">
        <v>8</v>
      </c>
      <c r="C103" s="1393"/>
      <c r="D103" s="1394"/>
      <c r="E103" s="1394"/>
      <c r="F103" s="1394"/>
      <c r="G103" s="1394"/>
      <c r="H103" s="1394"/>
      <c r="I103" s="1394"/>
      <c r="J103" s="1395"/>
      <c r="N103" s="1416"/>
      <c r="O103" s="1417"/>
      <c r="P103" s="1422"/>
      <c r="Q103" s="1423"/>
      <c r="R103" s="1428"/>
      <c r="S103" s="1429"/>
    </row>
    <row r="104" spans="1:34" ht="18" customHeight="1" x14ac:dyDescent="0.3">
      <c r="B104" s="100"/>
      <c r="C104" s="1434"/>
      <c r="D104" s="1435"/>
      <c r="E104" s="1435"/>
      <c r="F104" s="1435"/>
      <c r="G104" s="1435"/>
      <c r="H104" s="1435"/>
      <c r="I104" s="1435"/>
      <c r="J104" s="1436"/>
      <c r="N104" s="1418"/>
      <c r="O104" s="1419"/>
      <c r="P104" s="1424"/>
      <c r="Q104" s="1425"/>
      <c r="R104" s="1430"/>
      <c r="S104" s="1431"/>
    </row>
    <row r="105" spans="1:34" ht="18" customHeight="1" x14ac:dyDescent="0.3">
      <c r="B105" s="100"/>
      <c r="C105" s="1434"/>
      <c r="D105" s="1435"/>
      <c r="E105" s="1435"/>
      <c r="F105" s="1435"/>
      <c r="G105" s="1435"/>
      <c r="H105" s="1435"/>
      <c r="I105" s="1435"/>
      <c r="J105" s="1436"/>
      <c r="N105" s="1418"/>
      <c r="O105" s="1419"/>
      <c r="P105" s="1424"/>
      <c r="Q105" s="1425"/>
      <c r="R105" s="1430"/>
      <c r="S105" s="1431"/>
    </row>
    <row r="106" spans="1:34" s="3" customFormat="1" ht="18" thickBot="1" x14ac:dyDescent="0.35">
      <c r="A106"/>
      <c r="B106" s="101"/>
      <c r="C106" s="1407"/>
      <c r="D106" s="1408"/>
      <c r="E106" s="1408"/>
      <c r="F106" s="1408"/>
      <c r="G106" s="1408"/>
      <c r="H106" s="1408"/>
      <c r="I106" s="1408"/>
      <c r="J106" s="1409"/>
      <c r="K106" s="1"/>
      <c r="L106" s="1"/>
      <c r="M106" s="1"/>
      <c r="N106" s="1420"/>
      <c r="O106" s="1421"/>
      <c r="P106" s="1426"/>
      <c r="Q106" s="1427"/>
      <c r="R106" s="1432"/>
      <c r="S106" s="1433"/>
      <c r="T106" s="97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4" s="3" customFormat="1" x14ac:dyDescent="0.3">
      <c r="A107"/>
      <c r="B107" s="2"/>
      <c r="C107" s="2"/>
      <c r="D107" s="2"/>
      <c r="E107" s="2"/>
      <c r="K107" s="1"/>
      <c r="L107" s="1"/>
      <c r="M107" s="1"/>
      <c r="N107" s="5"/>
      <c r="O107" s="1"/>
      <c r="P107" s="1"/>
      <c r="Q107"/>
      <c r="R107"/>
      <c r="S107" s="93"/>
      <c r="T107" s="98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4" s="3" customFormat="1" x14ac:dyDescent="0.3">
      <c r="A108"/>
      <c r="B108" s="2"/>
      <c r="C108" s="2"/>
      <c r="D108" s="2"/>
      <c r="E108" s="2"/>
      <c r="K108" s="1"/>
      <c r="L108" s="1"/>
      <c r="M108" s="1"/>
      <c r="N108" s="5"/>
      <c r="O108" s="1"/>
      <c r="P108" s="1"/>
      <c r="Q108"/>
      <c r="R108"/>
      <c r="S108" s="93"/>
      <c r="T108" s="9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4" s="3" customFormat="1" x14ac:dyDescent="0.3">
      <c r="A109"/>
      <c r="B109" s="2"/>
      <c r="C109" s="2"/>
      <c r="D109" s="2"/>
      <c r="E109" s="2"/>
      <c r="K109" s="1"/>
      <c r="L109" s="1"/>
      <c r="M109" s="1"/>
      <c r="N109" s="5"/>
      <c r="O109" s="1"/>
      <c r="P109" s="1"/>
      <c r="Q109"/>
      <c r="R109"/>
      <c r="S109" s="93"/>
      <c r="T109" s="98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4" s="3" customFormat="1" x14ac:dyDescent="0.3">
      <c r="A110"/>
      <c r="B110" s="2"/>
      <c r="C110" s="2"/>
      <c r="D110" s="2"/>
      <c r="E110" s="2"/>
      <c r="K110" s="1"/>
      <c r="L110" s="1"/>
      <c r="M110" s="1"/>
      <c r="N110" s="5"/>
      <c r="O110" s="1"/>
      <c r="P110" s="1"/>
      <c r="Q110"/>
      <c r="R110"/>
      <c r="S110" s="93"/>
      <c r="T110" s="98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</sheetData>
  <mergeCells count="199">
    <mergeCell ref="O6:P6"/>
    <mergeCell ref="Q6:R6"/>
    <mergeCell ref="O7:P7"/>
    <mergeCell ref="Q7:R7"/>
    <mergeCell ref="O8:P8"/>
    <mergeCell ref="Q8:R9"/>
    <mergeCell ref="O9:P9"/>
    <mergeCell ref="A2:S2"/>
    <mergeCell ref="Q3:S3"/>
    <mergeCell ref="B4:E4"/>
    <mergeCell ref="O4:P4"/>
    <mergeCell ref="Q4:R4"/>
    <mergeCell ref="O5:P5"/>
    <mergeCell ref="Q5:R5"/>
    <mergeCell ref="O14:P14"/>
    <mergeCell ref="Q14:R14"/>
    <mergeCell ref="O15:P15"/>
    <mergeCell ref="Q15:R15"/>
    <mergeCell ref="O16:P16"/>
    <mergeCell ref="Q16:R16"/>
    <mergeCell ref="O10:P10"/>
    <mergeCell ref="Q10:R11"/>
    <mergeCell ref="O11:P11"/>
    <mergeCell ref="O12:P12"/>
    <mergeCell ref="Q12:R12"/>
    <mergeCell ref="O13:P13"/>
    <mergeCell ref="Q13:R13"/>
    <mergeCell ref="O17:P17"/>
    <mergeCell ref="Q17:R17"/>
    <mergeCell ref="K18:M18"/>
    <mergeCell ref="O18:P18"/>
    <mergeCell ref="Q18:R18"/>
    <mergeCell ref="O19:P19"/>
    <mergeCell ref="Q19:R21"/>
    <mergeCell ref="O20:P20"/>
    <mergeCell ref="O21:P21"/>
    <mergeCell ref="O25:P25"/>
    <mergeCell ref="Q25:R25"/>
    <mergeCell ref="O26:P26"/>
    <mergeCell ref="Q26:R26"/>
    <mergeCell ref="O27:P27"/>
    <mergeCell ref="Q27:R27"/>
    <mergeCell ref="O22:P22"/>
    <mergeCell ref="Q22:R22"/>
    <mergeCell ref="O23:P23"/>
    <mergeCell ref="Q23:R23"/>
    <mergeCell ref="O24:P24"/>
    <mergeCell ref="Q24:R24"/>
    <mergeCell ref="O31:P31"/>
    <mergeCell ref="Q31:R31"/>
    <mergeCell ref="O32:P32"/>
    <mergeCell ref="Q32:R32"/>
    <mergeCell ref="O33:P33"/>
    <mergeCell ref="Q33:R33"/>
    <mergeCell ref="O28:P28"/>
    <mergeCell ref="Q28:R28"/>
    <mergeCell ref="O29:P29"/>
    <mergeCell ref="Q29:R29"/>
    <mergeCell ref="O30:P30"/>
    <mergeCell ref="Q30:R30"/>
    <mergeCell ref="O37:P37"/>
    <mergeCell ref="Q37:R37"/>
    <mergeCell ref="O38:P38"/>
    <mergeCell ref="Q38:R38"/>
    <mergeCell ref="O39:P39"/>
    <mergeCell ref="Q39:R39"/>
    <mergeCell ref="O34:P34"/>
    <mergeCell ref="Q34:R34"/>
    <mergeCell ref="O35:P35"/>
    <mergeCell ref="Q35:R35"/>
    <mergeCell ref="O36:P36"/>
    <mergeCell ref="Q36:R36"/>
    <mergeCell ref="O44:P44"/>
    <mergeCell ref="Q44:R44"/>
    <mergeCell ref="O45:P45"/>
    <mergeCell ref="Q45:R45"/>
    <mergeCell ref="O46:P46"/>
    <mergeCell ref="Q46:R46"/>
    <mergeCell ref="O40:P40"/>
    <mergeCell ref="Q40:R40"/>
    <mergeCell ref="O41:P41"/>
    <mergeCell ref="O42:P42"/>
    <mergeCell ref="Q42:R42"/>
    <mergeCell ref="O43:P43"/>
    <mergeCell ref="Q43:R43"/>
    <mergeCell ref="S46:S53"/>
    <mergeCell ref="O47:P47"/>
    <mergeCell ref="O48:P48"/>
    <mergeCell ref="Q48:R48"/>
    <mergeCell ref="O49:P49"/>
    <mergeCell ref="Q49:R49"/>
    <mergeCell ref="O50:P50"/>
    <mergeCell ref="Q50:R51"/>
    <mergeCell ref="O51:P51"/>
    <mergeCell ref="O52:P52"/>
    <mergeCell ref="O56:P56"/>
    <mergeCell ref="Q56:R56"/>
    <mergeCell ref="O57:P57"/>
    <mergeCell ref="O60:P60"/>
    <mergeCell ref="O61:P61"/>
    <mergeCell ref="Q61:R61"/>
    <mergeCell ref="Q52:R52"/>
    <mergeCell ref="O53:P53"/>
    <mergeCell ref="Q53:R53"/>
    <mergeCell ref="O54:P54"/>
    <mergeCell ref="Q54:R55"/>
    <mergeCell ref="O55:P55"/>
    <mergeCell ref="O66:P66"/>
    <mergeCell ref="Q66:R66"/>
    <mergeCell ref="O67:P67"/>
    <mergeCell ref="Q67:R67"/>
    <mergeCell ref="O68:P68"/>
    <mergeCell ref="Q68:R68"/>
    <mergeCell ref="Q62:R62"/>
    <mergeCell ref="O63:P63"/>
    <mergeCell ref="Q63:R63"/>
    <mergeCell ref="O64:P64"/>
    <mergeCell ref="Q64:R64"/>
    <mergeCell ref="O65:P65"/>
    <mergeCell ref="Q65:R65"/>
    <mergeCell ref="O72:P72"/>
    <mergeCell ref="Q72:R72"/>
    <mergeCell ref="O73:P73"/>
    <mergeCell ref="Q73:R73"/>
    <mergeCell ref="O74:P74"/>
    <mergeCell ref="Q74:R74"/>
    <mergeCell ref="B69:L69"/>
    <mergeCell ref="O69:P69"/>
    <mergeCell ref="Q69:R69"/>
    <mergeCell ref="O70:P70"/>
    <mergeCell ref="Q70:R70"/>
    <mergeCell ref="O71:P71"/>
    <mergeCell ref="Q71:R71"/>
    <mergeCell ref="O78:P78"/>
    <mergeCell ref="Q78:R78"/>
    <mergeCell ref="O79:P79"/>
    <mergeCell ref="Q79:R79"/>
    <mergeCell ref="O80:P80"/>
    <mergeCell ref="Q80:R80"/>
    <mergeCell ref="O75:P75"/>
    <mergeCell ref="Q75:R75"/>
    <mergeCell ref="O76:P76"/>
    <mergeCell ref="Q76:R76"/>
    <mergeCell ref="O77:P77"/>
    <mergeCell ref="Q77:R77"/>
    <mergeCell ref="B89:L89"/>
    <mergeCell ref="O89:P89"/>
    <mergeCell ref="Q89:S89"/>
    <mergeCell ref="B90:L90"/>
    <mergeCell ref="O90:P90"/>
    <mergeCell ref="Q90:S90"/>
    <mergeCell ref="O81:P81"/>
    <mergeCell ref="Q81:R81"/>
    <mergeCell ref="O82:P82"/>
    <mergeCell ref="Q82:R88"/>
    <mergeCell ref="O83:P83"/>
    <mergeCell ref="O84:P84"/>
    <mergeCell ref="O85:P85"/>
    <mergeCell ref="O86:P86"/>
    <mergeCell ref="O87:P87"/>
    <mergeCell ref="O88:P88"/>
    <mergeCell ref="B93:L93"/>
    <mergeCell ref="O93:P93"/>
    <mergeCell ref="Q93:S93"/>
    <mergeCell ref="B95:E95"/>
    <mergeCell ref="O95:P95"/>
    <mergeCell ref="Q95:R95"/>
    <mergeCell ref="B91:L91"/>
    <mergeCell ref="O91:P91"/>
    <mergeCell ref="Q91:S91"/>
    <mergeCell ref="B92:L92"/>
    <mergeCell ref="O92:P92"/>
    <mergeCell ref="Q92:S92"/>
    <mergeCell ref="C98:J98"/>
    <mergeCell ref="O98:P98"/>
    <mergeCell ref="Q98:R98"/>
    <mergeCell ref="C99:J99"/>
    <mergeCell ref="O99:P99"/>
    <mergeCell ref="Q99:R99"/>
    <mergeCell ref="C96:J96"/>
    <mergeCell ref="O96:P96"/>
    <mergeCell ref="Q96:R96"/>
    <mergeCell ref="C97:J97"/>
    <mergeCell ref="O97:P97"/>
    <mergeCell ref="Q97:R97"/>
    <mergeCell ref="C103:J103"/>
    <mergeCell ref="N103:O106"/>
    <mergeCell ref="P103:Q106"/>
    <mergeCell ref="R103:S106"/>
    <mergeCell ref="C104:J104"/>
    <mergeCell ref="C105:J105"/>
    <mergeCell ref="C106:J106"/>
    <mergeCell ref="C100:J100"/>
    <mergeCell ref="O100:P100"/>
    <mergeCell ref="Q100:R100"/>
    <mergeCell ref="C101:J101"/>
    <mergeCell ref="N102:O102"/>
    <mergeCell ref="P102:Q102"/>
    <mergeCell ref="R102:S102"/>
  </mergeCells>
  <phoneticPr fontId="2" type="noConversion"/>
  <pageMargins left="0.25" right="0.25" top="0.75" bottom="0.75" header="0.3" footer="0.3"/>
  <pageSetup paperSize="9" scale="45" fitToHeight="0" orientation="landscape" horizontalDpi="300" r:id="rId1"/>
  <headerFooter>
    <oddFooter>&amp;R&amp;D</oddFooter>
  </headerFooter>
  <rowBreaks count="2" manualBreakCount="2">
    <brk id="55" max="18" man="1"/>
    <brk id="68" max="18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6BAB-950F-43F2-AD42-BBC3E321B38C}">
  <sheetPr>
    <pageSetUpPr fitToPage="1"/>
  </sheetPr>
  <dimension ref="A1:AH76"/>
  <sheetViews>
    <sheetView view="pageBreakPreview" zoomScale="85" zoomScaleNormal="70" zoomScaleSheetLayoutView="85" zoomScalePageLayoutView="85" workbookViewId="0">
      <selection activeCell="C19" sqref="C19"/>
    </sheetView>
  </sheetViews>
  <sheetFormatPr defaultRowHeight="16.5" x14ac:dyDescent="0.3"/>
  <cols>
    <col min="1" max="1" width="1.625" customWidth="1"/>
    <col min="2" max="5" width="3.375" style="2" customWidth="1"/>
    <col min="6" max="6" width="57.25" style="3" customWidth="1"/>
    <col min="7" max="7" width="25.625" style="3" bestFit="1" customWidth="1"/>
    <col min="8" max="9" width="16.625" style="3" customWidth="1"/>
    <col min="10" max="10" width="6.625" style="3" customWidth="1"/>
    <col min="11" max="13" width="16.625" style="1" customWidth="1"/>
    <col min="14" max="14" width="12.625" style="5" customWidth="1"/>
    <col min="15" max="15" width="9.625" style="1" customWidth="1"/>
    <col min="16" max="16" width="12.625" style="1" customWidth="1"/>
    <col min="17" max="18" width="22.375" customWidth="1"/>
    <col min="19" max="19" width="21.875" style="93" customWidth="1"/>
    <col min="20" max="20" width="2" style="70" customWidth="1"/>
  </cols>
  <sheetData>
    <row r="1" spans="1:34" ht="9.9499999999999993" customHeight="1" x14ac:dyDescent="0.3"/>
    <row r="2" spans="1:34" ht="26.25" x14ac:dyDescent="0.3">
      <c r="A2" s="1445" t="s">
        <v>244</v>
      </c>
      <c r="B2" s="1445"/>
      <c r="C2" s="1445"/>
      <c r="D2" s="1445"/>
      <c r="E2" s="1445"/>
      <c r="F2" s="1445"/>
      <c r="G2" s="1445"/>
      <c r="H2" s="1445"/>
      <c r="I2" s="1445"/>
      <c r="J2" s="1445"/>
      <c r="K2" s="1445"/>
      <c r="L2" s="1445"/>
      <c r="M2" s="1445"/>
      <c r="N2" s="1445"/>
      <c r="O2" s="1445"/>
      <c r="P2" s="1445"/>
      <c r="Q2" s="1445"/>
      <c r="R2" s="1445"/>
      <c r="S2" s="1445"/>
      <c r="T2" s="72"/>
    </row>
    <row r="3" spans="1:34" ht="17.25" thickBot="1" x14ac:dyDescent="0.35">
      <c r="B3" s="2" t="s">
        <v>398</v>
      </c>
      <c r="Q3" s="1446">
        <v>45407</v>
      </c>
      <c r="R3" s="1446"/>
      <c r="S3" s="1446"/>
      <c r="T3" s="75"/>
    </row>
    <row r="4" spans="1:34" ht="18" thickBot="1" x14ac:dyDescent="0.35">
      <c r="B4" s="1318" t="s">
        <v>1</v>
      </c>
      <c r="C4" s="1319"/>
      <c r="D4" s="1319"/>
      <c r="E4" s="1320"/>
      <c r="F4" s="6" t="s">
        <v>56</v>
      </c>
      <c r="G4" s="6" t="s">
        <v>55</v>
      </c>
      <c r="H4" s="6" t="s">
        <v>0</v>
      </c>
      <c r="I4" s="6" t="s">
        <v>43</v>
      </c>
      <c r="J4" s="6" t="s">
        <v>4</v>
      </c>
      <c r="K4" s="7" t="s">
        <v>12</v>
      </c>
      <c r="L4" s="8" t="s">
        <v>39</v>
      </c>
      <c r="M4" s="8" t="s">
        <v>5</v>
      </c>
      <c r="N4" s="141" t="s">
        <v>13</v>
      </c>
      <c r="O4" s="1321" t="s">
        <v>6</v>
      </c>
      <c r="P4" s="1322"/>
      <c r="Q4" s="1319" t="s">
        <v>3</v>
      </c>
      <c r="R4" s="1323"/>
      <c r="S4" s="71" t="s">
        <v>59</v>
      </c>
      <c r="T4" s="75"/>
    </row>
    <row r="5" spans="1:34" s="82" customFormat="1" ht="17.25" thickBot="1" x14ac:dyDescent="0.35">
      <c r="B5" s="122" t="s">
        <v>2</v>
      </c>
      <c r="C5" s="116"/>
      <c r="D5" s="116"/>
      <c r="E5" s="117"/>
      <c r="F5" s="118" t="s">
        <v>265</v>
      </c>
      <c r="G5" s="119"/>
      <c r="H5" s="119"/>
      <c r="I5" s="119"/>
      <c r="J5" s="119"/>
      <c r="K5" s="272"/>
      <c r="L5" s="120"/>
      <c r="M5" s="121"/>
      <c r="N5" s="135"/>
      <c r="O5" s="1447"/>
      <c r="P5" s="1448"/>
      <c r="Q5" s="1326"/>
      <c r="R5" s="1327"/>
      <c r="S5" s="115"/>
      <c r="T5" s="73"/>
      <c r="U5"/>
      <c r="V5"/>
      <c r="W5"/>
      <c r="X5"/>
      <c r="Y5"/>
      <c r="Z5"/>
      <c r="AA5"/>
      <c r="AB5"/>
      <c r="AC5"/>
      <c r="AD5"/>
      <c r="AE5"/>
      <c r="AF5"/>
    </row>
    <row r="6" spans="1:34" s="82" customFormat="1" x14ac:dyDescent="0.3">
      <c r="B6" s="401"/>
      <c r="C6" s="402"/>
      <c r="D6" s="403"/>
      <c r="E6" s="402"/>
      <c r="F6" s="404" t="s">
        <v>256</v>
      </c>
      <c r="G6" s="403" t="s">
        <v>336</v>
      </c>
      <c r="H6" s="403" t="s">
        <v>337</v>
      </c>
      <c r="I6" s="405"/>
      <c r="J6" s="403">
        <v>0</v>
      </c>
      <c r="K6" s="406"/>
      <c r="L6" s="406">
        <v>11140000</v>
      </c>
      <c r="M6" s="407">
        <f>J6*K6</f>
        <v>0</v>
      </c>
      <c r="N6" s="408">
        <v>0</v>
      </c>
      <c r="O6" s="1576">
        <f t="shared" ref="O6:O17" si="0">J6*L6/(1-N6)</f>
        <v>0</v>
      </c>
      <c r="P6" s="1577"/>
      <c r="Q6" s="1644" t="s">
        <v>341</v>
      </c>
      <c r="R6" s="1645"/>
      <c r="S6" s="441"/>
      <c r="T6" s="73"/>
      <c r="U6"/>
      <c r="V6"/>
      <c r="W6"/>
      <c r="X6"/>
      <c r="Y6"/>
      <c r="Z6"/>
      <c r="AA6"/>
      <c r="AB6"/>
      <c r="AC6"/>
      <c r="AD6"/>
      <c r="AE6"/>
      <c r="AF6"/>
    </row>
    <row r="7" spans="1:34" s="413" customFormat="1" x14ac:dyDescent="0.3">
      <c r="B7" s="414"/>
      <c r="C7" s="415" t="s">
        <v>73</v>
      </c>
      <c r="D7" s="416"/>
      <c r="E7" s="415"/>
      <c r="F7" s="417" t="s">
        <v>256</v>
      </c>
      <c r="G7" s="416" t="s">
        <v>395</v>
      </c>
      <c r="H7" s="416" t="s">
        <v>257</v>
      </c>
      <c r="I7" s="56"/>
      <c r="J7" s="416">
        <v>3</v>
      </c>
      <c r="K7" s="55">
        <f t="shared" ref="K7" si="1">L7*0.75</f>
        <v>7717500</v>
      </c>
      <c r="L7" s="169">
        <v>10290000</v>
      </c>
      <c r="M7" s="418">
        <f>J7*K7</f>
        <v>23152500</v>
      </c>
      <c r="N7" s="419">
        <v>0</v>
      </c>
      <c r="O7" s="1578">
        <f t="shared" si="0"/>
        <v>30870000</v>
      </c>
      <c r="P7" s="1579"/>
      <c r="Q7" s="1490" t="s">
        <v>365</v>
      </c>
      <c r="R7" s="1491"/>
      <c r="S7" s="420"/>
      <c r="T7" s="73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</row>
    <row r="8" spans="1:34" s="369" customFormat="1" x14ac:dyDescent="0.3">
      <c r="B8" s="290"/>
      <c r="C8" s="291" t="s">
        <v>2</v>
      </c>
      <c r="D8" s="291"/>
      <c r="E8" s="292"/>
      <c r="F8" s="269" t="s">
        <v>307</v>
      </c>
      <c r="G8" s="184" t="s">
        <v>366</v>
      </c>
      <c r="H8" s="185" t="s">
        <v>131</v>
      </c>
      <c r="I8" s="185"/>
      <c r="J8" s="186">
        <v>1</v>
      </c>
      <c r="K8" s="55">
        <f t="shared" ref="K8:K17" si="2">L8*0.75</f>
        <v>18567000</v>
      </c>
      <c r="L8" s="55">
        <v>24756000</v>
      </c>
      <c r="M8" s="164">
        <f>J8*K8</f>
        <v>18567000</v>
      </c>
      <c r="N8" s="158">
        <v>0</v>
      </c>
      <c r="O8" s="1365">
        <f t="shared" si="0"/>
        <v>24756000</v>
      </c>
      <c r="P8" s="1366"/>
      <c r="Q8" s="1488" t="s">
        <v>261</v>
      </c>
      <c r="R8" s="1489"/>
      <c r="S8" s="168"/>
      <c r="T8" s="368"/>
      <c r="U8" s="370" t="s">
        <v>300</v>
      </c>
      <c r="V8" s="370"/>
      <c r="W8" s="370"/>
      <c r="X8" s="370"/>
      <c r="Y8" s="370"/>
      <c r="Z8" s="370"/>
      <c r="AA8" s="370"/>
      <c r="AB8" s="370"/>
      <c r="AC8" s="370"/>
      <c r="AD8" s="370"/>
      <c r="AE8" s="370"/>
      <c r="AF8" s="370"/>
    </row>
    <row r="9" spans="1:34" s="369" customFormat="1" x14ac:dyDescent="0.3">
      <c r="B9" s="290"/>
      <c r="C9" s="291"/>
      <c r="D9" s="150" t="s">
        <v>73</v>
      </c>
      <c r="E9" s="292"/>
      <c r="F9" s="442" t="s">
        <v>372</v>
      </c>
      <c r="G9" s="443" t="s">
        <v>370</v>
      </c>
      <c r="H9" s="444" t="s">
        <v>131</v>
      </c>
      <c r="I9" s="444"/>
      <c r="J9" s="445">
        <v>4</v>
      </c>
      <c r="K9" s="446">
        <f t="shared" si="2"/>
        <v>1354500</v>
      </c>
      <c r="L9" s="446">
        <v>1806000</v>
      </c>
      <c r="M9" s="447">
        <f t="shared" ref="M9:M17" si="3">J9*K9</f>
        <v>5418000</v>
      </c>
      <c r="N9" s="448">
        <v>0</v>
      </c>
      <c r="O9" s="1640">
        <f t="shared" si="0"/>
        <v>7224000</v>
      </c>
      <c r="P9" s="1641"/>
      <c r="Q9" s="1642" t="s">
        <v>376</v>
      </c>
      <c r="R9" s="1643"/>
      <c r="S9" s="204"/>
      <c r="T9" s="368"/>
      <c r="V9" s="370"/>
      <c r="W9" s="370"/>
      <c r="X9" s="370"/>
      <c r="Y9" s="370"/>
      <c r="Z9" s="370"/>
      <c r="AA9" s="370"/>
      <c r="AB9" s="370"/>
      <c r="AC9" s="370"/>
      <c r="AD9" s="370"/>
      <c r="AE9" s="370"/>
      <c r="AF9" s="370"/>
      <c r="AG9" s="370"/>
      <c r="AH9" s="370"/>
    </row>
    <row r="10" spans="1:34" ht="16.149999999999999" customHeight="1" x14ac:dyDescent="0.3">
      <c r="B10" s="365"/>
      <c r="C10" s="366"/>
      <c r="D10" s="366"/>
      <c r="E10" s="367" t="s">
        <v>73</v>
      </c>
      <c r="F10" s="391" t="s">
        <v>281</v>
      </c>
      <c r="G10" s="366">
        <v>758933</v>
      </c>
      <c r="H10" s="185" t="s">
        <v>131</v>
      </c>
      <c r="I10" s="184"/>
      <c r="J10" s="184">
        <v>3</v>
      </c>
      <c r="K10" s="55">
        <f t="shared" si="2"/>
        <v>46500</v>
      </c>
      <c r="L10" s="392">
        <v>62000</v>
      </c>
      <c r="M10" s="390">
        <f t="shared" si="3"/>
        <v>139500</v>
      </c>
      <c r="N10" s="158">
        <v>0</v>
      </c>
      <c r="O10" s="1365">
        <f t="shared" si="0"/>
        <v>186000</v>
      </c>
      <c r="P10" s="1366"/>
      <c r="Q10" s="1488"/>
      <c r="R10" s="1489"/>
      <c r="S10" s="3"/>
      <c r="T10"/>
      <c r="U10" t="s">
        <v>291</v>
      </c>
      <c r="V10" t="s">
        <v>293</v>
      </c>
    </row>
    <row r="11" spans="1:34" ht="16.149999999999999" customHeight="1" x14ac:dyDescent="0.3">
      <c r="B11" s="365"/>
      <c r="C11" s="366"/>
      <c r="D11" s="366"/>
      <c r="E11" s="367" t="s">
        <v>73</v>
      </c>
      <c r="F11" s="391" t="s">
        <v>282</v>
      </c>
      <c r="G11" s="366">
        <v>701904</v>
      </c>
      <c r="H11" s="185" t="s">
        <v>131</v>
      </c>
      <c r="I11" s="184"/>
      <c r="J11" s="184">
        <v>3</v>
      </c>
      <c r="K11" s="55">
        <f t="shared" si="2"/>
        <v>118500</v>
      </c>
      <c r="L11" s="392">
        <v>158000</v>
      </c>
      <c r="M11" s="390">
        <f t="shared" si="3"/>
        <v>355500</v>
      </c>
      <c r="N11" s="158">
        <v>0</v>
      </c>
      <c r="O11" s="1365">
        <f t="shared" si="0"/>
        <v>474000</v>
      </c>
      <c r="P11" s="1366"/>
      <c r="Q11" s="1488"/>
      <c r="R11" s="1489"/>
      <c r="S11" s="3"/>
      <c r="T11"/>
      <c r="U11" t="s">
        <v>290</v>
      </c>
      <c r="V11" t="s">
        <v>294</v>
      </c>
    </row>
    <row r="12" spans="1:34" ht="16.149999999999999" customHeight="1" x14ac:dyDescent="0.3">
      <c r="B12" s="365"/>
      <c r="C12" s="366"/>
      <c r="D12" s="366"/>
      <c r="E12" s="367" t="s">
        <v>73</v>
      </c>
      <c r="F12" s="391" t="s">
        <v>283</v>
      </c>
      <c r="G12" s="366">
        <v>758921</v>
      </c>
      <c r="H12" s="185" t="s">
        <v>131</v>
      </c>
      <c r="I12" s="184"/>
      <c r="J12" s="184">
        <v>6</v>
      </c>
      <c r="K12" s="55">
        <f t="shared" si="2"/>
        <v>40500</v>
      </c>
      <c r="L12" s="392">
        <v>54000</v>
      </c>
      <c r="M12" s="390">
        <f t="shared" si="3"/>
        <v>243000</v>
      </c>
      <c r="N12" s="158">
        <v>0</v>
      </c>
      <c r="O12" s="1365">
        <f t="shared" si="0"/>
        <v>324000</v>
      </c>
      <c r="P12" s="1366"/>
      <c r="Q12" s="1488"/>
      <c r="R12" s="1489"/>
      <c r="S12" s="3"/>
      <c r="T12"/>
      <c r="U12" t="s">
        <v>276</v>
      </c>
      <c r="V12" t="s">
        <v>292</v>
      </c>
    </row>
    <row r="13" spans="1:34" s="369" customFormat="1" x14ac:dyDescent="0.3">
      <c r="B13" s="290"/>
      <c r="C13" s="291"/>
      <c r="D13" s="150" t="s">
        <v>73</v>
      </c>
      <c r="E13" s="292"/>
      <c r="F13" s="442" t="s">
        <v>310</v>
      </c>
      <c r="G13" s="443" t="s">
        <v>371</v>
      </c>
      <c r="H13" s="444" t="s">
        <v>131</v>
      </c>
      <c r="I13" s="444"/>
      <c r="J13" s="445">
        <v>1</v>
      </c>
      <c r="K13" s="446">
        <f t="shared" si="2"/>
        <v>1354500</v>
      </c>
      <c r="L13" s="446">
        <v>1806000</v>
      </c>
      <c r="M13" s="447">
        <f t="shared" si="3"/>
        <v>1354500</v>
      </c>
      <c r="N13" s="448">
        <v>0</v>
      </c>
      <c r="O13" s="1640">
        <f t="shared" si="0"/>
        <v>1806000</v>
      </c>
      <c r="P13" s="1641"/>
      <c r="Q13" s="1642" t="s">
        <v>382</v>
      </c>
      <c r="R13" s="1643"/>
      <c r="S13" s="204"/>
      <c r="T13" s="368"/>
      <c r="U13" s="370" t="s">
        <v>301</v>
      </c>
      <c r="V13" s="370"/>
      <c r="W13" s="370"/>
      <c r="X13" s="370"/>
      <c r="Y13" s="370"/>
      <c r="Z13" s="370"/>
      <c r="AA13" s="370"/>
      <c r="AB13" s="370"/>
      <c r="AC13" s="370"/>
      <c r="AD13" s="370"/>
      <c r="AE13" s="370"/>
      <c r="AF13" s="370"/>
    </row>
    <row r="14" spans="1:34" s="369" customFormat="1" x14ac:dyDescent="0.3">
      <c r="B14" s="290"/>
      <c r="C14" s="291"/>
      <c r="D14" s="150" t="s">
        <v>73</v>
      </c>
      <c r="E14" s="292"/>
      <c r="F14" s="442" t="s">
        <v>368</v>
      </c>
      <c r="G14" s="443" t="s">
        <v>331</v>
      </c>
      <c r="H14" s="444" t="s">
        <v>131</v>
      </c>
      <c r="I14" s="444"/>
      <c r="J14" s="445">
        <v>2</v>
      </c>
      <c r="K14" s="446">
        <f t="shared" si="2"/>
        <v>1292250</v>
      </c>
      <c r="L14" s="446">
        <v>1723000</v>
      </c>
      <c r="M14" s="447">
        <f t="shared" si="3"/>
        <v>2584500</v>
      </c>
      <c r="N14" s="448">
        <v>0</v>
      </c>
      <c r="O14" s="1640">
        <f t="shared" si="0"/>
        <v>3446000</v>
      </c>
      <c r="P14" s="1641"/>
      <c r="Q14" s="1642" t="s">
        <v>393</v>
      </c>
      <c r="R14" s="1643"/>
      <c r="S14" s="204"/>
      <c r="T14" s="368"/>
      <c r="U14" s="370" t="s">
        <v>302</v>
      </c>
      <c r="V14" s="370"/>
      <c r="W14" s="370"/>
      <c r="X14" s="370"/>
      <c r="Y14" s="370"/>
      <c r="Z14" s="370"/>
      <c r="AA14" s="370"/>
      <c r="AB14" s="370"/>
      <c r="AC14" s="370"/>
      <c r="AD14" s="370"/>
      <c r="AE14" s="370"/>
      <c r="AF14" s="370"/>
    </row>
    <row r="15" spans="1:34" s="369" customFormat="1" x14ac:dyDescent="0.3">
      <c r="B15" s="290"/>
      <c r="C15" s="291"/>
      <c r="D15" s="150"/>
      <c r="E15" s="292" t="s">
        <v>73</v>
      </c>
      <c r="F15" s="269" t="s">
        <v>367</v>
      </c>
      <c r="G15" s="184">
        <v>702916</v>
      </c>
      <c r="H15" s="185" t="s">
        <v>131</v>
      </c>
      <c r="I15" s="185"/>
      <c r="J15" s="186">
        <v>2</v>
      </c>
      <c r="K15" s="55">
        <f>L15*0.75</f>
        <v>6534000</v>
      </c>
      <c r="L15" s="55">
        <v>8712000</v>
      </c>
      <c r="M15" s="164">
        <f>J15*K15</f>
        <v>13068000</v>
      </c>
      <c r="N15" s="158">
        <v>0</v>
      </c>
      <c r="O15" s="1365">
        <f>J15*L15/(1-N15)</f>
        <v>17424000</v>
      </c>
      <c r="P15" s="1366"/>
      <c r="Q15" s="1488" t="s">
        <v>373</v>
      </c>
      <c r="R15" s="1489"/>
      <c r="S15" s="204"/>
      <c r="T15" s="368"/>
      <c r="U15" s="370" t="s">
        <v>303</v>
      </c>
      <c r="V15" s="370"/>
      <c r="W15" s="370"/>
      <c r="X15" s="370"/>
      <c r="Y15" s="370"/>
      <c r="Z15" s="370"/>
      <c r="AA15" s="370"/>
      <c r="AB15" s="370"/>
      <c r="AC15" s="370"/>
      <c r="AD15" s="370"/>
      <c r="AE15" s="370"/>
      <c r="AF15" s="370"/>
    </row>
    <row r="16" spans="1:34" s="84" customFormat="1" x14ac:dyDescent="0.3">
      <c r="B16" s="149"/>
      <c r="C16" s="150" t="s">
        <v>73</v>
      </c>
      <c r="D16" s="150"/>
      <c r="E16" s="151"/>
      <c r="F16" s="156" t="s">
        <v>404</v>
      </c>
      <c r="G16" s="155" t="s">
        <v>273</v>
      </c>
      <c r="H16" s="155" t="s">
        <v>255</v>
      </c>
      <c r="I16" s="155"/>
      <c r="J16" s="155">
        <v>1</v>
      </c>
      <c r="K16" s="55">
        <f t="shared" si="2"/>
        <v>27652500</v>
      </c>
      <c r="L16" s="55">
        <v>36870000</v>
      </c>
      <c r="M16" s="164">
        <f t="shared" si="3"/>
        <v>27652500</v>
      </c>
      <c r="N16" s="158">
        <v>0</v>
      </c>
      <c r="O16" s="1365">
        <f t="shared" si="0"/>
        <v>36870000</v>
      </c>
      <c r="P16" s="1366"/>
      <c r="Q16" s="1488" t="s">
        <v>401</v>
      </c>
      <c r="R16" s="1489"/>
      <c r="S16" s="204"/>
      <c r="T16" s="78"/>
      <c r="U16"/>
      <c r="V16"/>
      <c r="W16"/>
      <c r="X16"/>
      <c r="Y16"/>
      <c r="Z16"/>
      <c r="AA16"/>
      <c r="AB16"/>
      <c r="AC16"/>
      <c r="AD16"/>
      <c r="AE16"/>
      <c r="AF16"/>
    </row>
    <row r="17" spans="2:34" s="84" customFormat="1" x14ac:dyDescent="0.3">
      <c r="B17" s="149"/>
      <c r="C17" s="291"/>
      <c r="D17" s="150" t="s">
        <v>73</v>
      </c>
      <c r="E17" s="151"/>
      <c r="F17" s="156" t="s">
        <v>405</v>
      </c>
      <c r="G17" s="155" t="s">
        <v>274</v>
      </c>
      <c r="H17" s="155" t="s">
        <v>255</v>
      </c>
      <c r="I17" s="155"/>
      <c r="J17" s="155">
        <v>1</v>
      </c>
      <c r="K17" s="55">
        <f t="shared" si="2"/>
        <v>23730000</v>
      </c>
      <c r="L17" s="55">
        <v>31640000</v>
      </c>
      <c r="M17" s="164">
        <f t="shared" si="3"/>
        <v>23730000</v>
      </c>
      <c r="N17" s="158">
        <v>0</v>
      </c>
      <c r="O17" s="1365">
        <f t="shared" si="0"/>
        <v>31640000</v>
      </c>
      <c r="P17" s="1366"/>
      <c r="Q17" s="1488" t="s">
        <v>401</v>
      </c>
      <c r="R17" s="1489"/>
      <c r="S17" s="204"/>
      <c r="T17" s="78"/>
      <c r="U17"/>
      <c r="V17"/>
      <c r="W17"/>
      <c r="X17"/>
      <c r="Y17"/>
      <c r="Z17"/>
      <c r="AA17"/>
      <c r="AB17"/>
      <c r="AC17"/>
      <c r="AD17"/>
      <c r="AE17"/>
      <c r="AF17"/>
    </row>
    <row r="18" spans="2:34" s="84" customFormat="1" x14ac:dyDescent="0.3">
      <c r="B18" s="149"/>
      <c r="C18" s="150" t="s">
        <v>73</v>
      </c>
      <c r="D18" s="150"/>
      <c r="E18" s="151"/>
      <c r="F18" s="156" t="s">
        <v>402</v>
      </c>
      <c r="G18" s="393" t="s">
        <v>312</v>
      </c>
      <c r="H18" s="155" t="s">
        <v>318</v>
      </c>
      <c r="I18" s="155"/>
      <c r="J18" s="155">
        <v>1</v>
      </c>
      <c r="K18" s="55">
        <f>L18*0.75</f>
        <v>1125000</v>
      </c>
      <c r="L18" s="55">
        <v>1500000</v>
      </c>
      <c r="M18" s="164">
        <f>J18*K18</f>
        <v>1125000</v>
      </c>
      <c r="N18" s="158">
        <v>0</v>
      </c>
      <c r="O18" s="1365">
        <f>J18*L18/(1-N18)</f>
        <v>1500000</v>
      </c>
      <c r="P18" s="1366"/>
      <c r="Q18" s="1488" t="s">
        <v>403</v>
      </c>
      <c r="R18" s="1489"/>
      <c r="S18" s="204"/>
      <c r="T18" s="78"/>
      <c r="U18"/>
      <c r="V18"/>
      <c r="W18"/>
      <c r="X18"/>
      <c r="Y18"/>
      <c r="Z18"/>
      <c r="AA18"/>
      <c r="AB18"/>
      <c r="AC18"/>
      <c r="AD18"/>
      <c r="AE18"/>
      <c r="AF18"/>
    </row>
    <row r="19" spans="2:34" s="84" customFormat="1" ht="17.25" thickBot="1" x14ac:dyDescent="0.35">
      <c r="B19" s="365"/>
      <c r="C19" s="366"/>
      <c r="D19" s="366"/>
      <c r="E19" s="367"/>
      <c r="F19" s="156"/>
      <c r="G19" s="155"/>
      <c r="H19" s="155"/>
      <c r="I19" s="155"/>
      <c r="J19" s="186"/>
      <c r="K19" s="199"/>
      <c r="L19" s="55"/>
      <c r="M19" s="164"/>
      <c r="N19" s="158"/>
      <c r="O19" s="421"/>
      <c r="P19" s="422"/>
      <c r="Q19" s="427"/>
      <c r="R19" s="428"/>
      <c r="S19" s="204"/>
      <c r="T19" s="78"/>
      <c r="U19" s="83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2:34" s="82" customFormat="1" ht="17.25" thickBot="1" x14ac:dyDescent="0.35">
      <c r="B20" s="122" t="s">
        <v>2</v>
      </c>
      <c r="C20" s="116"/>
      <c r="D20" s="116"/>
      <c r="E20" s="117"/>
      <c r="F20" s="118" t="s">
        <v>266</v>
      </c>
      <c r="G20" s="383"/>
      <c r="H20" s="383"/>
      <c r="I20" s="383"/>
      <c r="J20" s="383"/>
      <c r="K20" s="383"/>
      <c r="L20" s="384"/>
      <c r="M20" s="121"/>
      <c r="N20" s="135"/>
      <c r="O20" s="1447"/>
      <c r="P20" s="1448"/>
      <c r="Q20" s="1586"/>
      <c r="R20" s="1587"/>
      <c r="S20" s="115"/>
      <c r="T20" s="273"/>
      <c r="U20" s="79"/>
    </row>
    <row r="21" spans="2:34" x14ac:dyDescent="0.3">
      <c r="B21" s="142"/>
      <c r="C21" s="143" t="s">
        <v>2</v>
      </c>
      <c r="D21" s="144"/>
      <c r="E21" s="145"/>
      <c r="F21" s="146" t="s">
        <v>279</v>
      </c>
      <c r="G21" s="144" t="s">
        <v>278</v>
      </c>
      <c r="H21" s="144" t="s">
        <v>80</v>
      </c>
      <c r="I21" s="144"/>
      <c r="J21" s="144">
        <v>1</v>
      </c>
      <c r="K21" s="157">
        <f t="shared" ref="K21:K24" si="4">L21*0.95</f>
        <v>2422500</v>
      </c>
      <c r="L21" s="147">
        <v>2550000</v>
      </c>
      <c r="M21" s="163">
        <f>J21*K21</f>
        <v>2422500</v>
      </c>
      <c r="N21" s="148">
        <v>0</v>
      </c>
      <c r="O21" s="1574">
        <f t="shared" ref="O21:O24" si="5">J21*L21/(1-N21)</f>
        <v>2550000</v>
      </c>
      <c r="P21" s="1575"/>
      <c r="Q21" s="1646"/>
      <c r="R21" s="1608"/>
      <c r="S21" s="287"/>
      <c r="T21" s="76"/>
      <c r="U21" s="3"/>
      <c r="V21" s="3"/>
      <c r="W21" s="79"/>
    </row>
    <row r="22" spans="2:34" x14ac:dyDescent="0.3">
      <c r="B22" s="149"/>
      <c r="C22" s="150"/>
      <c r="D22" s="150" t="s">
        <v>2</v>
      </c>
      <c r="E22" s="151"/>
      <c r="F22" s="156" t="s">
        <v>315</v>
      </c>
      <c r="G22" s="155" t="s">
        <v>311</v>
      </c>
      <c r="H22" s="155" t="s">
        <v>80</v>
      </c>
      <c r="I22" s="155"/>
      <c r="J22" s="155">
        <v>2</v>
      </c>
      <c r="K22" s="157">
        <f t="shared" si="4"/>
        <v>2242000</v>
      </c>
      <c r="L22" s="157">
        <v>2360000</v>
      </c>
      <c r="M22" s="164">
        <f t="shared" ref="M22:M24" si="6">J22*K22</f>
        <v>4484000</v>
      </c>
      <c r="N22" s="158">
        <v>0</v>
      </c>
      <c r="O22" s="1365">
        <f t="shared" si="5"/>
        <v>4720000</v>
      </c>
      <c r="P22" s="1366"/>
      <c r="Q22" s="1488" t="s">
        <v>352</v>
      </c>
      <c r="R22" s="1489"/>
      <c r="S22" s="152"/>
      <c r="T22" s="76"/>
      <c r="U22" s="79"/>
    </row>
    <row r="23" spans="2:34" x14ac:dyDescent="0.3">
      <c r="B23" s="149"/>
      <c r="C23" s="150"/>
      <c r="D23" s="150" t="s">
        <v>2</v>
      </c>
      <c r="E23" s="151"/>
      <c r="F23" s="156" t="s">
        <v>317</v>
      </c>
      <c r="G23" s="155" t="s">
        <v>316</v>
      </c>
      <c r="H23" s="155" t="s">
        <v>80</v>
      </c>
      <c r="I23" s="155"/>
      <c r="J23" s="155">
        <v>1</v>
      </c>
      <c r="K23" s="157">
        <f t="shared" si="4"/>
        <v>836000</v>
      </c>
      <c r="L23" s="157">
        <v>880000</v>
      </c>
      <c r="M23" s="164">
        <f t="shared" si="6"/>
        <v>836000</v>
      </c>
      <c r="N23" s="158">
        <v>0</v>
      </c>
      <c r="O23" s="1365">
        <f t="shared" si="5"/>
        <v>880000</v>
      </c>
      <c r="P23" s="1366"/>
      <c r="Q23" s="427"/>
      <c r="R23" s="428"/>
      <c r="S23" s="289"/>
      <c r="T23" s="76"/>
      <c r="U23" s="79"/>
    </row>
    <row r="24" spans="2:34" s="84" customFormat="1" x14ac:dyDescent="0.3">
      <c r="B24" s="365"/>
      <c r="C24" s="150"/>
      <c r="D24" s="150" t="s">
        <v>2</v>
      </c>
      <c r="E24" s="367"/>
      <c r="F24" s="156" t="s">
        <v>324</v>
      </c>
      <c r="G24" s="155" t="s">
        <v>323</v>
      </c>
      <c r="H24" s="155" t="s">
        <v>80</v>
      </c>
      <c r="I24" s="155"/>
      <c r="J24" s="186">
        <v>1</v>
      </c>
      <c r="K24" s="55">
        <f t="shared" si="4"/>
        <v>1624500</v>
      </c>
      <c r="L24" s="55">
        <v>1710000</v>
      </c>
      <c r="M24" s="164">
        <f t="shared" si="6"/>
        <v>1624500</v>
      </c>
      <c r="N24" s="158">
        <v>0</v>
      </c>
      <c r="O24" s="1365">
        <f t="shared" si="5"/>
        <v>1710000</v>
      </c>
      <c r="P24" s="1366"/>
      <c r="Q24" s="1488" t="s">
        <v>406</v>
      </c>
      <c r="R24" s="1489"/>
      <c r="S24" s="204"/>
      <c r="T24" s="78"/>
      <c r="U24"/>
      <c r="V24"/>
      <c r="W24"/>
      <c r="X24"/>
      <c r="Y24"/>
      <c r="Z24"/>
      <c r="AA24"/>
      <c r="AB24"/>
      <c r="AC24"/>
      <c r="AD24"/>
      <c r="AE24"/>
      <c r="AF24"/>
    </row>
    <row r="25" spans="2:34" s="84" customFormat="1" ht="17.25" thickBot="1" x14ac:dyDescent="0.35">
      <c r="B25" s="365"/>
      <c r="C25" s="366"/>
      <c r="D25" s="366"/>
      <c r="E25" s="367"/>
      <c r="F25" s="156"/>
      <c r="G25" s="155"/>
      <c r="H25" s="155"/>
      <c r="I25" s="155"/>
      <c r="J25" s="186"/>
      <c r="K25" s="199"/>
      <c r="L25" s="55"/>
      <c r="M25" s="164"/>
      <c r="N25" s="158"/>
      <c r="O25" s="421"/>
      <c r="P25" s="422"/>
      <c r="Q25" s="427"/>
      <c r="R25" s="428"/>
      <c r="S25" s="204"/>
      <c r="T25" s="78"/>
      <c r="U25" s="83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2:34" s="82" customFormat="1" ht="17.25" thickBot="1" x14ac:dyDescent="0.35">
      <c r="B26" s="122" t="s">
        <v>2</v>
      </c>
      <c r="C26" s="116"/>
      <c r="D26" s="116"/>
      <c r="E26" s="117"/>
      <c r="F26" s="118" t="s">
        <v>267</v>
      </c>
      <c r="G26" s="383"/>
      <c r="H26" s="383"/>
      <c r="I26" s="383"/>
      <c r="J26" s="383"/>
      <c r="K26" s="383"/>
      <c r="L26" s="384"/>
      <c r="M26" s="121"/>
      <c r="N26" s="135"/>
      <c r="O26" s="1447"/>
      <c r="P26" s="1448"/>
      <c r="Q26" s="1586"/>
      <c r="R26" s="1587"/>
      <c r="S26" s="115"/>
      <c r="T26" s="273"/>
      <c r="U26" s="79"/>
    </row>
    <row r="27" spans="2:34" s="82" customFormat="1" x14ac:dyDescent="0.3">
      <c r="B27" s="142"/>
      <c r="C27" s="143" t="s">
        <v>2</v>
      </c>
      <c r="D27" s="144"/>
      <c r="E27" s="145"/>
      <c r="F27" s="146" t="s">
        <v>58</v>
      </c>
      <c r="G27" s="144"/>
      <c r="H27" s="144"/>
      <c r="I27" s="144"/>
      <c r="J27" s="144">
        <v>1</v>
      </c>
      <c r="K27" s="157">
        <v>5000000</v>
      </c>
      <c r="L27" s="157">
        <v>5000000</v>
      </c>
      <c r="M27" s="163">
        <f>J27*K27</f>
        <v>5000000</v>
      </c>
      <c r="N27" s="148">
        <v>0.3</v>
      </c>
      <c r="O27" s="1574">
        <f t="shared" ref="O27:O40" si="7">J27*L27*(1+N27)</f>
        <v>6500000</v>
      </c>
      <c r="P27" s="1575"/>
      <c r="Q27" s="1646"/>
      <c r="R27" s="1608"/>
      <c r="S27" s="287"/>
      <c r="T27" s="273"/>
      <c r="U27" s="79"/>
    </row>
    <row r="28" spans="2:34" s="82" customFormat="1" x14ac:dyDescent="0.3">
      <c r="B28" s="181"/>
      <c r="C28" s="182"/>
      <c r="D28" s="182" t="s">
        <v>2</v>
      </c>
      <c r="E28" s="183"/>
      <c r="F28" s="156" t="s">
        <v>247</v>
      </c>
      <c r="G28" s="155" t="s">
        <v>248</v>
      </c>
      <c r="H28" s="155" t="s">
        <v>249</v>
      </c>
      <c r="I28" s="155" t="s">
        <v>249</v>
      </c>
      <c r="J28" s="155">
        <v>1</v>
      </c>
      <c r="K28" s="157">
        <v>500000</v>
      </c>
      <c r="L28" s="157">
        <v>500000</v>
      </c>
      <c r="M28" s="164">
        <f>J28*K28</f>
        <v>500000</v>
      </c>
      <c r="N28" s="158">
        <v>0.3</v>
      </c>
      <c r="O28" s="1365">
        <f t="shared" si="7"/>
        <v>650000</v>
      </c>
      <c r="P28" s="1366"/>
      <c r="Q28" s="427"/>
      <c r="R28" s="428"/>
      <c r="S28" s="152"/>
      <c r="T28" s="273"/>
      <c r="U28" s="79"/>
    </row>
    <row r="29" spans="2:34" s="82" customFormat="1" x14ac:dyDescent="0.3">
      <c r="B29" s="181"/>
      <c r="C29" s="182"/>
      <c r="D29" s="182" t="s">
        <v>2</v>
      </c>
      <c r="E29" s="183"/>
      <c r="F29" s="156" t="s">
        <v>250</v>
      </c>
      <c r="G29" s="155" t="s">
        <v>329</v>
      </c>
      <c r="H29" s="155" t="s">
        <v>330</v>
      </c>
      <c r="I29" s="155" t="s">
        <v>251</v>
      </c>
      <c r="J29" s="155">
        <v>1</v>
      </c>
      <c r="K29" s="157">
        <v>200000</v>
      </c>
      <c r="L29" s="157">
        <v>200000</v>
      </c>
      <c r="M29" s="164">
        <f>J29*K29</f>
        <v>200000</v>
      </c>
      <c r="N29" s="158">
        <v>0.3</v>
      </c>
      <c r="O29" s="1365">
        <f t="shared" si="7"/>
        <v>260000</v>
      </c>
      <c r="P29" s="1366"/>
      <c r="Q29" s="1488"/>
      <c r="R29" s="1489"/>
      <c r="S29" s="152"/>
      <c r="T29" s="273"/>
      <c r="U29" s="79"/>
    </row>
    <row r="30" spans="2:34" s="84" customFormat="1" x14ac:dyDescent="0.3">
      <c r="B30" s="181"/>
      <c r="C30" s="182"/>
      <c r="D30" s="182" t="s">
        <v>2</v>
      </c>
      <c r="E30" s="183"/>
      <c r="F30" s="156" t="s">
        <v>252</v>
      </c>
      <c r="G30" s="155" t="s">
        <v>253</v>
      </c>
      <c r="H30" s="155" t="s">
        <v>254</v>
      </c>
      <c r="I30" s="155" t="s">
        <v>254</v>
      </c>
      <c r="J30" s="186">
        <v>1</v>
      </c>
      <c r="K30" s="387">
        <v>3000000</v>
      </c>
      <c r="L30" s="387">
        <v>3000000</v>
      </c>
      <c r="M30" s="164">
        <f>J30*K30</f>
        <v>3000000</v>
      </c>
      <c r="N30" s="158">
        <v>0.3</v>
      </c>
      <c r="O30" s="1365">
        <f t="shared" si="7"/>
        <v>3900000</v>
      </c>
      <c r="P30" s="1366"/>
      <c r="Q30" s="427"/>
      <c r="R30" s="428"/>
      <c r="S30" s="204"/>
      <c r="T30" s="78"/>
      <c r="U30"/>
      <c r="V30"/>
      <c r="W30"/>
      <c r="X30"/>
      <c r="Y30"/>
      <c r="Z30"/>
      <c r="AA30"/>
      <c r="AB30"/>
      <c r="AC30"/>
      <c r="AD30"/>
      <c r="AE30"/>
      <c r="AF30"/>
    </row>
    <row r="31" spans="2:34" s="82" customFormat="1" x14ac:dyDescent="0.3">
      <c r="B31" s="149"/>
      <c r="C31" s="150"/>
      <c r="D31" s="155" t="s">
        <v>2</v>
      </c>
      <c r="E31" s="151"/>
      <c r="F31" s="156" t="s">
        <v>245</v>
      </c>
      <c r="G31" s="155" t="s">
        <v>246</v>
      </c>
      <c r="H31" s="155" t="s">
        <v>183</v>
      </c>
      <c r="I31" s="155"/>
      <c r="J31" s="155">
        <v>1</v>
      </c>
      <c r="K31" s="157">
        <v>200000</v>
      </c>
      <c r="L31" s="157">
        <v>200000</v>
      </c>
      <c r="M31" s="164">
        <f t="shared" ref="M31" si="8">J31*K31</f>
        <v>200000</v>
      </c>
      <c r="N31" s="158">
        <v>0.3</v>
      </c>
      <c r="O31" s="1365">
        <f t="shared" si="7"/>
        <v>260000</v>
      </c>
      <c r="P31" s="1366"/>
      <c r="Q31" s="1488"/>
      <c r="R31" s="1489"/>
      <c r="S31" s="152"/>
      <c r="T31" s="273"/>
      <c r="U31" s="79"/>
    </row>
    <row r="32" spans="2:34" s="84" customFormat="1" x14ac:dyDescent="0.3">
      <c r="B32" s="365"/>
      <c r="C32" s="291"/>
      <c r="D32" s="291" t="s">
        <v>2</v>
      </c>
      <c r="E32" s="367"/>
      <c r="F32" s="156" t="s">
        <v>343</v>
      </c>
      <c r="G32" s="155" t="s">
        <v>334</v>
      </c>
      <c r="H32" s="155" t="s">
        <v>328</v>
      </c>
      <c r="I32" s="155"/>
      <c r="J32" s="186">
        <v>1</v>
      </c>
      <c r="K32" s="169">
        <v>450000</v>
      </c>
      <c r="L32" s="169">
        <v>500000</v>
      </c>
      <c r="M32" s="164">
        <f>J32*K32</f>
        <v>450000</v>
      </c>
      <c r="N32" s="158">
        <v>0</v>
      </c>
      <c r="O32" s="1365">
        <f t="shared" si="7"/>
        <v>500000</v>
      </c>
      <c r="P32" s="1366"/>
      <c r="Q32" s="1488" t="s">
        <v>327</v>
      </c>
      <c r="R32" s="1489"/>
      <c r="S32" s="204"/>
      <c r="T32" s="78"/>
      <c r="U32"/>
      <c r="V32"/>
      <c r="W32"/>
      <c r="X32"/>
      <c r="Y32"/>
      <c r="Z32"/>
      <c r="AA32"/>
      <c r="AB32"/>
      <c r="AC32"/>
      <c r="AD32"/>
      <c r="AE32"/>
      <c r="AF32"/>
    </row>
    <row r="33" spans="2:32" s="82" customFormat="1" x14ac:dyDescent="0.3">
      <c r="B33" s="181"/>
      <c r="C33" s="182" t="s">
        <v>2</v>
      </c>
      <c r="D33" s="366"/>
      <c r="E33" s="183"/>
      <c r="F33" s="388" t="s">
        <v>268</v>
      </c>
      <c r="G33" s="182"/>
      <c r="H33" s="182"/>
      <c r="I33" s="155"/>
      <c r="J33" s="155">
        <v>1</v>
      </c>
      <c r="K33" s="157"/>
      <c r="L33" s="157"/>
      <c r="M33" s="164">
        <f t="shared" ref="M33:M36" si="9">J33*K33</f>
        <v>0</v>
      </c>
      <c r="N33" s="158">
        <v>0.3</v>
      </c>
      <c r="O33" s="1365">
        <f t="shared" si="7"/>
        <v>0</v>
      </c>
      <c r="P33" s="1366"/>
      <c r="Q33" s="427"/>
      <c r="R33" s="428"/>
      <c r="S33" s="152"/>
      <c r="T33" s="273"/>
      <c r="U33" s="79"/>
    </row>
    <row r="34" spans="2:32" s="82" customFormat="1" x14ac:dyDescent="0.3">
      <c r="B34" s="181"/>
      <c r="C34" s="182"/>
      <c r="D34" s="182" t="s">
        <v>2</v>
      </c>
      <c r="E34" s="183"/>
      <c r="F34" s="388" t="s">
        <v>284</v>
      </c>
      <c r="G34" s="182"/>
      <c r="H34" s="182"/>
      <c r="I34" s="155"/>
      <c r="J34" s="155">
        <v>1</v>
      </c>
      <c r="K34" s="157">
        <v>1000000</v>
      </c>
      <c r="L34" s="157">
        <v>1000000</v>
      </c>
      <c r="M34" s="164">
        <f>J34*K34</f>
        <v>1000000</v>
      </c>
      <c r="N34" s="158">
        <v>0.3</v>
      </c>
      <c r="O34" s="1365">
        <f t="shared" si="7"/>
        <v>1300000</v>
      </c>
      <c r="P34" s="1366"/>
      <c r="Q34" s="427"/>
      <c r="R34" s="428"/>
      <c r="S34" s="152"/>
      <c r="T34" s="273"/>
      <c r="U34" s="79"/>
    </row>
    <row r="35" spans="2:32" s="82" customFormat="1" x14ac:dyDescent="0.3">
      <c r="B35" s="181"/>
      <c r="C35" s="182"/>
      <c r="D35" s="182" t="s">
        <v>2</v>
      </c>
      <c r="E35" s="183"/>
      <c r="F35" s="388" t="s">
        <v>269</v>
      </c>
      <c r="G35" s="182" t="s">
        <v>270</v>
      </c>
      <c r="H35" s="182" t="s">
        <v>271</v>
      </c>
      <c r="I35" s="155"/>
      <c r="J35" s="155">
        <f>6*3</f>
        <v>18</v>
      </c>
      <c r="K35" s="157">
        <v>120000</v>
      </c>
      <c r="L35" s="157">
        <v>120000</v>
      </c>
      <c r="M35" s="164">
        <f t="shared" si="9"/>
        <v>2160000</v>
      </c>
      <c r="N35" s="158">
        <v>0.3</v>
      </c>
      <c r="O35" s="1365">
        <f t="shared" si="7"/>
        <v>2808000</v>
      </c>
      <c r="P35" s="1366"/>
      <c r="Q35" s="1488"/>
      <c r="R35" s="1489"/>
      <c r="S35" s="152"/>
      <c r="T35" s="273"/>
      <c r="U35" s="79"/>
    </row>
    <row r="36" spans="2:32" s="82" customFormat="1" x14ac:dyDescent="0.3">
      <c r="B36" s="181"/>
      <c r="C36" s="182"/>
      <c r="D36" s="182" t="s">
        <v>2</v>
      </c>
      <c r="E36" s="183"/>
      <c r="F36" s="388" t="s">
        <v>272</v>
      </c>
      <c r="G36" s="366" t="s">
        <v>286</v>
      </c>
      <c r="H36" s="366" t="s">
        <v>287</v>
      </c>
      <c r="I36" s="155"/>
      <c r="J36" s="155">
        <v>1</v>
      </c>
      <c r="K36" s="157">
        <v>230000</v>
      </c>
      <c r="L36" s="157">
        <v>230000</v>
      </c>
      <c r="M36" s="164">
        <f t="shared" si="9"/>
        <v>230000</v>
      </c>
      <c r="N36" s="158">
        <v>0.3</v>
      </c>
      <c r="O36" s="1365">
        <f t="shared" si="7"/>
        <v>299000</v>
      </c>
      <c r="P36" s="1366"/>
      <c r="Q36" s="1488" t="s">
        <v>363</v>
      </c>
      <c r="R36" s="1489"/>
      <c r="S36" s="152"/>
      <c r="T36" s="273"/>
      <c r="U36" s="79"/>
    </row>
    <row r="37" spans="2:32" s="82" customFormat="1" x14ac:dyDescent="0.3">
      <c r="B37" s="181"/>
      <c r="C37" s="182"/>
      <c r="D37" s="182" t="s">
        <v>2</v>
      </c>
      <c r="E37" s="183"/>
      <c r="F37" s="389" t="s">
        <v>355</v>
      </c>
      <c r="G37" s="366" t="s">
        <v>285</v>
      </c>
      <c r="H37" s="366" t="s">
        <v>277</v>
      </c>
      <c r="I37" s="155"/>
      <c r="J37" s="155">
        <v>1</v>
      </c>
      <c r="K37" s="157">
        <v>70000</v>
      </c>
      <c r="L37" s="157">
        <v>70000</v>
      </c>
      <c r="M37" s="164">
        <f>J37*K37</f>
        <v>70000</v>
      </c>
      <c r="N37" s="158">
        <v>0.3</v>
      </c>
      <c r="O37" s="1365">
        <f t="shared" si="7"/>
        <v>91000</v>
      </c>
      <c r="P37" s="1366"/>
      <c r="Q37" s="1488" t="s">
        <v>362</v>
      </c>
      <c r="R37" s="1489"/>
      <c r="S37" s="152"/>
      <c r="T37" s="273"/>
      <c r="U37" s="79"/>
    </row>
    <row r="38" spans="2:32" s="82" customFormat="1" x14ac:dyDescent="0.3">
      <c r="B38" s="181"/>
      <c r="C38" s="182"/>
      <c r="D38" s="182" t="s">
        <v>2</v>
      </c>
      <c r="E38" s="183"/>
      <c r="F38" s="388" t="s">
        <v>354</v>
      </c>
      <c r="G38" s="366" t="s">
        <v>353</v>
      </c>
      <c r="H38" s="182" t="s">
        <v>277</v>
      </c>
      <c r="I38" s="155"/>
      <c r="J38" s="155">
        <v>1</v>
      </c>
      <c r="K38" s="157">
        <v>70000</v>
      </c>
      <c r="L38" s="157">
        <v>70000</v>
      </c>
      <c r="M38" s="164">
        <f>J38*K38</f>
        <v>70000</v>
      </c>
      <c r="N38" s="158">
        <v>0.3</v>
      </c>
      <c r="O38" s="1365">
        <f t="shared" si="7"/>
        <v>91000</v>
      </c>
      <c r="P38" s="1366"/>
      <c r="Q38" s="1488" t="s">
        <v>362</v>
      </c>
      <c r="R38" s="1489"/>
      <c r="S38" s="152"/>
      <c r="T38" s="273"/>
    </row>
    <row r="39" spans="2:32" s="82" customFormat="1" x14ac:dyDescent="0.3">
      <c r="B39" s="181"/>
      <c r="C39" s="182"/>
      <c r="D39" s="182" t="s">
        <v>2</v>
      </c>
      <c r="E39" s="183"/>
      <c r="F39" s="388" t="s">
        <v>357</v>
      </c>
      <c r="G39" s="366" t="s">
        <v>285</v>
      </c>
      <c r="H39" s="182" t="s">
        <v>277</v>
      </c>
      <c r="I39" s="155"/>
      <c r="J39" s="155">
        <v>1</v>
      </c>
      <c r="K39" s="157">
        <v>70000</v>
      </c>
      <c r="L39" s="157">
        <v>70000</v>
      </c>
      <c r="M39" s="157">
        <v>70000</v>
      </c>
      <c r="N39" s="158">
        <v>0.3</v>
      </c>
      <c r="O39" s="1365">
        <f t="shared" si="7"/>
        <v>91000</v>
      </c>
      <c r="P39" s="1366"/>
      <c r="Q39" s="1488" t="s">
        <v>361</v>
      </c>
      <c r="R39" s="1489"/>
      <c r="S39" s="152"/>
      <c r="T39" s="273"/>
      <c r="U39" s="79"/>
    </row>
    <row r="40" spans="2:32" s="82" customFormat="1" x14ac:dyDescent="0.3">
      <c r="B40" s="181"/>
      <c r="C40" s="182" t="s">
        <v>2</v>
      </c>
      <c r="D40" s="366"/>
      <c r="E40" s="183"/>
      <c r="F40" s="388" t="s">
        <v>338</v>
      </c>
      <c r="G40" s="182"/>
      <c r="H40" s="182"/>
      <c r="I40" s="155"/>
      <c r="J40" s="155">
        <v>1</v>
      </c>
      <c r="K40" s="157">
        <v>3000000</v>
      </c>
      <c r="L40" s="157">
        <v>3000000</v>
      </c>
      <c r="M40" s="164">
        <f>J40*K40</f>
        <v>3000000</v>
      </c>
      <c r="N40" s="158">
        <v>0.3</v>
      </c>
      <c r="O40" s="1365">
        <f t="shared" si="7"/>
        <v>3900000</v>
      </c>
      <c r="P40" s="1366"/>
      <c r="Q40" s="427"/>
      <c r="R40" s="428"/>
      <c r="S40" s="152"/>
      <c r="T40" s="273"/>
      <c r="U40"/>
      <c r="V40"/>
      <c r="W40" s="79"/>
    </row>
    <row r="41" spans="2:32" s="84" customFormat="1" ht="17.25" thickBot="1" x14ac:dyDescent="0.35">
      <c r="B41" s="365"/>
      <c r="C41" s="366"/>
      <c r="D41" s="366"/>
      <c r="E41" s="367"/>
      <c r="F41" s="156"/>
      <c r="G41" s="155"/>
      <c r="H41" s="155"/>
      <c r="I41" s="155"/>
      <c r="J41" s="186"/>
      <c r="K41" s="199"/>
      <c r="L41" s="55"/>
      <c r="M41" s="164"/>
      <c r="N41" s="158"/>
      <c r="O41" s="421"/>
      <c r="P41" s="422"/>
      <c r="Q41" s="427"/>
      <c r="R41" s="428"/>
      <c r="S41" s="204"/>
      <c r="T41" s="78"/>
      <c r="U41"/>
      <c r="V41"/>
      <c r="W41"/>
      <c r="X41"/>
      <c r="Y41"/>
      <c r="Z41"/>
      <c r="AA41"/>
      <c r="AB41"/>
      <c r="AC41"/>
      <c r="AD41"/>
      <c r="AE41"/>
      <c r="AF41"/>
    </row>
    <row r="42" spans="2:32" s="84" customFormat="1" ht="18" thickBot="1" x14ac:dyDescent="0.35">
      <c r="B42" s="1338" t="s">
        <v>53</v>
      </c>
      <c r="C42" s="1339"/>
      <c r="D42" s="1339"/>
      <c r="E42" s="1339"/>
      <c r="F42" s="1339"/>
      <c r="G42" s="1339"/>
      <c r="H42" s="1339"/>
      <c r="I42" s="1339"/>
      <c r="J42" s="1339"/>
      <c r="K42" s="1339"/>
      <c r="L42" s="1340"/>
      <c r="M42" s="123">
        <f>SUM(M5:M41)</f>
        <v>142707000</v>
      </c>
      <c r="N42" s="136"/>
      <c r="O42" s="1341">
        <f>SUM(O5:P41)</f>
        <v>187030000</v>
      </c>
      <c r="P42" s="1342"/>
      <c r="Q42" s="1343"/>
      <c r="R42" s="1344"/>
      <c r="S42" s="130"/>
      <c r="T42" s="78"/>
      <c r="U42"/>
      <c r="V42"/>
      <c r="W42"/>
      <c r="X42"/>
      <c r="Y42"/>
      <c r="Z42"/>
      <c r="AA42"/>
      <c r="AB42"/>
      <c r="AC42"/>
      <c r="AD42"/>
      <c r="AE42"/>
      <c r="AF42"/>
    </row>
    <row r="43" spans="2:32" s="84" customFormat="1" ht="17.25" thickBot="1" x14ac:dyDescent="0.35">
      <c r="B43" s="122" t="s">
        <v>2</v>
      </c>
      <c r="C43" s="116"/>
      <c r="D43" s="116"/>
      <c r="E43" s="117"/>
      <c r="F43" s="118" t="s">
        <v>242</v>
      </c>
      <c r="G43" s="119"/>
      <c r="H43" s="119"/>
      <c r="I43" s="119"/>
      <c r="J43" s="119"/>
      <c r="K43" s="119"/>
      <c r="L43" s="120"/>
      <c r="M43" s="121"/>
      <c r="N43" s="135"/>
      <c r="O43" s="1447"/>
      <c r="P43" s="1448"/>
      <c r="Q43" s="1326"/>
      <c r="R43" s="1327"/>
      <c r="S43" s="115"/>
      <c r="T43" s="78"/>
      <c r="U43"/>
      <c r="V43"/>
      <c r="W43"/>
      <c r="X43"/>
      <c r="Y43"/>
      <c r="Z43"/>
      <c r="AA43"/>
      <c r="AB43"/>
      <c r="AC43"/>
      <c r="AD43"/>
      <c r="AE43"/>
      <c r="AF43"/>
    </row>
    <row r="44" spans="2:32" s="84" customFormat="1" x14ac:dyDescent="0.3">
      <c r="B44" s="131"/>
      <c r="C44" s="132" t="s">
        <v>73</v>
      </c>
      <c r="D44" s="133"/>
      <c r="E44" s="165"/>
      <c r="F44" s="227" t="s">
        <v>319</v>
      </c>
      <c r="G44" s="222" t="s">
        <v>94</v>
      </c>
      <c r="H44" s="222" t="s">
        <v>130</v>
      </c>
      <c r="I44" s="222" t="s">
        <v>131</v>
      </c>
      <c r="J44" s="371">
        <v>10</v>
      </c>
      <c r="K44" s="55">
        <v>307000</v>
      </c>
      <c r="L44" s="55">
        <v>307000</v>
      </c>
      <c r="M44" s="230">
        <f t="shared" ref="M44:M45" si="10">J44*K44</f>
        <v>3070000</v>
      </c>
      <c r="N44" s="148"/>
      <c r="O44" s="1365">
        <f t="shared" ref="O44:O45" si="11">L44*J44</f>
        <v>3070000</v>
      </c>
      <c r="P44" s="1366"/>
      <c r="Q44" s="1492"/>
      <c r="R44" s="1493"/>
      <c r="S44" s="207"/>
      <c r="T44" s="78"/>
      <c r="U44"/>
      <c r="V44"/>
      <c r="W44"/>
      <c r="X44"/>
      <c r="Y44"/>
      <c r="Z44"/>
      <c r="AA44"/>
      <c r="AB44"/>
      <c r="AC44"/>
      <c r="AD44"/>
      <c r="AE44"/>
      <c r="AF44"/>
    </row>
    <row r="45" spans="2:32" s="84" customFormat="1" x14ac:dyDescent="0.3">
      <c r="B45" s="208"/>
      <c r="C45" s="209" t="s">
        <v>73</v>
      </c>
      <c r="D45" s="210"/>
      <c r="E45" s="211"/>
      <c r="F45" s="228" t="s">
        <v>320</v>
      </c>
      <c r="G45" s="223" t="s">
        <v>94</v>
      </c>
      <c r="H45" s="223" t="s">
        <v>130</v>
      </c>
      <c r="I45" s="223" t="s">
        <v>131</v>
      </c>
      <c r="J45" s="372">
        <v>25</v>
      </c>
      <c r="K45" s="55">
        <v>307000</v>
      </c>
      <c r="L45" s="55">
        <v>307000</v>
      </c>
      <c r="M45" s="231">
        <f t="shared" si="10"/>
        <v>7675000</v>
      </c>
      <c r="N45" s="158"/>
      <c r="O45" s="1365">
        <f t="shared" si="11"/>
        <v>7675000</v>
      </c>
      <c r="P45" s="1366"/>
      <c r="Q45" s="1494"/>
      <c r="R45" s="1495"/>
      <c r="S45" s="212"/>
      <c r="T45" s="78"/>
      <c r="U45"/>
      <c r="V45"/>
      <c r="W45"/>
      <c r="X45"/>
      <c r="Y45"/>
      <c r="Z45"/>
      <c r="AA45"/>
      <c r="AB45"/>
      <c r="AC45"/>
      <c r="AD45"/>
      <c r="AE45"/>
      <c r="AF45"/>
    </row>
    <row r="46" spans="2:32" s="84" customFormat="1" ht="17.25" thickBot="1" x14ac:dyDescent="0.35">
      <c r="B46" s="213"/>
      <c r="C46" s="214"/>
      <c r="D46" s="215"/>
      <c r="E46" s="216"/>
      <c r="F46" s="229"/>
      <c r="G46" s="224"/>
      <c r="H46" s="224"/>
      <c r="I46" s="224"/>
      <c r="J46" s="373"/>
      <c r="K46" s="225"/>
      <c r="L46" s="225"/>
      <c r="M46" s="226"/>
      <c r="N46" s="162"/>
      <c r="O46" s="1365">
        <f t="shared" ref="O46" si="12">L46</f>
        <v>0</v>
      </c>
      <c r="P46" s="1366"/>
      <c r="Q46" s="1453"/>
      <c r="R46" s="1454"/>
      <c r="S46" s="217"/>
      <c r="T46" s="78"/>
      <c r="U46"/>
      <c r="V46"/>
      <c r="W46"/>
      <c r="X46"/>
      <c r="Y46"/>
      <c r="Z46"/>
      <c r="AA46"/>
      <c r="AB46"/>
      <c r="AC46"/>
      <c r="AD46"/>
      <c r="AE46"/>
      <c r="AF46"/>
    </row>
    <row r="47" spans="2:32" ht="17.25" thickBot="1" x14ac:dyDescent="0.35">
      <c r="B47" s="122" t="s">
        <v>2</v>
      </c>
      <c r="C47" s="116"/>
      <c r="D47" s="116"/>
      <c r="E47" s="117"/>
      <c r="F47" s="218" t="s">
        <v>243</v>
      </c>
      <c r="G47" s="219"/>
      <c r="H47" s="219"/>
      <c r="I47" s="219"/>
      <c r="J47" s="219"/>
      <c r="K47" s="220"/>
      <c r="L47" s="220"/>
      <c r="M47" s="221"/>
      <c r="N47" s="135"/>
      <c r="O47" s="1447"/>
      <c r="P47" s="1448"/>
      <c r="Q47" s="1447"/>
      <c r="R47" s="1448"/>
      <c r="S47" s="115"/>
      <c r="T47" s="7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</row>
    <row r="48" spans="2:32" x14ac:dyDescent="0.3">
      <c r="B48" s="64"/>
      <c r="C48" s="65" t="s">
        <v>2</v>
      </c>
      <c r="D48" s="65"/>
      <c r="E48" s="66"/>
      <c r="F48" s="88" t="s">
        <v>7</v>
      </c>
      <c r="G48" s="85"/>
      <c r="H48" s="223" t="s">
        <v>130</v>
      </c>
      <c r="I48" s="223" t="s">
        <v>131</v>
      </c>
      <c r="J48" s="80">
        <v>5</v>
      </c>
      <c r="K48" s="55">
        <v>307000</v>
      </c>
      <c r="L48" s="55">
        <v>307000</v>
      </c>
      <c r="M48" s="112">
        <f>K48*J48</f>
        <v>1535000</v>
      </c>
      <c r="N48" s="137"/>
      <c r="O48" s="1365">
        <f t="shared" ref="O48:O54" si="13">L48*J48</f>
        <v>1535000</v>
      </c>
      <c r="P48" s="1366"/>
      <c r="Q48" s="1359" t="s">
        <v>62</v>
      </c>
      <c r="R48" s="1360"/>
      <c r="S48" s="94"/>
      <c r="T48" s="73"/>
    </row>
    <row r="49" spans="2:32" x14ac:dyDescent="0.3">
      <c r="B49" s="62"/>
      <c r="C49" s="63" t="s">
        <v>2</v>
      </c>
      <c r="D49" s="63"/>
      <c r="E49" s="61"/>
      <c r="F49" s="89" t="s">
        <v>11</v>
      </c>
      <c r="G49" s="86"/>
      <c r="H49" s="223" t="s">
        <v>130</v>
      </c>
      <c r="I49" s="223" t="s">
        <v>131</v>
      </c>
      <c r="J49" s="56">
        <v>3</v>
      </c>
      <c r="K49" s="55">
        <v>307000</v>
      </c>
      <c r="L49" s="55">
        <v>307000</v>
      </c>
      <c r="M49" s="113">
        <f t="shared" ref="M49:M54" si="14">K49*J49</f>
        <v>921000</v>
      </c>
      <c r="N49" s="138"/>
      <c r="O49" s="1365">
        <f t="shared" si="13"/>
        <v>921000</v>
      </c>
      <c r="P49" s="1366"/>
      <c r="Q49" s="1361"/>
      <c r="R49" s="1362"/>
      <c r="S49" s="95"/>
      <c r="T49" s="73"/>
    </row>
    <row r="50" spans="2:32" x14ac:dyDescent="0.3">
      <c r="B50" s="62"/>
      <c r="C50" s="63" t="s">
        <v>2</v>
      </c>
      <c r="D50" s="63"/>
      <c r="E50" s="61"/>
      <c r="F50" s="89" t="s">
        <v>41</v>
      </c>
      <c r="G50" s="86"/>
      <c r="H50" s="223" t="s">
        <v>130</v>
      </c>
      <c r="I50" s="223" t="s">
        <v>131</v>
      </c>
      <c r="J50" s="56">
        <v>5</v>
      </c>
      <c r="K50" s="55">
        <v>307000</v>
      </c>
      <c r="L50" s="55">
        <v>307000</v>
      </c>
      <c r="M50" s="113">
        <f t="shared" si="14"/>
        <v>1535000</v>
      </c>
      <c r="N50" s="138"/>
      <c r="O50" s="1365">
        <f t="shared" si="13"/>
        <v>1535000</v>
      </c>
      <c r="P50" s="1366"/>
      <c r="Q50" s="1361"/>
      <c r="R50" s="1362"/>
      <c r="S50" s="95"/>
      <c r="T50" s="73"/>
    </row>
    <row r="51" spans="2:32" x14ac:dyDescent="0.3">
      <c r="B51" s="62"/>
      <c r="C51" s="63" t="s">
        <v>2</v>
      </c>
      <c r="D51" s="63"/>
      <c r="E51" s="61"/>
      <c r="F51" s="89" t="s">
        <v>10</v>
      </c>
      <c r="G51" s="86"/>
      <c r="H51" s="223" t="s">
        <v>130</v>
      </c>
      <c r="I51" s="223" t="s">
        <v>131</v>
      </c>
      <c r="J51" s="56">
        <v>3</v>
      </c>
      <c r="K51" s="55">
        <v>307000</v>
      </c>
      <c r="L51" s="55">
        <v>307000</v>
      </c>
      <c r="M51" s="113">
        <f t="shared" si="14"/>
        <v>921000</v>
      </c>
      <c r="N51" s="138"/>
      <c r="O51" s="1365">
        <f t="shared" si="13"/>
        <v>921000</v>
      </c>
      <c r="P51" s="1366"/>
      <c r="Q51" s="1361"/>
      <c r="R51" s="1362"/>
      <c r="S51" s="95"/>
      <c r="T51" s="74"/>
    </row>
    <row r="52" spans="2:32" x14ac:dyDescent="0.3">
      <c r="B52" s="62"/>
      <c r="C52" s="63" t="s">
        <v>2</v>
      </c>
      <c r="D52" s="63"/>
      <c r="E52" s="61"/>
      <c r="F52" s="89" t="s">
        <v>61</v>
      </c>
      <c r="G52" s="86"/>
      <c r="H52" s="223" t="s">
        <v>130</v>
      </c>
      <c r="I52" s="223" t="s">
        <v>131</v>
      </c>
      <c r="J52" s="56">
        <v>2</v>
      </c>
      <c r="K52" s="55">
        <v>307000</v>
      </c>
      <c r="L52" s="55">
        <v>307000</v>
      </c>
      <c r="M52" s="113">
        <f t="shared" si="14"/>
        <v>614000</v>
      </c>
      <c r="N52" s="138"/>
      <c r="O52" s="1365">
        <f t="shared" si="13"/>
        <v>614000</v>
      </c>
      <c r="P52" s="1366"/>
      <c r="Q52" s="1361"/>
      <c r="R52" s="1362"/>
      <c r="S52" s="95"/>
    </row>
    <row r="53" spans="2:32" x14ac:dyDescent="0.3">
      <c r="B53" s="67"/>
      <c r="C53" s="63" t="s">
        <v>2</v>
      </c>
      <c r="D53" s="68"/>
      <c r="E53" s="69"/>
      <c r="F53" s="90" t="s">
        <v>9</v>
      </c>
      <c r="G53" s="86"/>
      <c r="H53" s="223" t="s">
        <v>130</v>
      </c>
      <c r="I53" s="223" t="s">
        <v>131</v>
      </c>
      <c r="J53" s="56">
        <v>5</v>
      </c>
      <c r="K53" s="55">
        <v>307000</v>
      </c>
      <c r="L53" s="55">
        <v>307000</v>
      </c>
      <c r="M53" s="113">
        <f t="shared" si="14"/>
        <v>1535000</v>
      </c>
      <c r="N53" s="138"/>
      <c r="O53" s="1365">
        <f t="shared" si="13"/>
        <v>1535000</v>
      </c>
      <c r="P53" s="1366"/>
      <c r="Q53" s="1361"/>
      <c r="R53" s="1362"/>
      <c r="S53" s="95"/>
    </row>
    <row r="54" spans="2:32" ht="17.25" thickBot="1" x14ac:dyDescent="0.35">
      <c r="B54" s="57"/>
      <c r="C54" s="58" t="s">
        <v>2</v>
      </c>
      <c r="D54" s="58"/>
      <c r="E54" s="60"/>
      <c r="F54" s="91" t="s">
        <v>8</v>
      </c>
      <c r="G54" s="87"/>
      <c r="H54" s="223" t="s">
        <v>130</v>
      </c>
      <c r="I54" s="223" t="s">
        <v>131</v>
      </c>
      <c r="J54" s="59">
        <v>2</v>
      </c>
      <c r="K54" s="55">
        <v>307000</v>
      </c>
      <c r="L54" s="55">
        <v>307000</v>
      </c>
      <c r="M54" s="114">
        <f t="shared" si="14"/>
        <v>614000</v>
      </c>
      <c r="N54" s="139"/>
      <c r="O54" s="1365">
        <f t="shared" si="13"/>
        <v>614000</v>
      </c>
      <c r="P54" s="1366"/>
      <c r="Q54" s="1363"/>
      <c r="R54" s="1364"/>
      <c r="S54" s="96"/>
    </row>
    <row r="55" spans="2:32" ht="18" thickBot="1" x14ac:dyDescent="0.35">
      <c r="B55" s="1345" t="s">
        <v>46</v>
      </c>
      <c r="C55" s="1346"/>
      <c r="D55" s="1346"/>
      <c r="E55" s="1346"/>
      <c r="F55" s="1346"/>
      <c r="G55" s="1346"/>
      <c r="H55" s="1346"/>
      <c r="I55" s="1346"/>
      <c r="J55" s="1346"/>
      <c r="K55" s="1346"/>
      <c r="L55" s="1347"/>
      <c r="M55" s="124">
        <f>SUM(M43:M54)</f>
        <v>18420000</v>
      </c>
      <c r="N55" s="140"/>
      <c r="O55" s="1348">
        <f>SUM(O43:P54)</f>
        <v>18420000</v>
      </c>
      <c r="P55" s="1349"/>
      <c r="Q55" s="1350"/>
      <c r="R55" s="1350"/>
      <c r="S55" s="1351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0.25" thickBot="1" x14ac:dyDescent="0.35">
      <c r="B56" s="1352" t="s">
        <v>52</v>
      </c>
      <c r="C56" s="1353"/>
      <c r="D56" s="1353"/>
      <c r="E56" s="1353"/>
      <c r="F56" s="1353"/>
      <c r="G56" s="1353"/>
      <c r="H56" s="1353"/>
      <c r="I56" s="1353"/>
      <c r="J56" s="1353"/>
      <c r="K56" s="1353"/>
      <c r="L56" s="1353"/>
      <c r="M56" s="125"/>
      <c r="N56" s="134">
        <v>0.03</v>
      </c>
      <c r="O56" s="1354">
        <f>ROUNDDOWN(O42*N56,-3)</f>
        <v>5610000</v>
      </c>
      <c r="P56" s="1355"/>
      <c r="Q56" s="1356"/>
      <c r="R56" s="1357"/>
      <c r="S56" s="1358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0.25" thickBot="1" x14ac:dyDescent="0.35">
      <c r="B57" s="1352" t="s">
        <v>54</v>
      </c>
      <c r="C57" s="1353"/>
      <c r="D57" s="1353"/>
      <c r="E57" s="1353"/>
      <c r="F57" s="1353"/>
      <c r="G57" s="1353"/>
      <c r="H57" s="1353"/>
      <c r="I57" s="1353"/>
      <c r="J57" s="1353"/>
      <c r="K57" s="1353"/>
      <c r="L57" s="1353"/>
      <c r="M57" s="127"/>
      <c r="N57" s="128"/>
      <c r="O57" s="1354">
        <f>SUM(O56,O55,O42)</f>
        <v>211060000</v>
      </c>
      <c r="P57" s="1355"/>
      <c r="Q57" s="1374"/>
      <c r="R57" s="1375"/>
      <c r="S57" s="1376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0.25" thickBot="1" x14ac:dyDescent="0.35">
      <c r="B58" s="1352" t="s">
        <v>51</v>
      </c>
      <c r="C58" s="1353"/>
      <c r="D58" s="1353"/>
      <c r="E58" s="1353"/>
      <c r="F58" s="1353"/>
      <c r="G58" s="1353"/>
      <c r="H58" s="1353"/>
      <c r="I58" s="1353"/>
      <c r="J58" s="1353"/>
      <c r="K58" s="1353"/>
      <c r="L58" s="1353"/>
      <c r="M58" s="129"/>
      <c r="N58" s="126">
        <v>0.1</v>
      </c>
      <c r="O58" s="1381">
        <f>ROUNDDOWN(O57*N58,-3)</f>
        <v>21106000</v>
      </c>
      <c r="P58" s="1382"/>
      <c r="Q58" s="1383"/>
      <c r="R58" s="1384"/>
      <c r="S58" s="1385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1" thickBot="1" x14ac:dyDescent="0.35">
      <c r="B59" s="1367" t="s">
        <v>44</v>
      </c>
      <c r="C59" s="1368"/>
      <c r="D59" s="1368"/>
      <c r="E59" s="1368"/>
      <c r="F59" s="1368"/>
      <c r="G59" s="1368"/>
      <c r="H59" s="1368"/>
      <c r="I59" s="1368"/>
      <c r="J59" s="1368"/>
      <c r="K59" s="1368"/>
      <c r="L59" s="1368"/>
      <c r="M59" s="92"/>
      <c r="N59" s="111"/>
      <c r="O59" s="1369">
        <f>ROUNDDOWN(SUM(O57:P58), -6)</f>
        <v>232000000</v>
      </c>
      <c r="P59" s="1370"/>
      <c r="Q59" s="1371"/>
      <c r="R59" s="1372"/>
      <c r="S59" s="137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1" thickBot="1" x14ac:dyDescent="0.35">
      <c r="B60" s="104"/>
      <c r="C60" s="104"/>
      <c r="D60" s="104"/>
      <c r="E60" s="104"/>
      <c r="F60" s="105"/>
      <c r="G60" s="105"/>
      <c r="H60" s="105"/>
      <c r="I60" s="105"/>
      <c r="J60" s="105"/>
      <c r="K60" s="105"/>
      <c r="L60" s="105"/>
      <c r="M60" s="106"/>
      <c r="N60" s="107"/>
      <c r="O60" s="107"/>
      <c r="P60" s="107"/>
      <c r="Q60" s="108"/>
      <c r="R60" s="108"/>
      <c r="S60" s="108"/>
    </row>
    <row r="61" spans="2:32" ht="18" customHeight="1" thickBot="1" x14ac:dyDescent="0.35">
      <c r="B61" s="1374" t="s">
        <v>50</v>
      </c>
      <c r="C61" s="1375"/>
      <c r="D61" s="1375"/>
      <c r="E61" s="1376"/>
      <c r="F61" s="109"/>
      <c r="G61" s="109"/>
      <c r="H61" s="109"/>
      <c r="I61" s="109"/>
      <c r="J61" s="109"/>
      <c r="K61" s="110"/>
      <c r="L61" s="110"/>
      <c r="M61" s="110"/>
      <c r="N61" s="77" t="s">
        <v>14</v>
      </c>
      <c r="O61" s="1377" t="s">
        <v>15</v>
      </c>
      <c r="P61" s="1378"/>
      <c r="Q61" s="1379" t="s">
        <v>17</v>
      </c>
      <c r="R61" s="1380"/>
      <c r="S61" s="166" t="s">
        <v>16</v>
      </c>
    </row>
    <row r="62" spans="2:32" ht="18" customHeight="1" x14ac:dyDescent="0.3">
      <c r="B62" s="102">
        <v>1</v>
      </c>
      <c r="C62" s="1400"/>
      <c r="D62" s="1401"/>
      <c r="E62" s="1401"/>
      <c r="F62" s="1401"/>
      <c r="G62" s="1401"/>
      <c r="H62" s="1401"/>
      <c r="I62" s="1401"/>
      <c r="J62" s="1402"/>
      <c r="N62" s="11">
        <v>0</v>
      </c>
      <c r="O62" s="1403">
        <f>$O$59/(1+N62)</f>
        <v>232000000</v>
      </c>
      <c r="P62" s="1404"/>
      <c r="Q62" s="1405">
        <f>O62-$M$42</f>
        <v>89293000</v>
      </c>
      <c r="R62" s="1406"/>
      <c r="S62" s="160">
        <f>Q62/O62</f>
        <v>0.38488362068965515</v>
      </c>
    </row>
    <row r="63" spans="2:32" ht="18" customHeight="1" x14ac:dyDescent="0.3">
      <c r="B63" s="100">
        <v>2</v>
      </c>
      <c r="C63" s="1458"/>
      <c r="D63" s="1456"/>
      <c r="E63" s="1456"/>
      <c r="F63" s="1456"/>
      <c r="G63" s="1456"/>
      <c r="H63" s="1456"/>
      <c r="I63" s="1456"/>
      <c r="J63" s="1457"/>
      <c r="N63" s="9">
        <v>0.1</v>
      </c>
      <c r="O63" s="1389">
        <f>$O$59/(1+N63)</f>
        <v>210909090.90909091</v>
      </c>
      <c r="P63" s="1390"/>
      <c r="Q63" s="1391">
        <f t="shared" ref="Q63:Q66" si="15">O63-$M$42</f>
        <v>68202090.909090906</v>
      </c>
      <c r="R63" s="1392"/>
      <c r="S63" s="161">
        <f t="shared" ref="S63:S66" si="16">Q63/O63</f>
        <v>0.32337198275862067</v>
      </c>
    </row>
    <row r="64" spans="2:32" s="103" customFormat="1" ht="18" customHeight="1" x14ac:dyDescent="0.3">
      <c r="B64" s="100">
        <v>3</v>
      </c>
      <c r="C64" s="1455"/>
      <c r="D64" s="1456"/>
      <c r="E64" s="1456"/>
      <c r="F64" s="1456"/>
      <c r="G64" s="1456"/>
      <c r="H64" s="1456"/>
      <c r="I64" s="1456"/>
      <c r="J64" s="1457"/>
      <c r="K64" s="1"/>
      <c r="L64" s="1"/>
      <c r="M64" s="1"/>
      <c r="N64" s="10">
        <v>0.15</v>
      </c>
      <c r="O64" s="1389">
        <f t="shared" ref="O64:O65" si="17">$O$59/(1+N64)</f>
        <v>201739130.43478262</v>
      </c>
      <c r="P64" s="1390"/>
      <c r="Q64" s="1391">
        <f t="shared" si="15"/>
        <v>59032130.434782624</v>
      </c>
      <c r="R64" s="1392"/>
      <c r="S64" s="161">
        <f t="shared" si="16"/>
        <v>0.29261616379310351</v>
      </c>
      <c r="U64"/>
      <c r="V64"/>
      <c r="W64"/>
      <c r="X64"/>
      <c r="Y64"/>
      <c r="Z64"/>
      <c r="AA64"/>
      <c r="AB64"/>
      <c r="AC64"/>
      <c r="AD64"/>
      <c r="AE64"/>
      <c r="AF64"/>
    </row>
    <row r="65" spans="1:32" ht="18" customHeight="1" x14ac:dyDescent="0.3">
      <c r="B65" s="100">
        <v>4</v>
      </c>
      <c r="C65" s="1455"/>
      <c r="D65" s="1456"/>
      <c r="E65" s="1456"/>
      <c r="F65" s="1456"/>
      <c r="G65" s="1456"/>
      <c r="H65" s="1456"/>
      <c r="I65" s="1456"/>
      <c r="J65" s="1457"/>
      <c r="N65" s="10">
        <v>0.2</v>
      </c>
      <c r="O65" s="1389">
        <f t="shared" si="17"/>
        <v>193333333.33333334</v>
      </c>
      <c r="P65" s="1390"/>
      <c r="Q65" s="1391">
        <f t="shared" si="15"/>
        <v>50626333.333333343</v>
      </c>
      <c r="R65" s="1392"/>
      <c r="S65" s="161">
        <f t="shared" si="16"/>
        <v>0.26186034482758624</v>
      </c>
    </row>
    <row r="66" spans="1:32" ht="18" customHeight="1" thickBot="1" x14ac:dyDescent="0.35">
      <c r="B66" s="100">
        <v>5</v>
      </c>
      <c r="C66" s="1393"/>
      <c r="D66" s="1394"/>
      <c r="E66" s="1394"/>
      <c r="F66" s="1394"/>
      <c r="G66" s="1394"/>
      <c r="H66" s="1394"/>
      <c r="I66" s="1394"/>
      <c r="J66" s="1395"/>
      <c r="N66" s="12" t="s">
        <v>45</v>
      </c>
      <c r="O66" s="1396">
        <v>0</v>
      </c>
      <c r="P66" s="1397"/>
      <c r="Q66" s="1398">
        <f t="shared" si="15"/>
        <v>-142707000</v>
      </c>
      <c r="R66" s="1399"/>
      <c r="S66" s="99" t="e">
        <f t="shared" si="16"/>
        <v>#DIV/0!</v>
      </c>
    </row>
    <row r="67" spans="1:32" ht="18" customHeight="1" thickBot="1" x14ac:dyDescent="0.35">
      <c r="B67" s="100">
        <v>6</v>
      </c>
      <c r="C67" s="1393"/>
      <c r="D67" s="1394"/>
      <c r="E67" s="1394"/>
      <c r="F67" s="1394"/>
      <c r="G67" s="1394"/>
      <c r="H67" s="1394"/>
      <c r="I67" s="1394"/>
      <c r="J67" s="1395"/>
    </row>
    <row r="68" spans="1:32" ht="18" customHeight="1" thickBot="1" x14ac:dyDescent="0.35">
      <c r="B68" s="100">
        <v>7</v>
      </c>
      <c r="C68" s="434"/>
      <c r="D68" s="435"/>
      <c r="E68" s="435"/>
      <c r="F68" s="435"/>
      <c r="G68" s="435"/>
      <c r="H68" s="435"/>
      <c r="I68" s="435"/>
      <c r="J68" s="436"/>
      <c r="N68" s="1410" t="s">
        <v>47</v>
      </c>
      <c r="O68" s="1411"/>
      <c r="P68" s="1412" t="s">
        <v>48</v>
      </c>
      <c r="Q68" s="1413"/>
      <c r="R68" s="1414" t="s">
        <v>49</v>
      </c>
      <c r="S68" s="1415"/>
    </row>
    <row r="69" spans="1:32" ht="18" customHeight="1" x14ac:dyDescent="0.3">
      <c r="B69" s="100">
        <v>8</v>
      </c>
      <c r="C69" s="1393"/>
      <c r="D69" s="1394"/>
      <c r="E69" s="1394"/>
      <c r="F69" s="1394"/>
      <c r="G69" s="1394"/>
      <c r="H69" s="1394"/>
      <c r="I69" s="1394"/>
      <c r="J69" s="1395"/>
      <c r="N69" s="1416"/>
      <c r="O69" s="1417"/>
      <c r="P69" s="1422"/>
      <c r="Q69" s="1423"/>
      <c r="R69" s="1428"/>
      <c r="S69" s="1429"/>
    </row>
    <row r="70" spans="1:32" ht="18" customHeight="1" x14ac:dyDescent="0.3">
      <c r="B70" s="100"/>
      <c r="C70" s="1434"/>
      <c r="D70" s="1435"/>
      <c r="E70" s="1435"/>
      <c r="F70" s="1435"/>
      <c r="G70" s="1435"/>
      <c r="H70" s="1435"/>
      <c r="I70" s="1435"/>
      <c r="J70" s="1436"/>
      <c r="N70" s="1418"/>
      <c r="O70" s="1419"/>
      <c r="P70" s="1424"/>
      <c r="Q70" s="1425"/>
      <c r="R70" s="1430"/>
      <c r="S70" s="1431"/>
    </row>
    <row r="71" spans="1:32" ht="18" customHeight="1" x14ac:dyDescent="0.3">
      <c r="B71" s="100"/>
      <c r="C71" s="1434"/>
      <c r="D71" s="1435"/>
      <c r="E71" s="1435"/>
      <c r="F71" s="1435"/>
      <c r="G71" s="1435"/>
      <c r="H71" s="1435"/>
      <c r="I71" s="1435"/>
      <c r="J71" s="1436"/>
      <c r="N71" s="1418"/>
      <c r="O71" s="1419"/>
      <c r="P71" s="1424"/>
      <c r="Q71" s="1425"/>
      <c r="R71" s="1430"/>
      <c r="S71" s="1431"/>
    </row>
    <row r="72" spans="1:32" s="3" customFormat="1" ht="18" thickBot="1" x14ac:dyDescent="0.35">
      <c r="A72"/>
      <c r="B72" s="101"/>
      <c r="C72" s="1407"/>
      <c r="D72" s="1408"/>
      <c r="E72" s="1408"/>
      <c r="F72" s="1408"/>
      <c r="G72" s="1408"/>
      <c r="H72" s="1408"/>
      <c r="I72" s="1408"/>
      <c r="J72" s="1409"/>
      <c r="K72" s="1"/>
      <c r="L72" s="1"/>
      <c r="M72" s="1"/>
      <c r="N72" s="1420"/>
      <c r="O72" s="1421"/>
      <c r="P72" s="1426"/>
      <c r="Q72" s="1427"/>
      <c r="R72" s="1432"/>
      <c r="S72" s="1433"/>
      <c r="T72" s="97"/>
      <c r="U72"/>
      <c r="V72"/>
      <c r="W72"/>
      <c r="X72"/>
      <c r="Y72"/>
      <c r="Z72"/>
      <c r="AA72"/>
      <c r="AB72"/>
      <c r="AC72"/>
      <c r="AD72"/>
      <c r="AE72"/>
      <c r="AF72"/>
    </row>
    <row r="73" spans="1:32" s="3" customFormat="1" x14ac:dyDescent="0.3">
      <c r="A73"/>
      <c r="B73" s="2"/>
      <c r="C73" s="2"/>
      <c r="D73" s="2"/>
      <c r="E73" s="2"/>
      <c r="K73" s="1"/>
      <c r="L73" s="1"/>
      <c r="M73" s="1"/>
      <c r="N73" s="5"/>
      <c r="O73" s="1"/>
      <c r="P73" s="1"/>
      <c r="Q73"/>
      <c r="R73"/>
      <c r="S73" s="93"/>
      <c r="T73" s="98"/>
      <c r="U73"/>
      <c r="V73"/>
      <c r="W73"/>
      <c r="X73"/>
      <c r="Y73"/>
      <c r="Z73"/>
      <c r="AA73"/>
      <c r="AB73"/>
      <c r="AC73"/>
      <c r="AD73"/>
      <c r="AE73"/>
      <c r="AF73"/>
    </row>
    <row r="74" spans="1:32" s="3" customFormat="1" x14ac:dyDescent="0.3">
      <c r="A74"/>
      <c r="B74" s="2"/>
      <c r="C74" s="2"/>
      <c r="D74" s="2"/>
      <c r="E74" s="2"/>
      <c r="K74" s="1"/>
      <c r="L74" s="1"/>
      <c r="M74" s="1"/>
      <c r="N74" s="5"/>
      <c r="O74" s="1"/>
      <c r="P74" s="1"/>
      <c r="Q74"/>
      <c r="R74"/>
      <c r="S74" s="93"/>
      <c r="T74" s="98"/>
      <c r="U74"/>
      <c r="V74"/>
      <c r="W74"/>
      <c r="X74"/>
      <c r="Y74"/>
      <c r="Z74"/>
      <c r="AA74"/>
      <c r="AB74"/>
      <c r="AC74"/>
      <c r="AD74"/>
      <c r="AE74"/>
      <c r="AF74"/>
    </row>
    <row r="75" spans="1:32" s="3" customFormat="1" x14ac:dyDescent="0.3">
      <c r="A75"/>
      <c r="B75" s="2"/>
      <c r="C75" s="2"/>
      <c r="D75" s="2"/>
      <c r="E75" s="2"/>
      <c r="K75" s="1"/>
      <c r="L75" s="1"/>
      <c r="M75" s="1"/>
      <c r="N75" s="5"/>
      <c r="O75" s="1"/>
      <c r="P75" s="1"/>
      <c r="Q75"/>
      <c r="R75"/>
      <c r="S75" s="93"/>
      <c r="T75" s="98"/>
      <c r="U75"/>
      <c r="V75"/>
      <c r="W75"/>
      <c r="X75"/>
      <c r="Y75"/>
      <c r="Z75"/>
      <c r="AA75"/>
      <c r="AB75"/>
      <c r="AC75"/>
      <c r="AD75"/>
      <c r="AE75"/>
      <c r="AF75"/>
    </row>
    <row r="76" spans="1:32" s="3" customFormat="1" x14ac:dyDescent="0.3">
      <c r="A76"/>
      <c r="B76" s="2"/>
      <c r="C76" s="2"/>
      <c r="D76" s="2"/>
      <c r="E76" s="2"/>
      <c r="K76" s="1"/>
      <c r="L76" s="1"/>
      <c r="M76" s="1"/>
      <c r="N76" s="5"/>
      <c r="O76" s="1"/>
      <c r="P76" s="1"/>
      <c r="Q76"/>
      <c r="R76"/>
      <c r="S76" s="93"/>
      <c r="T76" s="98"/>
      <c r="U76"/>
      <c r="V76"/>
      <c r="W76"/>
      <c r="X76"/>
      <c r="Y76"/>
      <c r="Z76"/>
      <c r="AA76"/>
      <c r="AB76"/>
      <c r="AC76"/>
      <c r="AD76"/>
      <c r="AE76"/>
      <c r="AF76"/>
    </row>
  </sheetData>
  <mergeCells count="132">
    <mergeCell ref="C69:J69"/>
    <mergeCell ref="N69:O72"/>
    <mergeCell ref="P69:Q72"/>
    <mergeCell ref="R69:S72"/>
    <mergeCell ref="C70:J70"/>
    <mergeCell ref="C71:J71"/>
    <mergeCell ref="C72:J72"/>
    <mergeCell ref="C66:J66"/>
    <mergeCell ref="O66:P66"/>
    <mergeCell ref="Q66:R66"/>
    <mergeCell ref="C67:J67"/>
    <mergeCell ref="N68:O68"/>
    <mergeCell ref="P68:Q68"/>
    <mergeCell ref="R68:S68"/>
    <mergeCell ref="C64:J64"/>
    <mergeCell ref="O64:P64"/>
    <mergeCell ref="Q64:R64"/>
    <mergeCell ref="C65:J65"/>
    <mergeCell ref="O65:P65"/>
    <mergeCell ref="Q65:R65"/>
    <mergeCell ref="C62:J62"/>
    <mergeCell ref="O62:P62"/>
    <mergeCell ref="Q62:R62"/>
    <mergeCell ref="C63:J63"/>
    <mergeCell ref="O63:P63"/>
    <mergeCell ref="Q63:R63"/>
    <mergeCell ref="B59:L59"/>
    <mergeCell ref="O59:P59"/>
    <mergeCell ref="Q59:S59"/>
    <mergeCell ref="B61:E61"/>
    <mergeCell ref="O61:P61"/>
    <mergeCell ref="Q61:R61"/>
    <mergeCell ref="B57:L57"/>
    <mergeCell ref="O57:P57"/>
    <mergeCell ref="Q57:S57"/>
    <mergeCell ref="B58:L58"/>
    <mergeCell ref="O58:P58"/>
    <mergeCell ref="Q58:S58"/>
    <mergeCell ref="O53:P53"/>
    <mergeCell ref="O54:P54"/>
    <mergeCell ref="B55:L55"/>
    <mergeCell ref="O55:P55"/>
    <mergeCell ref="Q55:S55"/>
    <mergeCell ref="B56:L56"/>
    <mergeCell ref="O56:P56"/>
    <mergeCell ref="Q56:S56"/>
    <mergeCell ref="O46:P46"/>
    <mergeCell ref="Q46:R46"/>
    <mergeCell ref="O47:P47"/>
    <mergeCell ref="Q47:R47"/>
    <mergeCell ref="O48:P48"/>
    <mergeCell ref="Q48:R54"/>
    <mergeCell ref="O49:P49"/>
    <mergeCell ref="O50:P50"/>
    <mergeCell ref="O51:P51"/>
    <mergeCell ref="O52:P52"/>
    <mergeCell ref="O43:P43"/>
    <mergeCell ref="Q43:R43"/>
    <mergeCell ref="O44:P44"/>
    <mergeCell ref="Q44:R44"/>
    <mergeCell ref="O45:P45"/>
    <mergeCell ref="Q45:R45"/>
    <mergeCell ref="O38:P38"/>
    <mergeCell ref="Q38:R38"/>
    <mergeCell ref="O39:P39"/>
    <mergeCell ref="Q39:R39"/>
    <mergeCell ref="O40:P40"/>
    <mergeCell ref="B42:L42"/>
    <mergeCell ref="O42:P42"/>
    <mergeCell ref="Q42:R42"/>
    <mergeCell ref="O35:P35"/>
    <mergeCell ref="Q35:R35"/>
    <mergeCell ref="O36:P36"/>
    <mergeCell ref="Q36:R36"/>
    <mergeCell ref="O37:P37"/>
    <mergeCell ref="Q37:R37"/>
    <mergeCell ref="O31:P31"/>
    <mergeCell ref="Q31:R31"/>
    <mergeCell ref="O32:P32"/>
    <mergeCell ref="Q32:R32"/>
    <mergeCell ref="O33:P33"/>
    <mergeCell ref="O34:P34"/>
    <mergeCell ref="O27:P27"/>
    <mergeCell ref="Q27:R27"/>
    <mergeCell ref="O28:P28"/>
    <mergeCell ref="O29:P29"/>
    <mergeCell ref="Q29:R29"/>
    <mergeCell ref="O30:P30"/>
    <mergeCell ref="O22:P22"/>
    <mergeCell ref="Q22:R22"/>
    <mergeCell ref="O23:P23"/>
    <mergeCell ref="O24:P24"/>
    <mergeCell ref="Q24:R24"/>
    <mergeCell ref="O26:P26"/>
    <mergeCell ref="Q26:R26"/>
    <mergeCell ref="O17:P17"/>
    <mergeCell ref="Q17:R17"/>
    <mergeCell ref="O20:P20"/>
    <mergeCell ref="Q20:R20"/>
    <mergeCell ref="O21:P21"/>
    <mergeCell ref="Q21:R21"/>
    <mergeCell ref="O18:P18"/>
    <mergeCell ref="Q18:R18"/>
    <mergeCell ref="O15:P15"/>
    <mergeCell ref="Q15:R15"/>
    <mergeCell ref="O16:P16"/>
    <mergeCell ref="Q16:R16"/>
    <mergeCell ref="O11:P11"/>
    <mergeCell ref="Q11:R11"/>
    <mergeCell ref="O12:P12"/>
    <mergeCell ref="Q12:R12"/>
    <mergeCell ref="O13:P13"/>
    <mergeCell ref="Q13:R13"/>
    <mergeCell ref="O9:P9"/>
    <mergeCell ref="Q9:R9"/>
    <mergeCell ref="O10:P10"/>
    <mergeCell ref="Q10:R10"/>
    <mergeCell ref="O6:P6"/>
    <mergeCell ref="Q6:R6"/>
    <mergeCell ref="O7:P7"/>
    <mergeCell ref="Q7:R7"/>
    <mergeCell ref="O14:P14"/>
    <mergeCell ref="Q14:R14"/>
    <mergeCell ref="A2:S2"/>
    <mergeCell ref="Q3:S3"/>
    <mergeCell ref="B4:E4"/>
    <mergeCell ref="O4:P4"/>
    <mergeCell ref="Q4:R4"/>
    <mergeCell ref="O5:P5"/>
    <mergeCell ref="Q5:R5"/>
    <mergeCell ref="O8:P8"/>
    <mergeCell ref="Q8:R8"/>
  </mergeCells>
  <phoneticPr fontId="2" type="noConversion"/>
  <pageMargins left="0.25" right="0.25" top="0.75" bottom="0.75" header="0.3" footer="0.3"/>
  <pageSetup paperSize="9" scale="38" fitToWidth="0" orientation="landscape" horizontalDpi="300" r:id="rId1"/>
  <headerFooter>
    <oddFooter>&amp;R&amp;D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301D-59A2-4971-82EC-AF8992E47A1B}">
  <sheetPr>
    <tabColor rgb="FFC00000"/>
    <pageSetUpPr fitToPage="1"/>
  </sheetPr>
  <dimension ref="A1:AH87"/>
  <sheetViews>
    <sheetView topLeftCell="A4" zoomScale="85" zoomScaleNormal="85" zoomScaleSheetLayoutView="100" zoomScalePageLayoutView="85" workbookViewId="0">
      <selection activeCell="G24" sqref="G24"/>
    </sheetView>
  </sheetViews>
  <sheetFormatPr defaultRowHeight="16.5" x14ac:dyDescent="0.3"/>
  <cols>
    <col min="1" max="1" width="1.625" customWidth="1"/>
    <col min="2" max="5" width="3.375" style="2" customWidth="1"/>
    <col min="6" max="6" width="57.25" style="3" customWidth="1"/>
    <col min="7" max="7" width="25.625" style="3" bestFit="1" customWidth="1"/>
    <col min="8" max="9" width="16.625" style="3" customWidth="1"/>
    <col min="10" max="10" width="6.625" style="3" customWidth="1"/>
    <col min="11" max="13" width="16.625" style="1" customWidth="1"/>
    <col min="14" max="14" width="12.625" style="5" customWidth="1"/>
    <col min="15" max="15" width="9.625" style="1" customWidth="1"/>
    <col min="16" max="16" width="12.625" style="1" customWidth="1"/>
    <col min="17" max="18" width="22.375" customWidth="1"/>
    <col min="19" max="19" width="21.875" style="93" customWidth="1"/>
    <col min="20" max="20" width="2" style="529" customWidth="1"/>
  </cols>
  <sheetData>
    <row r="1" spans="1:34" ht="9.9499999999999993" customHeight="1" x14ac:dyDescent="0.3"/>
    <row r="2" spans="1:34" ht="26.25" x14ac:dyDescent="0.3">
      <c r="A2" s="1445" t="s">
        <v>244</v>
      </c>
      <c r="B2" s="1445"/>
      <c r="C2" s="1445"/>
      <c r="D2" s="1445"/>
      <c r="E2" s="1445"/>
      <c r="F2" s="1445"/>
      <c r="G2" s="1445"/>
      <c r="H2" s="1445"/>
      <c r="I2" s="1445"/>
      <c r="J2" s="1445"/>
      <c r="K2" s="1445"/>
      <c r="L2" s="1445"/>
      <c r="M2" s="1445"/>
      <c r="N2" s="1445"/>
      <c r="O2" s="1445"/>
      <c r="P2" s="1445"/>
      <c r="Q2" s="1445"/>
      <c r="R2" s="1445"/>
      <c r="S2" s="1445"/>
      <c r="T2" s="72"/>
    </row>
    <row r="3" spans="1:34" ht="17.25" thickBot="1" x14ac:dyDescent="0.35">
      <c r="Q3" s="1446">
        <v>45415</v>
      </c>
      <c r="R3" s="1446"/>
      <c r="S3" s="1446"/>
      <c r="T3" s="542"/>
    </row>
    <row r="4" spans="1:34" ht="18" thickBot="1" x14ac:dyDescent="0.35">
      <c r="B4" s="1318" t="s">
        <v>1</v>
      </c>
      <c r="C4" s="1319"/>
      <c r="D4" s="1319"/>
      <c r="E4" s="1320"/>
      <c r="F4" s="6" t="s">
        <v>56</v>
      </c>
      <c r="G4" s="6" t="s">
        <v>55</v>
      </c>
      <c r="H4" s="6" t="s">
        <v>0</v>
      </c>
      <c r="I4" s="6" t="s">
        <v>43</v>
      </c>
      <c r="J4" s="6" t="s">
        <v>4</v>
      </c>
      <c r="K4" s="7" t="s">
        <v>12</v>
      </c>
      <c r="L4" s="8" t="s">
        <v>39</v>
      </c>
      <c r="M4" s="8" t="s">
        <v>5</v>
      </c>
      <c r="N4" s="141" t="s">
        <v>13</v>
      </c>
      <c r="O4" s="1321" t="s">
        <v>6</v>
      </c>
      <c r="P4" s="1322"/>
      <c r="Q4" s="1319" t="s">
        <v>3</v>
      </c>
      <c r="R4" s="1323"/>
      <c r="S4" s="71" t="s">
        <v>59</v>
      </c>
      <c r="T4" s="542"/>
    </row>
    <row r="5" spans="1:34" s="82" customFormat="1" ht="17.25" thickBot="1" x14ac:dyDescent="0.35">
      <c r="B5" s="122" t="s">
        <v>2</v>
      </c>
      <c r="C5" s="116"/>
      <c r="D5" s="116"/>
      <c r="E5" s="117"/>
      <c r="F5" s="118" t="s">
        <v>265</v>
      </c>
      <c r="G5" s="119"/>
      <c r="H5" s="119"/>
      <c r="I5" s="119"/>
      <c r="J5" s="119"/>
      <c r="K5" s="272"/>
      <c r="L5" s="120"/>
      <c r="M5" s="121"/>
      <c r="N5" s="135"/>
      <c r="O5" s="1447"/>
      <c r="P5" s="1448"/>
      <c r="Q5" s="1326"/>
      <c r="R5" s="1327"/>
      <c r="S5" s="115"/>
      <c r="T5" s="73"/>
      <c r="U5"/>
      <c r="V5"/>
      <c r="W5"/>
      <c r="X5"/>
      <c r="Y5"/>
      <c r="Z5"/>
      <c r="AA5"/>
      <c r="AB5"/>
      <c r="AC5"/>
      <c r="AD5"/>
      <c r="AE5"/>
      <c r="AF5"/>
    </row>
    <row r="6" spans="1:34" s="369" customFormat="1" x14ac:dyDescent="0.3">
      <c r="B6" s="290"/>
      <c r="C6" s="291" t="s">
        <v>2</v>
      </c>
      <c r="D6" s="291"/>
      <c r="E6" s="292"/>
      <c r="F6" s="269" t="s">
        <v>307</v>
      </c>
      <c r="G6" s="184" t="s">
        <v>433</v>
      </c>
      <c r="H6" s="185" t="s">
        <v>131</v>
      </c>
      <c r="I6" s="185" t="s">
        <v>131</v>
      </c>
      <c r="J6" s="186">
        <v>1</v>
      </c>
      <c r="K6" s="169">
        <f>(8210+3030+1140+2160+440)*0.6*1.071*1400</f>
        <v>13476607.199999999</v>
      </c>
      <c r="L6" s="55">
        <v>24756000</v>
      </c>
      <c r="M6" s="164">
        <f>J6*K6</f>
        <v>13476607.199999999</v>
      </c>
      <c r="N6" s="158">
        <v>0</v>
      </c>
      <c r="O6" s="1365">
        <f t="shared" ref="O6:O16" si="0">J6*L6/(1-N6)</f>
        <v>24756000</v>
      </c>
      <c r="P6" s="1366"/>
      <c r="Q6" s="1330" t="s">
        <v>437</v>
      </c>
      <c r="R6" s="1331"/>
      <c r="S6" s="470"/>
      <c r="T6" s="368"/>
      <c r="U6" s="370" t="s">
        <v>300</v>
      </c>
      <c r="V6" s="370"/>
      <c r="W6" s="370"/>
      <c r="X6" s="370"/>
      <c r="Y6" s="370"/>
      <c r="Z6" s="370"/>
      <c r="AA6" s="370"/>
      <c r="AB6" s="370"/>
      <c r="AC6" s="370"/>
      <c r="AD6" s="370"/>
      <c r="AE6" s="370"/>
      <c r="AF6" s="370"/>
    </row>
    <row r="7" spans="1:34" s="369" customFormat="1" x14ac:dyDescent="0.3">
      <c r="B7" s="208"/>
      <c r="C7" s="396"/>
      <c r="D7" s="397" t="s">
        <v>73</v>
      </c>
      <c r="E7" s="398"/>
      <c r="F7" s="174" t="s">
        <v>372</v>
      </c>
      <c r="G7" s="56">
        <v>720268</v>
      </c>
      <c r="H7" s="482" t="s">
        <v>131</v>
      </c>
      <c r="I7" s="482" t="s">
        <v>131</v>
      </c>
      <c r="J7" s="502">
        <v>2</v>
      </c>
      <c r="K7" s="169">
        <f>(1190)*0.606*1.071*1400</f>
        <v>1081277.3159999999</v>
      </c>
      <c r="L7" s="55">
        <v>1806000</v>
      </c>
      <c r="M7" s="390">
        <f t="shared" ref="M7:M10" si="1">J7*K7</f>
        <v>2162554.6319999998</v>
      </c>
      <c r="N7" s="503">
        <v>0</v>
      </c>
      <c r="O7" s="1578">
        <f t="shared" si="0"/>
        <v>3612000</v>
      </c>
      <c r="P7" s="1579"/>
      <c r="Q7" s="1474" t="s">
        <v>480</v>
      </c>
      <c r="R7" s="1475"/>
      <c r="S7" s="470"/>
      <c r="T7" s="368">
        <v>4</v>
      </c>
      <c r="V7" s="370"/>
      <c r="W7" s="370"/>
      <c r="X7" s="370"/>
      <c r="Y7" s="370"/>
      <c r="Z7" s="370"/>
      <c r="AA7" s="370"/>
      <c r="AB7" s="370"/>
      <c r="AC7" s="370"/>
      <c r="AD7" s="370"/>
      <c r="AE7" s="370"/>
      <c r="AF7" s="370"/>
      <c r="AG7" s="370"/>
      <c r="AH7" s="370"/>
    </row>
    <row r="8" spans="1:34" ht="16.149999999999999" customHeight="1" x14ac:dyDescent="0.3">
      <c r="B8" s="208"/>
      <c r="C8" s="396"/>
      <c r="D8" s="396"/>
      <c r="E8" s="398" t="s">
        <v>73</v>
      </c>
      <c r="F8" s="174" t="s">
        <v>281</v>
      </c>
      <c r="G8" s="396">
        <v>758933</v>
      </c>
      <c r="H8" s="482" t="s">
        <v>131</v>
      </c>
      <c r="I8" s="482" t="s">
        <v>131</v>
      </c>
      <c r="J8" s="56">
        <v>3</v>
      </c>
      <c r="K8" s="169">
        <f>(35)*0.643*1.071*1400</f>
        <v>33743.996999999996</v>
      </c>
      <c r="L8" s="392">
        <v>62000</v>
      </c>
      <c r="M8" s="390">
        <f t="shared" si="1"/>
        <v>101231.99099999998</v>
      </c>
      <c r="N8" s="503">
        <v>0</v>
      </c>
      <c r="O8" s="1578">
        <f t="shared" si="0"/>
        <v>186000</v>
      </c>
      <c r="P8" s="1579"/>
      <c r="Q8" s="1474" t="s">
        <v>479</v>
      </c>
      <c r="R8" s="1475"/>
      <c r="S8" s="470"/>
      <c r="T8" s="3">
        <v>6</v>
      </c>
      <c r="U8" t="s">
        <v>291</v>
      </c>
      <c r="V8" t="s">
        <v>293</v>
      </c>
    </row>
    <row r="9" spans="1:34" ht="16.149999999999999" customHeight="1" x14ac:dyDescent="0.3">
      <c r="B9" s="208"/>
      <c r="C9" s="396"/>
      <c r="D9" s="396"/>
      <c r="E9" s="398" t="s">
        <v>73</v>
      </c>
      <c r="F9" s="174" t="s">
        <v>283</v>
      </c>
      <c r="G9" s="396">
        <v>758921</v>
      </c>
      <c r="H9" s="482" t="s">
        <v>131</v>
      </c>
      <c r="I9" s="482" t="s">
        <v>131</v>
      </c>
      <c r="J9" s="56">
        <v>3</v>
      </c>
      <c r="K9" s="169">
        <f>(30)*0.643*1.071*1400</f>
        <v>28923.425999999996</v>
      </c>
      <c r="L9" s="392">
        <v>54000</v>
      </c>
      <c r="M9" s="390">
        <f t="shared" si="1"/>
        <v>86770.277999999991</v>
      </c>
      <c r="N9" s="503">
        <v>0</v>
      </c>
      <c r="O9" s="1578">
        <f t="shared" si="0"/>
        <v>162000</v>
      </c>
      <c r="P9" s="1579"/>
      <c r="Q9" s="1474" t="s">
        <v>478</v>
      </c>
      <c r="R9" s="1475"/>
      <c r="S9" s="470"/>
      <c r="T9" s="3">
        <v>6</v>
      </c>
      <c r="U9" t="s">
        <v>276</v>
      </c>
      <c r="V9" t="s">
        <v>292</v>
      </c>
    </row>
    <row r="10" spans="1:34" ht="16.149999999999999" customHeight="1" x14ac:dyDescent="0.3">
      <c r="B10" s="208"/>
      <c r="C10" s="396"/>
      <c r="D10" s="396"/>
      <c r="E10" s="398" t="s">
        <v>73</v>
      </c>
      <c r="F10" s="174" t="s">
        <v>377</v>
      </c>
      <c r="G10" s="56">
        <v>758924</v>
      </c>
      <c r="H10" s="482" t="s">
        <v>131</v>
      </c>
      <c r="I10" s="482" t="s">
        <v>131</v>
      </c>
      <c r="J10" s="56">
        <v>1</v>
      </c>
      <c r="K10" s="169">
        <f>(60)*0.643*1.071*1400</f>
        <v>57846.851999999992</v>
      </c>
      <c r="L10" s="392">
        <v>143000</v>
      </c>
      <c r="M10" s="475">
        <f t="shared" si="1"/>
        <v>57846.851999999992</v>
      </c>
      <c r="N10" s="503">
        <v>0</v>
      </c>
      <c r="O10" s="1472">
        <f t="shared" si="0"/>
        <v>143000</v>
      </c>
      <c r="P10" s="1473"/>
      <c r="Q10" s="1474" t="s">
        <v>443</v>
      </c>
      <c r="R10" s="1475"/>
      <c r="S10" s="470"/>
      <c r="T10" s="3"/>
    </row>
    <row r="11" spans="1:34" s="369" customFormat="1" x14ac:dyDescent="0.3">
      <c r="B11" s="208"/>
      <c r="C11" s="396"/>
      <c r="D11" s="397"/>
      <c r="E11" s="398" t="s">
        <v>73</v>
      </c>
      <c r="F11" s="504" t="s">
        <v>367</v>
      </c>
      <c r="G11" s="56">
        <v>702916</v>
      </c>
      <c r="H11" s="482" t="s">
        <v>131</v>
      </c>
      <c r="I11" s="482" t="s">
        <v>131</v>
      </c>
      <c r="J11" s="56">
        <v>1</v>
      </c>
      <c r="K11" s="169">
        <f>(6450)*0.6*1.071*1400</f>
        <v>5802677.9999999991</v>
      </c>
      <c r="L11" s="55">
        <v>8712000</v>
      </c>
      <c r="M11" s="418">
        <f>J11*K11</f>
        <v>5802677.9999999991</v>
      </c>
      <c r="N11" s="503">
        <v>0</v>
      </c>
      <c r="O11" s="1472">
        <f>J11*L11/(1-N11)</f>
        <v>8712000</v>
      </c>
      <c r="P11" s="1473"/>
      <c r="Q11" s="1474" t="s">
        <v>444</v>
      </c>
      <c r="R11" s="1475"/>
      <c r="S11" s="470"/>
      <c r="T11" s="368"/>
      <c r="U11" s="370" t="s">
        <v>301</v>
      </c>
      <c r="V11" s="370"/>
      <c r="W11" s="370"/>
      <c r="X11" s="370"/>
      <c r="Y11" s="370"/>
      <c r="Z11" s="370"/>
      <c r="AA11" s="370"/>
      <c r="AB11" s="370"/>
      <c r="AC11" s="370"/>
      <c r="AD11" s="370"/>
      <c r="AE11" s="370"/>
      <c r="AF11" s="370"/>
    </row>
    <row r="12" spans="1:34" s="528" customFormat="1" x14ac:dyDescent="0.3">
      <c r="A12" s="512"/>
      <c r="B12" s="513"/>
      <c r="C12" s="514"/>
      <c r="D12" s="514" t="s">
        <v>73</v>
      </c>
      <c r="E12" s="510"/>
      <c r="F12" s="311" t="s">
        <v>435</v>
      </c>
      <c r="G12" s="312">
        <v>720254</v>
      </c>
      <c r="H12" s="312" t="s">
        <v>40</v>
      </c>
      <c r="I12" s="312" t="s">
        <v>40</v>
      </c>
      <c r="J12" s="312">
        <v>1</v>
      </c>
      <c r="K12" s="313">
        <f>(1950)*0.57*1.071*1400</f>
        <v>1666583.1</v>
      </c>
      <c r="L12" s="313">
        <v>2737000</v>
      </c>
      <c r="M12" s="511">
        <f t="shared" ref="M12:M15" si="2">J12*K12</f>
        <v>1666583.1</v>
      </c>
      <c r="N12" s="310">
        <v>0</v>
      </c>
      <c r="O12" s="1584">
        <f t="shared" ref="O12:O14" si="3">J12*L12/(1-N12)</f>
        <v>2737000</v>
      </c>
      <c r="P12" s="1585"/>
      <c r="Q12" s="1647" t="s">
        <v>464</v>
      </c>
      <c r="R12" s="1648"/>
      <c r="S12" s="212"/>
      <c r="T12" s="529"/>
      <c r="U12" s="70"/>
      <c r="V12" s="70"/>
      <c r="W12" s="70"/>
      <c r="X12" s="70"/>
      <c r="Y12" s="70"/>
      <c r="Z12" s="70"/>
      <c r="AA12" s="70"/>
      <c r="AB12" s="70"/>
    </row>
    <row r="13" spans="1:34" s="528" customFormat="1" x14ac:dyDescent="0.3">
      <c r="A13" s="512"/>
      <c r="B13" s="513"/>
      <c r="C13" s="514"/>
      <c r="D13" s="514"/>
      <c r="E13" s="539" t="s">
        <v>73</v>
      </c>
      <c r="F13" s="311" t="s">
        <v>466</v>
      </c>
      <c r="G13" s="312">
        <v>701901</v>
      </c>
      <c r="H13" s="312" t="s">
        <v>40</v>
      </c>
      <c r="I13" s="312" t="s">
        <v>40</v>
      </c>
      <c r="J13" s="312">
        <v>3</v>
      </c>
      <c r="K13" s="536">
        <f>(50)*0.642*1.071*1400</f>
        <v>48130.74</v>
      </c>
      <c r="L13" s="313">
        <v>104000</v>
      </c>
      <c r="M13" s="511">
        <f t="shared" si="2"/>
        <v>144392.22</v>
      </c>
      <c r="N13" s="310">
        <v>0</v>
      </c>
      <c r="O13" s="1584">
        <f t="shared" si="3"/>
        <v>312000</v>
      </c>
      <c r="P13" s="1585"/>
      <c r="Q13" s="1647" t="s">
        <v>467</v>
      </c>
      <c r="R13" s="1648"/>
      <c r="S13" s="470"/>
      <c r="T13" s="529">
        <v>6</v>
      </c>
      <c r="U13" s="70"/>
      <c r="V13" s="70"/>
      <c r="W13" s="70"/>
      <c r="X13" s="70"/>
      <c r="Y13" s="70"/>
      <c r="Z13" s="70"/>
      <c r="AA13" s="70"/>
      <c r="AB13" s="70"/>
    </row>
    <row r="14" spans="1:34" ht="16.149999999999999" customHeight="1" x14ac:dyDescent="0.3">
      <c r="B14" s="537"/>
      <c r="C14" s="538"/>
      <c r="D14" s="538"/>
      <c r="E14" s="539" t="s">
        <v>73</v>
      </c>
      <c r="F14" s="311" t="s">
        <v>283</v>
      </c>
      <c r="G14" s="538">
        <v>758921</v>
      </c>
      <c r="H14" s="535" t="s">
        <v>131</v>
      </c>
      <c r="I14" s="535" t="s">
        <v>131</v>
      </c>
      <c r="J14" s="312">
        <v>3</v>
      </c>
      <c r="K14" s="536">
        <f>(30)*0.643*1.071*1400</f>
        <v>28923.425999999996</v>
      </c>
      <c r="L14" s="540">
        <v>54000</v>
      </c>
      <c r="M14" s="541">
        <f t="shared" si="2"/>
        <v>86770.277999999991</v>
      </c>
      <c r="N14" s="310">
        <v>0</v>
      </c>
      <c r="O14" s="1584">
        <f t="shared" si="3"/>
        <v>162000</v>
      </c>
      <c r="P14" s="1585"/>
      <c r="Q14" s="1647" t="s">
        <v>465</v>
      </c>
      <c r="R14" s="1648"/>
      <c r="S14" s="470"/>
      <c r="T14" s="3">
        <v>6</v>
      </c>
      <c r="U14" t="s">
        <v>276</v>
      </c>
      <c r="V14" t="s">
        <v>292</v>
      </c>
    </row>
    <row r="15" spans="1:34" s="369" customFormat="1" x14ac:dyDescent="0.3">
      <c r="B15" s="208"/>
      <c r="C15" s="396"/>
      <c r="D15" s="397" t="s">
        <v>73</v>
      </c>
      <c r="E15" s="398"/>
      <c r="F15" s="174" t="s">
        <v>368</v>
      </c>
      <c r="G15" s="56">
        <v>701265</v>
      </c>
      <c r="H15" s="482" t="s">
        <v>131</v>
      </c>
      <c r="I15" s="482" t="s">
        <v>131</v>
      </c>
      <c r="J15" s="502">
        <v>2</v>
      </c>
      <c r="K15" s="169">
        <f>(1140)*0.606*1.071*1400</f>
        <v>1035845.4959999999</v>
      </c>
      <c r="L15" s="55">
        <v>1723000</v>
      </c>
      <c r="M15" s="390">
        <f t="shared" si="2"/>
        <v>2071690.9919999999</v>
      </c>
      <c r="N15" s="503">
        <v>0</v>
      </c>
      <c r="O15" s="1578">
        <f t="shared" si="0"/>
        <v>3446000</v>
      </c>
      <c r="P15" s="1579"/>
      <c r="Q15" s="1474" t="s">
        <v>292</v>
      </c>
      <c r="R15" s="1475"/>
      <c r="S15" s="470"/>
      <c r="T15" s="368"/>
      <c r="V15" s="370"/>
      <c r="W15" s="370"/>
      <c r="X15" s="370"/>
      <c r="Y15" s="370"/>
      <c r="Z15" s="370"/>
      <c r="AA15" s="370"/>
      <c r="AB15" s="370"/>
      <c r="AC15" s="370"/>
      <c r="AD15" s="370">
        <v>2270000</v>
      </c>
      <c r="AE15" s="370"/>
      <c r="AF15" s="370"/>
      <c r="AG15" s="370"/>
      <c r="AH15" s="370"/>
    </row>
    <row r="16" spans="1:34" s="84" customFormat="1" x14ac:dyDescent="0.3">
      <c r="B16" s="149"/>
      <c r="C16" s="150" t="s">
        <v>73</v>
      </c>
      <c r="D16" s="150"/>
      <c r="E16" s="151"/>
      <c r="F16" s="156" t="s">
        <v>431</v>
      </c>
      <c r="G16" s="393" t="s">
        <v>409</v>
      </c>
      <c r="H16" s="155" t="s">
        <v>142</v>
      </c>
      <c r="I16" s="56" t="s">
        <v>64</v>
      </c>
      <c r="J16" s="155">
        <v>4</v>
      </c>
      <c r="K16" s="55">
        <f>L16*0.75</f>
        <v>1731750</v>
      </c>
      <c r="L16" s="55">
        <v>2309000</v>
      </c>
      <c r="M16" s="164">
        <f>J16*K16</f>
        <v>6927000</v>
      </c>
      <c r="N16" s="158">
        <v>0</v>
      </c>
      <c r="O16" s="1365">
        <f t="shared" si="0"/>
        <v>9236000</v>
      </c>
      <c r="P16" s="1366"/>
      <c r="Q16" s="1330" t="s">
        <v>482</v>
      </c>
      <c r="R16" s="1331"/>
      <c r="S16" s="470"/>
      <c r="T16" s="78"/>
      <c r="U16"/>
      <c r="V16"/>
      <c r="W16"/>
      <c r="X16"/>
      <c r="Y16"/>
      <c r="Z16"/>
      <c r="AA16"/>
      <c r="AB16"/>
      <c r="AC16"/>
      <c r="AD16">
        <v>1370000</v>
      </c>
      <c r="AE16"/>
      <c r="AF16"/>
    </row>
    <row r="17" spans="1:34" s="528" customFormat="1" x14ac:dyDescent="0.3">
      <c r="A17" s="512"/>
      <c r="B17" s="513"/>
      <c r="C17" s="514" t="s">
        <v>2</v>
      </c>
      <c r="D17" s="514"/>
      <c r="E17" s="510"/>
      <c r="F17" s="311" t="s">
        <v>459</v>
      </c>
      <c r="G17" s="515" t="s">
        <v>195</v>
      </c>
      <c r="H17" s="312" t="s">
        <v>142</v>
      </c>
      <c r="I17" s="312" t="s">
        <v>64</v>
      </c>
      <c r="J17" s="312">
        <v>1</v>
      </c>
      <c r="K17" s="313">
        <f>L17*0.75</f>
        <v>14394750</v>
      </c>
      <c r="L17" s="313">
        <f>19193000</f>
        <v>19193000</v>
      </c>
      <c r="M17" s="511">
        <f t="shared" ref="M17:M19" si="4">J17*K17</f>
        <v>14394750</v>
      </c>
      <c r="N17" s="310">
        <v>0</v>
      </c>
      <c r="O17" s="1584">
        <f>L17*J17</f>
        <v>19193000</v>
      </c>
      <c r="P17" s="1585"/>
      <c r="Q17" s="1580" t="s">
        <v>401</v>
      </c>
      <c r="R17" s="1581"/>
      <c r="S17" s="212"/>
      <c r="T17" s="529"/>
      <c r="U17" s="70"/>
      <c r="V17" s="70"/>
      <c r="W17" s="70"/>
      <c r="X17" s="70"/>
      <c r="Y17" s="70"/>
      <c r="Z17" s="70"/>
      <c r="AA17" s="70"/>
      <c r="AB17" s="70"/>
      <c r="AD17" s="528">
        <v>362000</v>
      </c>
    </row>
    <row r="18" spans="1:34" s="528" customFormat="1" x14ac:dyDescent="0.3">
      <c r="A18" s="512"/>
      <c r="B18" s="513"/>
      <c r="C18" s="514"/>
      <c r="D18" s="514" t="s">
        <v>2</v>
      </c>
      <c r="E18" s="510"/>
      <c r="F18" s="311" t="s">
        <v>460</v>
      </c>
      <c r="G18" s="515" t="s">
        <v>461</v>
      </c>
      <c r="H18" s="312" t="s">
        <v>142</v>
      </c>
      <c r="I18" s="312" t="s">
        <v>64</v>
      </c>
      <c r="J18" s="312">
        <v>1</v>
      </c>
      <c r="K18" s="313">
        <f>L18*0.75</f>
        <v>14008500</v>
      </c>
      <c r="L18" s="313">
        <v>18678000</v>
      </c>
      <c r="M18" s="511">
        <f t="shared" si="4"/>
        <v>14008500</v>
      </c>
      <c r="N18" s="310">
        <v>0</v>
      </c>
      <c r="O18" s="1584">
        <f>L18*J18</f>
        <v>18678000</v>
      </c>
      <c r="P18" s="1585"/>
      <c r="Q18" s="1582"/>
      <c r="R18" s="1583"/>
      <c r="S18" s="212"/>
      <c r="T18" s="529"/>
      <c r="U18" s="70"/>
      <c r="V18" s="70"/>
      <c r="W18" s="70"/>
      <c r="X18" s="70"/>
      <c r="Y18" s="70"/>
      <c r="Z18" s="70"/>
      <c r="AA18" s="70"/>
      <c r="AB18" s="70"/>
    </row>
    <row r="19" spans="1:34" s="84" customFormat="1" x14ac:dyDescent="0.3">
      <c r="B19" s="537"/>
      <c r="C19" s="538" t="s">
        <v>73</v>
      </c>
      <c r="D19" s="538"/>
      <c r="E19" s="539"/>
      <c r="F19" s="311" t="s">
        <v>473</v>
      </c>
      <c r="G19" s="312" t="s">
        <v>474</v>
      </c>
      <c r="H19" s="312" t="s">
        <v>258</v>
      </c>
      <c r="I19" s="312"/>
      <c r="J19" s="312">
        <v>1</v>
      </c>
      <c r="K19" s="536">
        <f>L19*0.85</f>
        <v>1929500</v>
      </c>
      <c r="L19" s="313">
        <v>2270000</v>
      </c>
      <c r="M19" s="511">
        <f t="shared" si="4"/>
        <v>1929500</v>
      </c>
      <c r="N19" s="310">
        <v>0</v>
      </c>
      <c r="O19" s="1584">
        <f t="shared" ref="O19" si="5">J19*L19/(1-N19)</f>
        <v>2270000</v>
      </c>
      <c r="P19" s="1585"/>
      <c r="Q19" s="1580" t="s">
        <v>477</v>
      </c>
      <c r="R19" s="1581"/>
      <c r="S19" s="204"/>
      <c r="T19" s="78"/>
      <c r="U19"/>
      <c r="V19" t="s">
        <v>298</v>
      </c>
      <c r="W19"/>
      <c r="X19"/>
      <c r="Y19"/>
      <c r="Z19"/>
      <c r="AA19"/>
      <c r="AB19"/>
      <c r="AC19"/>
      <c r="AD19" s="528">
        <v>6803400</v>
      </c>
      <c r="AE19">
        <v>8004000</v>
      </c>
      <c r="AF19" s="557">
        <f>AD19/AE19</f>
        <v>0.85</v>
      </c>
    </row>
    <row r="20" spans="1:34" s="84" customFormat="1" x14ac:dyDescent="0.3">
      <c r="B20" s="537"/>
      <c r="C20" s="538"/>
      <c r="D20" s="538" t="s">
        <v>73</v>
      </c>
      <c r="E20" s="539"/>
      <c r="F20" s="311" t="s">
        <v>476</v>
      </c>
      <c r="G20" s="312" t="s">
        <v>475</v>
      </c>
      <c r="H20" s="312" t="s">
        <v>258</v>
      </c>
      <c r="I20" s="312"/>
      <c r="J20" s="312">
        <v>1</v>
      </c>
      <c r="K20" s="536">
        <f t="shared" ref="K20" si="6">L20*0.85</f>
        <v>1164500</v>
      </c>
      <c r="L20" s="313">
        <v>1370000</v>
      </c>
      <c r="M20" s="511">
        <f t="shared" ref="M20" si="7">J20*K20</f>
        <v>1164500</v>
      </c>
      <c r="N20" s="310">
        <v>0</v>
      </c>
      <c r="O20" s="1584">
        <f t="shared" ref="O20" si="8">J20*L20/(1-N20)</f>
        <v>1370000</v>
      </c>
      <c r="P20" s="1585"/>
      <c r="Q20" s="1582"/>
      <c r="R20" s="1583"/>
      <c r="S20" s="204"/>
      <c r="T20" s="78"/>
      <c r="U20"/>
      <c r="V20" t="s">
        <v>298</v>
      </c>
      <c r="W20"/>
      <c r="X20"/>
      <c r="Y20"/>
      <c r="Z20"/>
      <c r="AA20"/>
      <c r="AB20"/>
      <c r="AC20"/>
      <c r="AD20">
        <f>AD19/2</f>
        <v>3401700</v>
      </c>
      <c r="AE20"/>
      <c r="AF20"/>
    </row>
    <row r="21" spans="1:34" s="82" customFormat="1" x14ac:dyDescent="0.3">
      <c r="B21" s="401"/>
      <c r="C21" s="402"/>
      <c r="D21" s="403"/>
      <c r="E21" s="402"/>
      <c r="F21" s="404" t="s">
        <v>256</v>
      </c>
      <c r="G21" s="403" t="s">
        <v>336</v>
      </c>
      <c r="H21" s="403" t="s">
        <v>337</v>
      </c>
      <c r="I21" s="405"/>
      <c r="J21" s="403">
        <v>0</v>
      </c>
      <c r="K21" s="406"/>
      <c r="L21" s="406">
        <v>11140000</v>
      </c>
      <c r="M21" s="407">
        <f>J21*K21</f>
        <v>0</v>
      </c>
      <c r="N21" s="408">
        <v>0</v>
      </c>
      <c r="O21" s="532">
        <f>J21*L21/(1-N21)</f>
        <v>0</v>
      </c>
      <c r="P21" s="533"/>
      <c r="Q21" s="1548" t="s">
        <v>481</v>
      </c>
      <c r="R21" s="1549"/>
      <c r="S21" s="440"/>
      <c r="T21" s="73"/>
      <c r="U21"/>
      <c r="V21"/>
      <c r="W21"/>
      <c r="X21"/>
      <c r="Y21"/>
      <c r="Z21"/>
      <c r="AA21"/>
      <c r="AB21"/>
      <c r="AC21"/>
      <c r="AD21"/>
      <c r="AE21"/>
      <c r="AF21"/>
    </row>
    <row r="22" spans="1:34" s="413" customFormat="1" x14ac:dyDescent="0.3">
      <c r="B22" s="401"/>
      <c r="C22" s="402"/>
      <c r="D22" s="403"/>
      <c r="E22" s="402"/>
      <c r="F22" s="404" t="s">
        <v>256</v>
      </c>
      <c r="G22" s="403" t="s">
        <v>395</v>
      </c>
      <c r="H22" s="403" t="s">
        <v>394</v>
      </c>
      <c r="I22" s="405"/>
      <c r="J22" s="403">
        <v>0</v>
      </c>
      <c r="K22" s="406">
        <f t="shared" ref="K22" si="9">L22*0.75</f>
        <v>7717500</v>
      </c>
      <c r="L22" s="406">
        <v>10290000</v>
      </c>
      <c r="M22" s="407">
        <f>J22*K22</f>
        <v>0</v>
      </c>
      <c r="N22" s="408">
        <v>0</v>
      </c>
      <c r="O22" s="532">
        <f>J22*L22/(1-N22)</f>
        <v>0</v>
      </c>
      <c r="P22" s="533"/>
      <c r="Q22" s="1550"/>
      <c r="R22" s="1551"/>
      <c r="S22" s="470"/>
      <c r="T22" s="73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</row>
    <row r="23" spans="1:34" s="394" customFormat="1" x14ac:dyDescent="0.3">
      <c r="A23" s="369"/>
      <c r="B23" s="516"/>
      <c r="C23" s="517"/>
      <c r="D23" s="517"/>
      <c r="E23" s="518"/>
      <c r="F23" s="519" t="s">
        <v>423</v>
      </c>
      <c r="G23" s="405" t="s">
        <v>273</v>
      </c>
      <c r="H23" s="405" t="s">
        <v>255</v>
      </c>
      <c r="I23" s="405"/>
      <c r="J23" s="405">
        <v>0</v>
      </c>
      <c r="K23" s="520">
        <f t="shared" ref="K23:K24" si="10">L23*0.75</f>
        <v>27652500</v>
      </c>
      <c r="L23" s="520">
        <v>36870000</v>
      </c>
      <c r="M23" s="407">
        <f>J23*K23</f>
        <v>0</v>
      </c>
      <c r="N23" s="521">
        <v>0</v>
      </c>
      <c r="O23" s="1576">
        <f>J23*L23/(1-N23)</f>
        <v>0</v>
      </c>
      <c r="P23" s="1577"/>
      <c r="Q23" s="1548" t="s">
        <v>462</v>
      </c>
      <c r="R23" s="1549"/>
      <c r="S23" s="212"/>
      <c r="T23" s="543">
        <v>1</v>
      </c>
      <c r="U23" s="400" t="s">
        <v>290</v>
      </c>
      <c r="V23" s="400" t="s">
        <v>294</v>
      </c>
      <c r="W23" s="400"/>
      <c r="X23" s="400"/>
      <c r="Y23" s="400"/>
      <c r="Z23" s="400"/>
      <c r="AA23" s="400"/>
    </row>
    <row r="24" spans="1:34" s="528" customFormat="1" x14ac:dyDescent="0.3">
      <c r="A24" s="84"/>
      <c r="B24" s="516"/>
      <c r="C24" s="517"/>
      <c r="D24" s="517"/>
      <c r="E24" s="518"/>
      <c r="F24" s="519" t="s">
        <v>424</v>
      </c>
      <c r="G24" s="405" t="s">
        <v>274</v>
      </c>
      <c r="H24" s="405" t="s">
        <v>255</v>
      </c>
      <c r="I24" s="405"/>
      <c r="J24" s="405">
        <v>0</v>
      </c>
      <c r="K24" s="520">
        <f t="shared" si="10"/>
        <v>23730000</v>
      </c>
      <c r="L24" s="520">
        <v>31640000</v>
      </c>
      <c r="M24" s="407">
        <f>J24*K24</f>
        <v>0</v>
      </c>
      <c r="N24" s="521">
        <v>0</v>
      </c>
      <c r="O24" s="1576">
        <f>J24*L24/(1-N24)</f>
        <v>0</v>
      </c>
      <c r="P24" s="1577"/>
      <c r="Q24" s="1550" t="s">
        <v>401</v>
      </c>
      <c r="R24" s="1551"/>
      <c r="S24" s="212"/>
      <c r="T24" s="529">
        <v>1</v>
      </c>
      <c r="U24" s="70"/>
      <c r="V24" s="70"/>
      <c r="W24" s="70"/>
      <c r="X24" s="70"/>
      <c r="Y24" s="70"/>
      <c r="Z24" s="70"/>
      <c r="AA24" s="70"/>
      <c r="AB24" s="70"/>
      <c r="AC24" s="70"/>
    </row>
    <row r="25" spans="1:34" ht="16.149999999999999" customHeight="1" thickBot="1" x14ac:dyDescent="0.35">
      <c r="B25" s="365"/>
      <c r="C25" s="366"/>
      <c r="D25" s="366"/>
      <c r="E25" s="367"/>
      <c r="F25" s="156"/>
      <c r="G25" s="155"/>
      <c r="H25" s="155"/>
      <c r="I25" s="155"/>
      <c r="J25" s="186"/>
      <c r="K25" s="199"/>
      <c r="L25" s="55"/>
      <c r="M25" s="164"/>
      <c r="N25" s="158"/>
      <c r="O25" s="385"/>
      <c r="P25" s="386"/>
      <c r="Q25" s="1488"/>
      <c r="R25" s="1489"/>
      <c r="S25" s="470"/>
      <c r="T25" s="3"/>
      <c r="U25" t="s">
        <v>291</v>
      </c>
      <c r="V25" t="s">
        <v>293</v>
      </c>
    </row>
    <row r="26" spans="1:34" s="369" customFormat="1" ht="17.25" thickBot="1" x14ac:dyDescent="0.35">
      <c r="B26" s="122" t="s">
        <v>2</v>
      </c>
      <c r="C26" s="116"/>
      <c r="D26" s="116"/>
      <c r="E26" s="117"/>
      <c r="F26" s="118" t="s">
        <v>266</v>
      </c>
      <c r="G26" s="383"/>
      <c r="H26" s="383"/>
      <c r="I26" s="383"/>
      <c r="J26" s="383"/>
      <c r="K26" s="383"/>
      <c r="L26" s="384"/>
      <c r="M26" s="121"/>
      <c r="N26" s="135"/>
      <c r="O26" s="1447"/>
      <c r="P26" s="1448"/>
      <c r="Q26" s="1586"/>
      <c r="R26" s="1587"/>
      <c r="S26" s="115"/>
      <c r="T26" s="368"/>
      <c r="U26" s="370" t="s">
        <v>302</v>
      </c>
      <c r="V26" s="370"/>
      <c r="W26" s="370"/>
      <c r="X26" s="370"/>
      <c r="Y26" s="370"/>
      <c r="Z26" s="370"/>
      <c r="AA26" s="370"/>
      <c r="AB26" s="370"/>
      <c r="AC26" s="370"/>
      <c r="AD26" s="370"/>
      <c r="AE26" s="370"/>
      <c r="AF26" s="370"/>
    </row>
    <row r="27" spans="1:34" s="84" customFormat="1" x14ac:dyDescent="0.3">
      <c r="B27" s="142"/>
      <c r="C27" s="143" t="s">
        <v>2</v>
      </c>
      <c r="D27" s="144"/>
      <c r="E27" s="145"/>
      <c r="F27" s="146" t="s">
        <v>279</v>
      </c>
      <c r="G27" s="144" t="s">
        <v>278</v>
      </c>
      <c r="H27" s="144" t="s">
        <v>80</v>
      </c>
      <c r="I27" s="144" t="s">
        <v>240</v>
      </c>
      <c r="J27" s="144">
        <v>1</v>
      </c>
      <c r="K27" s="157">
        <f t="shared" ref="K27:K30" si="11">L27*0.95</f>
        <v>2422500</v>
      </c>
      <c r="L27" s="147">
        <v>2550000</v>
      </c>
      <c r="M27" s="163">
        <f>J27*K27</f>
        <v>2422500</v>
      </c>
      <c r="N27" s="148">
        <v>0</v>
      </c>
      <c r="O27" s="1574">
        <f t="shared" ref="O27:O30" si="12">J27*L27/(1-N27)</f>
        <v>2550000</v>
      </c>
      <c r="P27" s="1575"/>
      <c r="Q27" s="1482"/>
      <c r="R27" s="1483"/>
      <c r="S27" s="287"/>
      <c r="T27" s="78"/>
      <c r="U27"/>
      <c r="V27"/>
      <c r="W27"/>
      <c r="X27"/>
      <c r="Y27"/>
      <c r="Z27"/>
      <c r="AA27"/>
      <c r="AB27"/>
      <c r="AC27"/>
      <c r="AD27"/>
      <c r="AE27"/>
      <c r="AF27"/>
    </row>
    <row r="28" spans="1:34" s="84" customFormat="1" x14ac:dyDescent="0.3">
      <c r="B28" s="149"/>
      <c r="C28" s="150"/>
      <c r="D28" s="150" t="s">
        <v>2</v>
      </c>
      <c r="E28" s="151"/>
      <c r="F28" s="156" t="s">
        <v>315</v>
      </c>
      <c r="G28" s="155" t="s">
        <v>311</v>
      </c>
      <c r="H28" s="155" t="s">
        <v>80</v>
      </c>
      <c r="I28" s="155" t="s">
        <v>430</v>
      </c>
      <c r="J28" s="155">
        <v>2</v>
      </c>
      <c r="K28" s="157">
        <f t="shared" si="11"/>
        <v>2242000</v>
      </c>
      <c r="L28" s="157">
        <v>2360000</v>
      </c>
      <c r="M28" s="164">
        <f t="shared" ref="M28:M30" si="13">J28*K28</f>
        <v>4484000</v>
      </c>
      <c r="N28" s="158">
        <v>0</v>
      </c>
      <c r="O28" s="1365">
        <f t="shared" si="12"/>
        <v>4720000</v>
      </c>
      <c r="P28" s="1366"/>
      <c r="Q28" s="1330" t="s">
        <v>445</v>
      </c>
      <c r="R28" s="1331"/>
      <c r="S28" s="152"/>
      <c r="T28" s="78"/>
      <c r="U28"/>
      <c r="V28"/>
      <c r="W28"/>
      <c r="X28"/>
      <c r="Y28"/>
      <c r="Z28"/>
      <c r="AA28"/>
      <c r="AB28"/>
      <c r="AC28"/>
      <c r="AD28"/>
      <c r="AE28"/>
      <c r="AF28"/>
    </row>
    <row r="29" spans="1:34" s="84" customFormat="1" x14ac:dyDescent="0.3">
      <c r="B29" s="149"/>
      <c r="C29" s="150"/>
      <c r="D29" s="150" t="s">
        <v>2</v>
      </c>
      <c r="E29" s="151"/>
      <c r="F29" s="156" t="s">
        <v>317</v>
      </c>
      <c r="G29" s="155" t="s">
        <v>316</v>
      </c>
      <c r="H29" s="155" t="s">
        <v>80</v>
      </c>
      <c r="I29" s="155" t="s">
        <v>430</v>
      </c>
      <c r="J29" s="155">
        <v>1</v>
      </c>
      <c r="K29" s="157">
        <f t="shared" si="11"/>
        <v>836000</v>
      </c>
      <c r="L29" s="157">
        <v>880000</v>
      </c>
      <c r="M29" s="164">
        <f t="shared" si="13"/>
        <v>836000</v>
      </c>
      <c r="N29" s="158">
        <v>0</v>
      </c>
      <c r="O29" s="1365">
        <f t="shared" si="12"/>
        <v>880000</v>
      </c>
      <c r="P29" s="1366"/>
      <c r="Q29" s="1330"/>
      <c r="R29" s="1331"/>
      <c r="S29" s="289"/>
      <c r="T29" s="78"/>
      <c r="U29" s="83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s="82" customFormat="1" x14ac:dyDescent="0.3">
      <c r="B30" s="365"/>
      <c r="C30" s="150"/>
      <c r="D30" s="150" t="s">
        <v>2</v>
      </c>
      <c r="E30" s="367"/>
      <c r="F30" s="156" t="s">
        <v>324</v>
      </c>
      <c r="G30" s="155" t="s">
        <v>359</v>
      </c>
      <c r="H30" s="155" t="s">
        <v>80</v>
      </c>
      <c r="I30" s="155" t="s">
        <v>430</v>
      </c>
      <c r="J30" s="186">
        <v>1</v>
      </c>
      <c r="K30" s="55">
        <f t="shared" si="11"/>
        <v>1624500</v>
      </c>
      <c r="L30" s="55">
        <v>1710000</v>
      </c>
      <c r="M30" s="164">
        <f t="shared" si="13"/>
        <v>1624500</v>
      </c>
      <c r="N30" s="158">
        <v>0</v>
      </c>
      <c r="O30" s="1365">
        <f t="shared" si="12"/>
        <v>1710000</v>
      </c>
      <c r="P30" s="1366"/>
      <c r="Q30" s="1330" t="s">
        <v>439</v>
      </c>
      <c r="R30" s="1331"/>
      <c r="S30" s="204"/>
      <c r="T30" s="273"/>
      <c r="U30" s="79"/>
    </row>
    <row r="31" spans="1:34" ht="17.25" thickBot="1" x14ac:dyDescent="0.35">
      <c r="B31" s="365"/>
      <c r="C31" s="366"/>
      <c r="D31" s="366"/>
      <c r="E31" s="367"/>
      <c r="F31" s="156"/>
      <c r="G31" s="155"/>
      <c r="H31" s="155"/>
      <c r="I31" s="155"/>
      <c r="J31" s="186"/>
      <c r="K31" s="199"/>
      <c r="L31" s="55"/>
      <c r="M31" s="164"/>
      <c r="N31" s="158"/>
      <c r="O31" s="1556"/>
      <c r="P31" s="1557"/>
      <c r="Q31" s="1649"/>
      <c r="R31" s="1650"/>
      <c r="S31" s="204"/>
      <c r="T31" s="544"/>
      <c r="U31" s="3"/>
      <c r="V31" s="3"/>
      <c r="W31" s="79"/>
    </row>
    <row r="32" spans="1:34" ht="17.25" thickBot="1" x14ac:dyDescent="0.35">
      <c r="B32" s="122" t="s">
        <v>2</v>
      </c>
      <c r="C32" s="116"/>
      <c r="D32" s="116"/>
      <c r="E32" s="117"/>
      <c r="F32" s="118" t="s">
        <v>267</v>
      </c>
      <c r="G32" s="383"/>
      <c r="H32" s="383"/>
      <c r="I32" s="383"/>
      <c r="J32" s="383"/>
      <c r="K32" s="383"/>
      <c r="L32" s="384"/>
      <c r="M32" s="121"/>
      <c r="N32" s="135"/>
      <c r="O32" s="1447"/>
      <c r="P32" s="1448"/>
      <c r="Q32" s="1572"/>
      <c r="R32" s="1573"/>
      <c r="S32" s="115"/>
      <c r="T32" s="544"/>
      <c r="U32" s="79"/>
    </row>
    <row r="33" spans="1:34" x14ac:dyDescent="0.3">
      <c r="B33" s="142"/>
      <c r="C33" s="143" t="s">
        <v>2</v>
      </c>
      <c r="D33" s="144"/>
      <c r="E33" s="145"/>
      <c r="F33" s="146" t="s">
        <v>418</v>
      </c>
      <c r="G33" s="144"/>
      <c r="H33" s="182" t="s">
        <v>60</v>
      </c>
      <c r="I33" s="144"/>
      <c r="J33" s="144">
        <v>1</v>
      </c>
      <c r="K33" s="157">
        <v>5000000</v>
      </c>
      <c r="L33" s="157">
        <v>5000000</v>
      </c>
      <c r="M33" s="163">
        <f>J33*K33</f>
        <v>5000000</v>
      </c>
      <c r="N33" s="148">
        <v>0.3</v>
      </c>
      <c r="O33" s="1574">
        <f t="shared" ref="O33" si="14">J33*L33*(1+N33)</f>
        <v>6500000</v>
      </c>
      <c r="P33" s="1575"/>
      <c r="Q33" s="1482"/>
      <c r="R33" s="1483"/>
      <c r="S33" s="287"/>
      <c r="T33" s="544"/>
      <c r="U33" s="79"/>
    </row>
    <row r="34" spans="1:34" s="84" customFormat="1" x14ac:dyDescent="0.3">
      <c r="B34" s="181"/>
      <c r="C34" s="182"/>
      <c r="D34" s="182" t="s">
        <v>2</v>
      </c>
      <c r="E34" s="183"/>
      <c r="F34" s="156" t="s">
        <v>247</v>
      </c>
      <c r="G34" s="155" t="s">
        <v>248</v>
      </c>
      <c r="H34" s="155" t="s">
        <v>249</v>
      </c>
      <c r="I34" s="155" t="s">
        <v>249</v>
      </c>
      <c r="J34" s="155">
        <v>1</v>
      </c>
      <c r="K34" s="157">
        <v>500000</v>
      </c>
      <c r="L34" s="157">
        <v>500000</v>
      </c>
      <c r="M34" s="164">
        <f>J34*K34</f>
        <v>500000</v>
      </c>
      <c r="N34" s="158">
        <v>0.3</v>
      </c>
      <c r="O34" s="1365">
        <f t="shared" ref="O34:O47" si="15">J34*L34*(1+N34)</f>
        <v>650000</v>
      </c>
      <c r="P34" s="1366"/>
      <c r="Q34" s="508"/>
      <c r="R34" s="509"/>
      <c r="S34" s="152"/>
      <c r="T34" s="78"/>
      <c r="U34"/>
      <c r="V34"/>
      <c r="W34"/>
      <c r="X34"/>
      <c r="Y34"/>
      <c r="Z34"/>
      <c r="AA34"/>
      <c r="AB34"/>
      <c r="AC34"/>
      <c r="AD34"/>
      <c r="AE34"/>
      <c r="AF34"/>
    </row>
    <row r="35" spans="1:34" s="84" customFormat="1" x14ac:dyDescent="0.3">
      <c r="B35" s="181"/>
      <c r="C35" s="182"/>
      <c r="D35" s="182" t="s">
        <v>2</v>
      </c>
      <c r="E35" s="183"/>
      <c r="F35" s="156" t="s">
        <v>250</v>
      </c>
      <c r="G35" s="155" t="s">
        <v>329</v>
      </c>
      <c r="H35" s="155" t="s">
        <v>330</v>
      </c>
      <c r="I35" s="155" t="s">
        <v>251</v>
      </c>
      <c r="J35" s="155">
        <v>1</v>
      </c>
      <c r="K35" s="157">
        <v>200000</v>
      </c>
      <c r="L35" s="157">
        <v>200000</v>
      </c>
      <c r="M35" s="164">
        <f>J35*K35</f>
        <v>200000</v>
      </c>
      <c r="N35" s="158">
        <v>0.3</v>
      </c>
      <c r="O35" s="1365">
        <f t="shared" si="15"/>
        <v>260000</v>
      </c>
      <c r="P35" s="1366"/>
      <c r="Q35" s="1330"/>
      <c r="R35" s="1331"/>
      <c r="S35" s="152"/>
      <c r="T35" s="78"/>
      <c r="U35" s="83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s="82" customFormat="1" x14ac:dyDescent="0.3">
      <c r="B36" s="181"/>
      <c r="C36" s="182"/>
      <c r="D36" s="182" t="s">
        <v>2</v>
      </c>
      <c r="E36" s="183"/>
      <c r="F36" s="156" t="s">
        <v>252</v>
      </c>
      <c r="G36" s="155" t="s">
        <v>253</v>
      </c>
      <c r="H36" s="155" t="s">
        <v>254</v>
      </c>
      <c r="I36" s="155" t="s">
        <v>254</v>
      </c>
      <c r="J36" s="186">
        <v>1</v>
      </c>
      <c r="K36" s="387">
        <v>3000000</v>
      </c>
      <c r="L36" s="387">
        <v>3000000</v>
      </c>
      <c r="M36" s="164">
        <f>J36*K36</f>
        <v>3000000</v>
      </c>
      <c r="N36" s="158">
        <v>0.3</v>
      </c>
      <c r="O36" s="1365">
        <f t="shared" si="15"/>
        <v>3900000</v>
      </c>
      <c r="P36" s="1366"/>
      <c r="Q36" s="508"/>
      <c r="R36" s="509"/>
      <c r="S36" s="204"/>
      <c r="T36" s="273"/>
      <c r="U36" s="79"/>
    </row>
    <row r="37" spans="1:34" s="82" customFormat="1" x14ac:dyDescent="0.3">
      <c r="B37" s="149"/>
      <c r="C37" s="150"/>
      <c r="D37" s="155" t="s">
        <v>2</v>
      </c>
      <c r="E37" s="151"/>
      <c r="F37" s="156" t="s">
        <v>245</v>
      </c>
      <c r="G37" s="155" t="s">
        <v>246</v>
      </c>
      <c r="H37" s="155" t="s">
        <v>183</v>
      </c>
      <c r="I37" s="155"/>
      <c r="J37" s="155">
        <v>1</v>
      </c>
      <c r="K37" s="157">
        <v>200000</v>
      </c>
      <c r="L37" s="157">
        <v>200000</v>
      </c>
      <c r="M37" s="164">
        <f t="shared" ref="M37" si="16">J37*K37</f>
        <v>200000</v>
      </c>
      <c r="N37" s="158">
        <v>0.3</v>
      </c>
      <c r="O37" s="1365">
        <f t="shared" si="15"/>
        <v>260000</v>
      </c>
      <c r="P37" s="1366"/>
      <c r="Q37" s="1330"/>
      <c r="R37" s="1331"/>
      <c r="S37" s="152"/>
      <c r="T37" s="273"/>
      <c r="U37" s="79"/>
    </row>
    <row r="38" spans="1:34" s="82" customFormat="1" x14ac:dyDescent="0.3">
      <c r="B38" s="365"/>
      <c r="C38" s="291"/>
      <c r="D38" s="291" t="s">
        <v>2</v>
      </c>
      <c r="E38" s="367"/>
      <c r="F38" s="156" t="s">
        <v>343</v>
      </c>
      <c r="G38" s="155" t="s">
        <v>334</v>
      </c>
      <c r="H38" s="155" t="s">
        <v>328</v>
      </c>
      <c r="I38" s="155"/>
      <c r="J38" s="186">
        <v>1</v>
      </c>
      <c r="K38" s="169">
        <v>450000</v>
      </c>
      <c r="L38" s="169">
        <v>500000</v>
      </c>
      <c r="M38" s="164">
        <f>J38*K38</f>
        <v>450000</v>
      </c>
      <c r="N38" s="158">
        <v>0</v>
      </c>
      <c r="O38" s="1365">
        <f t="shared" si="15"/>
        <v>500000</v>
      </c>
      <c r="P38" s="1366"/>
      <c r="Q38" s="1330" t="s">
        <v>440</v>
      </c>
      <c r="R38" s="1331"/>
      <c r="S38" s="204"/>
      <c r="T38" s="273"/>
      <c r="U38" s="79"/>
    </row>
    <row r="39" spans="1:34" s="82" customFormat="1" x14ac:dyDescent="0.3">
      <c r="B39" s="181"/>
      <c r="C39" s="182" t="s">
        <v>2</v>
      </c>
      <c r="D39" s="366"/>
      <c r="E39" s="183"/>
      <c r="F39" s="388" t="s">
        <v>268</v>
      </c>
      <c r="G39" s="182"/>
      <c r="H39" s="182"/>
      <c r="I39" s="155"/>
      <c r="J39" s="155">
        <v>1</v>
      </c>
      <c r="K39" s="157"/>
      <c r="L39" s="157"/>
      <c r="M39" s="164">
        <f t="shared" ref="M39:M42" si="17">J39*K39</f>
        <v>0</v>
      </c>
      <c r="N39" s="158">
        <v>0.3</v>
      </c>
      <c r="O39" s="1365">
        <f t="shared" si="15"/>
        <v>0</v>
      </c>
      <c r="P39" s="1366"/>
      <c r="Q39" s="508"/>
      <c r="R39" s="509"/>
      <c r="S39" s="152"/>
      <c r="T39" s="273"/>
      <c r="U39" s="79"/>
    </row>
    <row r="40" spans="1:34" s="84" customFormat="1" x14ac:dyDescent="0.3">
      <c r="B40" s="181"/>
      <c r="C40" s="182"/>
      <c r="D40" s="182" t="s">
        <v>2</v>
      </c>
      <c r="E40" s="183"/>
      <c r="F40" s="388" t="s">
        <v>284</v>
      </c>
      <c r="G40" s="182"/>
      <c r="H40" s="182" t="s">
        <v>60</v>
      </c>
      <c r="I40" s="155"/>
      <c r="J40" s="155">
        <v>1</v>
      </c>
      <c r="K40" s="157">
        <v>1000000</v>
      </c>
      <c r="L40" s="157">
        <v>1000000</v>
      </c>
      <c r="M40" s="164">
        <f>J40*K40</f>
        <v>1000000</v>
      </c>
      <c r="N40" s="158">
        <v>0.3</v>
      </c>
      <c r="O40" s="1365">
        <f t="shared" si="15"/>
        <v>1300000</v>
      </c>
      <c r="P40" s="1366"/>
      <c r="Q40" s="508"/>
      <c r="R40" s="509"/>
      <c r="S40" s="152"/>
      <c r="T40" s="78"/>
      <c r="U40"/>
      <c r="V40"/>
      <c r="W40"/>
      <c r="X40"/>
      <c r="Y40"/>
      <c r="Z40"/>
      <c r="AA40"/>
      <c r="AB40"/>
      <c r="AC40"/>
      <c r="AD40"/>
      <c r="AE40"/>
      <c r="AF40"/>
    </row>
    <row r="41" spans="1:34" s="82" customFormat="1" x14ac:dyDescent="0.3">
      <c r="B41" s="181"/>
      <c r="C41" s="182"/>
      <c r="D41" s="182" t="s">
        <v>2</v>
      </c>
      <c r="E41" s="183"/>
      <c r="F41" s="388" t="s">
        <v>269</v>
      </c>
      <c r="G41" s="182" t="s">
        <v>270</v>
      </c>
      <c r="H41" s="182" t="s">
        <v>271</v>
      </c>
      <c r="I41" s="155"/>
      <c r="J41" s="155">
        <f>6*3</f>
        <v>18</v>
      </c>
      <c r="K41" s="157">
        <v>120000</v>
      </c>
      <c r="L41" s="157">
        <v>120000</v>
      </c>
      <c r="M41" s="164">
        <f t="shared" si="17"/>
        <v>2160000</v>
      </c>
      <c r="N41" s="158">
        <v>0.3</v>
      </c>
      <c r="O41" s="1365">
        <f t="shared" si="15"/>
        <v>2808000</v>
      </c>
      <c r="P41" s="1366"/>
      <c r="Q41" s="1330"/>
      <c r="R41" s="1331"/>
      <c r="S41" s="152"/>
      <c r="T41" s="273"/>
      <c r="U41" s="79"/>
    </row>
    <row r="42" spans="1:34" s="84" customFormat="1" x14ac:dyDescent="0.3">
      <c r="B42" s="181"/>
      <c r="C42" s="182"/>
      <c r="D42" s="182" t="s">
        <v>2</v>
      </c>
      <c r="E42" s="183"/>
      <c r="F42" s="388" t="s">
        <v>272</v>
      </c>
      <c r="G42" s="366" t="s">
        <v>286</v>
      </c>
      <c r="H42" s="366" t="s">
        <v>287</v>
      </c>
      <c r="I42" s="155"/>
      <c r="J42" s="155">
        <v>1</v>
      </c>
      <c r="K42" s="157">
        <v>230000</v>
      </c>
      <c r="L42" s="157">
        <v>230000</v>
      </c>
      <c r="M42" s="164">
        <f t="shared" si="17"/>
        <v>230000</v>
      </c>
      <c r="N42" s="158">
        <v>0.3</v>
      </c>
      <c r="O42" s="1365">
        <f t="shared" si="15"/>
        <v>299000</v>
      </c>
      <c r="P42" s="1366"/>
      <c r="Q42" s="1330" t="s">
        <v>363</v>
      </c>
      <c r="R42" s="1331"/>
      <c r="S42" s="152"/>
      <c r="T42" s="78"/>
      <c r="U42"/>
      <c r="V42"/>
      <c r="W42"/>
      <c r="X42"/>
      <c r="Y42"/>
      <c r="Z42"/>
      <c r="AA42"/>
      <c r="AB42"/>
      <c r="AC42"/>
      <c r="AD42"/>
      <c r="AE42"/>
      <c r="AF42"/>
    </row>
    <row r="43" spans="1:34" s="82" customFormat="1" x14ac:dyDescent="0.3">
      <c r="B43" s="181"/>
      <c r="C43" s="182"/>
      <c r="D43" s="182" t="s">
        <v>2</v>
      </c>
      <c r="E43" s="183"/>
      <c r="F43" s="389" t="s">
        <v>355</v>
      </c>
      <c r="G43" s="366" t="s">
        <v>285</v>
      </c>
      <c r="H43" s="366" t="s">
        <v>277</v>
      </c>
      <c r="I43" s="155"/>
      <c r="J43" s="155">
        <v>1</v>
      </c>
      <c r="K43" s="157">
        <v>70000</v>
      </c>
      <c r="L43" s="157">
        <v>70000</v>
      </c>
      <c r="M43" s="164">
        <f>J43*K43</f>
        <v>70000</v>
      </c>
      <c r="N43" s="158">
        <v>0.3</v>
      </c>
      <c r="O43" s="1365">
        <f t="shared" si="15"/>
        <v>91000</v>
      </c>
      <c r="P43" s="1366"/>
      <c r="Q43" s="1330" t="s">
        <v>362</v>
      </c>
      <c r="R43" s="1331"/>
      <c r="S43" s="152"/>
      <c r="T43" s="273"/>
      <c r="U43" s="79"/>
    </row>
    <row r="44" spans="1:34" s="82" customFormat="1" x14ac:dyDescent="0.3">
      <c r="B44" s="181"/>
      <c r="C44" s="182"/>
      <c r="D44" s="182" t="s">
        <v>2</v>
      </c>
      <c r="E44" s="183"/>
      <c r="F44" s="388" t="s">
        <v>354</v>
      </c>
      <c r="G44" s="366" t="s">
        <v>353</v>
      </c>
      <c r="H44" s="182" t="s">
        <v>277</v>
      </c>
      <c r="I44" s="155"/>
      <c r="J44" s="155">
        <v>1</v>
      </c>
      <c r="K44" s="157">
        <v>70000</v>
      </c>
      <c r="L44" s="157">
        <v>70000</v>
      </c>
      <c r="M44" s="164">
        <f>J44*K44</f>
        <v>70000</v>
      </c>
      <c r="N44" s="158">
        <v>0.3</v>
      </c>
      <c r="O44" s="1365">
        <f t="shared" si="15"/>
        <v>91000</v>
      </c>
      <c r="P44" s="1366"/>
      <c r="Q44" s="1330" t="s">
        <v>362</v>
      </c>
      <c r="R44" s="1331"/>
      <c r="S44" s="152"/>
      <c r="T44" s="273"/>
      <c r="U44" s="79"/>
    </row>
    <row r="45" spans="1:34" s="82" customFormat="1" x14ac:dyDescent="0.3">
      <c r="B45" s="181"/>
      <c r="C45" s="182"/>
      <c r="D45" s="182" t="s">
        <v>2</v>
      </c>
      <c r="E45" s="183"/>
      <c r="F45" s="388" t="s">
        <v>357</v>
      </c>
      <c r="G45" s="366" t="s">
        <v>285</v>
      </c>
      <c r="H45" s="182" t="s">
        <v>277</v>
      </c>
      <c r="I45" s="155"/>
      <c r="J45" s="155">
        <v>1</v>
      </c>
      <c r="K45" s="157">
        <v>70000</v>
      </c>
      <c r="L45" s="157">
        <v>70000</v>
      </c>
      <c r="M45" s="157">
        <v>70000</v>
      </c>
      <c r="N45" s="158">
        <v>0.3</v>
      </c>
      <c r="O45" s="1365">
        <f t="shared" si="15"/>
        <v>91000</v>
      </c>
      <c r="P45" s="1366"/>
      <c r="Q45" s="1330" t="s">
        <v>361</v>
      </c>
      <c r="R45" s="1331"/>
      <c r="S45" s="152"/>
      <c r="T45" s="273"/>
      <c r="U45" s="79"/>
    </row>
    <row r="46" spans="1:34" s="413" customFormat="1" x14ac:dyDescent="0.3">
      <c r="A46" s="82"/>
      <c r="B46" s="181"/>
      <c r="C46" s="182"/>
      <c r="D46" s="182" t="s">
        <v>2</v>
      </c>
      <c r="E46" s="183"/>
      <c r="F46" s="388" t="s">
        <v>471</v>
      </c>
      <c r="G46" s="366"/>
      <c r="H46" s="182"/>
      <c r="I46" s="155"/>
      <c r="J46" s="155">
        <v>3</v>
      </c>
      <c r="K46" s="157">
        <v>20000</v>
      </c>
      <c r="L46" s="157">
        <v>20000</v>
      </c>
      <c r="M46" s="157">
        <f t="shared" ref="M46" si="18">J46*K46</f>
        <v>60000</v>
      </c>
      <c r="N46" s="158">
        <v>0.3</v>
      </c>
      <c r="O46" s="1365">
        <f t="shared" si="15"/>
        <v>78000</v>
      </c>
      <c r="P46" s="1366"/>
      <c r="Q46" s="1330" t="s">
        <v>485</v>
      </c>
      <c r="R46" s="1331"/>
      <c r="S46" s="152"/>
      <c r="T46" s="413">
        <v>6</v>
      </c>
    </row>
    <row r="47" spans="1:34" s="82" customFormat="1" x14ac:dyDescent="0.3">
      <c r="B47" s="181"/>
      <c r="C47" s="182" t="s">
        <v>2</v>
      </c>
      <c r="D47" s="366"/>
      <c r="E47" s="183"/>
      <c r="F47" s="388" t="s">
        <v>419</v>
      </c>
      <c r="G47" s="182"/>
      <c r="H47" s="182" t="s">
        <v>60</v>
      </c>
      <c r="I47" s="155"/>
      <c r="J47" s="155">
        <v>1</v>
      </c>
      <c r="K47" s="157">
        <v>3000000</v>
      </c>
      <c r="L47" s="157">
        <v>3000000</v>
      </c>
      <c r="M47" s="164">
        <f>J47*K47</f>
        <v>3000000</v>
      </c>
      <c r="N47" s="158">
        <v>0.3</v>
      </c>
      <c r="O47" s="1365">
        <f t="shared" si="15"/>
        <v>3900000</v>
      </c>
      <c r="P47" s="1366"/>
      <c r="Q47" s="508"/>
      <c r="R47" s="509"/>
      <c r="S47" s="152"/>
      <c r="T47" s="273"/>
      <c r="U47" s="79"/>
    </row>
    <row r="48" spans="1:34" s="82" customFormat="1" ht="17.25" thickBot="1" x14ac:dyDescent="0.35">
      <c r="B48" s="365"/>
      <c r="C48" s="366"/>
      <c r="D48" s="366"/>
      <c r="E48" s="367"/>
      <c r="F48" s="156"/>
      <c r="G48" s="155"/>
      <c r="H48" s="155"/>
      <c r="I48" s="155"/>
      <c r="J48" s="186"/>
      <c r="K48" s="199"/>
      <c r="L48" s="55"/>
      <c r="M48" s="164"/>
      <c r="N48" s="158"/>
      <c r="O48" s="378"/>
      <c r="P48" s="379"/>
      <c r="Q48" s="508"/>
      <c r="R48" s="509"/>
      <c r="S48" s="204"/>
      <c r="T48" s="273"/>
      <c r="U48" s="79"/>
    </row>
    <row r="49" spans="2:32" s="82" customFormat="1" ht="18" thickBot="1" x14ac:dyDescent="0.35">
      <c r="B49" s="1338" t="s">
        <v>53</v>
      </c>
      <c r="C49" s="1339"/>
      <c r="D49" s="1339"/>
      <c r="E49" s="1339"/>
      <c r="F49" s="1339"/>
      <c r="G49" s="1339"/>
      <c r="H49" s="1339"/>
      <c r="I49" s="1339"/>
      <c r="J49" s="1339"/>
      <c r="K49" s="1339"/>
      <c r="L49" s="1340"/>
      <c r="M49" s="123">
        <f>SUM(M5:M48)</f>
        <v>89458375.542999998</v>
      </c>
      <c r="N49" s="136"/>
      <c r="O49" s="1341">
        <f>SUM(O5:P48)</f>
        <v>125563000</v>
      </c>
      <c r="P49" s="1342"/>
      <c r="Q49" s="1343"/>
      <c r="R49" s="1344"/>
      <c r="S49" s="130"/>
      <c r="T49" s="273"/>
    </row>
    <row r="50" spans="2:32" s="82" customFormat="1" ht="17.25" thickBot="1" x14ac:dyDescent="0.35">
      <c r="B50" s="122" t="s">
        <v>2</v>
      </c>
      <c r="C50" s="116"/>
      <c r="D50" s="116"/>
      <c r="E50" s="117"/>
      <c r="F50" s="118" t="s">
        <v>242</v>
      </c>
      <c r="G50" s="119"/>
      <c r="H50" s="119"/>
      <c r="I50" s="119"/>
      <c r="J50" s="119"/>
      <c r="K50" s="119"/>
      <c r="L50" s="120"/>
      <c r="M50" s="121"/>
      <c r="N50" s="135"/>
      <c r="O50" s="1447"/>
      <c r="P50" s="1448"/>
      <c r="Q50" s="1326"/>
      <c r="R50" s="1327"/>
      <c r="S50" s="115"/>
      <c r="T50" s="273"/>
      <c r="U50" s="79"/>
    </row>
    <row r="51" spans="2:32" s="82" customFormat="1" x14ac:dyDescent="0.3">
      <c r="B51" s="131"/>
      <c r="C51" s="132" t="s">
        <v>73</v>
      </c>
      <c r="D51" s="133"/>
      <c r="E51" s="165"/>
      <c r="F51" s="227" t="s">
        <v>319</v>
      </c>
      <c r="G51" s="222" t="s">
        <v>94</v>
      </c>
      <c r="H51" s="222" t="s">
        <v>130</v>
      </c>
      <c r="I51" s="222" t="s">
        <v>131</v>
      </c>
      <c r="J51" s="371">
        <v>10</v>
      </c>
      <c r="K51" s="55">
        <v>307000</v>
      </c>
      <c r="L51" s="55">
        <v>307000</v>
      </c>
      <c r="M51" s="230">
        <f t="shared" ref="M51:M52" si="19">J51*K51</f>
        <v>3070000</v>
      </c>
      <c r="N51" s="148"/>
      <c r="O51" s="1365">
        <f t="shared" ref="O51:O52" si="20">L51*J51</f>
        <v>3070000</v>
      </c>
      <c r="P51" s="1366"/>
      <c r="Q51" s="1492"/>
      <c r="R51" s="1493"/>
      <c r="S51" s="207"/>
      <c r="T51" s="273"/>
      <c r="U51"/>
      <c r="V51"/>
      <c r="W51" s="79"/>
    </row>
    <row r="52" spans="2:32" s="84" customFormat="1" x14ac:dyDescent="0.3">
      <c r="B52" s="208"/>
      <c r="C52" s="209" t="s">
        <v>73</v>
      </c>
      <c r="D52" s="210"/>
      <c r="E52" s="211"/>
      <c r="F52" s="228" t="s">
        <v>320</v>
      </c>
      <c r="G52" s="223" t="s">
        <v>94</v>
      </c>
      <c r="H52" s="223" t="s">
        <v>130</v>
      </c>
      <c r="I52" s="223" t="s">
        <v>131</v>
      </c>
      <c r="J52" s="372">
        <v>25</v>
      </c>
      <c r="K52" s="55">
        <v>307000</v>
      </c>
      <c r="L52" s="55">
        <v>307000</v>
      </c>
      <c r="M52" s="231">
        <f t="shared" si="19"/>
        <v>7675000</v>
      </c>
      <c r="N52" s="158"/>
      <c r="O52" s="1365">
        <f t="shared" si="20"/>
        <v>7675000</v>
      </c>
      <c r="P52" s="1366"/>
      <c r="Q52" s="1494"/>
      <c r="R52" s="1495"/>
      <c r="S52" s="212"/>
      <c r="T52" s="78"/>
      <c r="U52"/>
      <c r="V52"/>
      <c r="W52"/>
      <c r="X52"/>
      <c r="Y52"/>
      <c r="Z52"/>
      <c r="AA52"/>
      <c r="AB52"/>
      <c r="AC52"/>
      <c r="AD52"/>
      <c r="AE52"/>
      <c r="AF52"/>
    </row>
    <row r="53" spans="2:32" s="84" customFormat="1" ht="17.25" thickBot="1" x14ac:dyDescent="0.35">
      <c r="B53" s="213"/>
      <c r="C53" s="214"/>
      <c r="D53" s="215"/>
      <c r="E53" s="216"/>
      <c r="F53" s="229"/>
      <c r="G53" s="224"/>
      <c r="H53" s="224"/>
      <c r="I53" s="224"/>
      <c r="J53" s="373"/>
      <c r="K53" s="225"/>
      <c r="L53" s="225"/>
      <c r="M53" s="226"/>
      <c r="N53" s="162"/>
      <c r="O53" s="1365">
        <f t="shared" ref="O53" si="21">L53</f>
        <v>0</v>
      </c>
      <c r="P53" s="1366"/>
      <c r="Q53" s="1453"/>
      <c r="R53" s="1454"/>
      <c r="S53" s="217"/>
      <c r="T53" s="78"/>
      <c r="U53"/>
      <c r="V53"/>
      <c r="W53"/>
      <c r="X53"/>
      <c r="Y53"/>
      <c r="Z53"/>
      <c r="AA53"/>
      <c r="AB53"/>
      <c r="AC53"/>
      <c r="AD53"/>
      <c r="AE53"/>
      <c r="AF53"/>
    </row>
    <row r="54" spans="2:32" s="84" customFormat="1" ht="17.25" thickBot="1" x14ac:dyDescent="0.35">
      <c r="B54" s="122" t="s">
        <v>2</v>
      </c>
      <c r="C54" s="116"/>
      <c r="D54" s="116"/>
      <c r="E54" s="117"/>
      <c r="F54" s="218" t="s">
        <v>243</v>
      </c>
      <c r="G54" s="219"/>
      <c r="H54" s="219"/>
      <c r="I54" s="219"/>
      <c r="J54" s="219"/>
      <c r="K54" s="220"/>
      <c r="L54" s="220"/>
      <c r="M54" s="221"/>
      <c r="N54" s="135"/>
      <c r="O54" s="1447"/>
      <c r="P54" s="1448"/>
      <c r="Q54" s="1447"/>
      <c r="R54" s="1448"/>
      <c r="S54" s="115"/>
      <c r="T54" s="78"/>
      <c r="U54"/>
      <c r="V54"/>
      <c r="W54"/>
      <c r="X54"/>
      <c r="Y54"/>
      <c r="Z54"/>
      <c r="AA54"/>
      <c r="AB54"/>
      <c r="AC54"/>
      <c r="AD54"/>
      <c r="AE54"/>
      <c r="AF54"/>
    </row>
    <row r="55" spans="2:32" s="84" customFormat="1" x14ac:dyDescent="0.3">
      <c r="B55" s="64"/>
      <c r="C55" s="65" t="s">
        <v>2</v>
      </c>
      <c r="D55" s="65"/>
      <c r="E55" s="66"/>
      <c r="F55" s="88" t="s">
        <v>7</v>
      </c>
      <c r="G55" s="85"/>
      <c r="H55" s="223" t="s">
        <v>130</v>
      </c>
      <c r="I55" s="223" t="s">
        <v>131</v>
      </c>
      <c r="J55" s="80">
        <v>5</v>
      </c>
      <c r="K55" s="55">
        <v>307000</v>
      </c>
      <c r="L55" s="55">
        <v>307000</v>
      </c>
      <c r="M55" s="112">
        <f>K55*J55</f>
        <v>1535000</v>
      </c>
      <c r="N55" s="137"/>
      <c r="O55" s="1365">
        <f t="shared" ref="O55:O61" si="22">L55*J55</f>
        <v>1535000</v>
      </c>
      <c r="P55" s="1366"/>
      <c r="Q55" s="1359" t="s">
        <v>62</v>
      </c>
      <c r="R55" s="1360"/>
      <c r="S55" s="94"/>
      <c r="T55" s="78"/>
      <c r="U55"/>
      <c r="V55"/>
      <c r="W55"/>
      <c r="X55"/>
      <c r="Y55"/>
      <c r="Z55"/>
      <c r="AA55"/>
      <c r="AB55"/>
      <c r="AC55"/>
      <c r="AD55"/>
      <c r="AE55"/>
      <c r="AF55"/>
    </row>
    <row r="56" spans="2:32" s="84" customFormat="1" x14ac:dyDescent="0.3">
      <c r="B56" s="62"/>
      <c r="C56" s="63" t="s">
        <v>2</v>
      </c>
      <c r="D56" s="63"/>
      <c r="E56" s="61"/>
      <c r="F56" s="89" t="s">
        <v>11</v>
      </c>
      <c r="G56" s="86"/>
      <c r="H56" s="223" t="s">
        <v>130</v>
      </c>
      <c r="I56" s="223" t="s">
        <v>131</v>
      </c>
      <c r="J56" s="56">
        <v>3</v>
      </c>
      <c r="K56" s="55">
        <v>307000</v>
      </c>
      <c r="L56" s="55">
        <v>307000</v>
      </c>
      <c r="M56" s="113">
        <f t="shared" ref="M56:M61" si="23">K56*J56</f>
        <v>921000</v>
      </c>
      <c r="N56" s="138"/>
      <c r="O56" s="1365">
        <f t="shared" si="22"/>
        <v>921000</v>
      </c>
      <c r="P56" s="1366"/>
      <c r="Q56" s="1361"/>
      <c r="R56" s="1362"/>
      <c r="S56" s="95"/>
      <c r="T56" s="78"/>
      <c r="U56"/>
      <c r="V56"/>
      <c r="W56"/>
      <c r="X56"/>
      <c r="Y56"/>
      <c r="Z56"/>
      <c r="AA56"/>
      <c r="AB56"/>
      <c r="AC56"/>
      <c r="AD56"/>
      <c r="AE56"/>
      <c r="AF56"/>
    </row>
    <row r="57" spans="2:32" s="84" customFormat="1" x14ac:dyDescent="0.3">
      <c r="B57" s="62"/>
      <c r="C57" s="63" t="s">
        <v>2</v>
      </c>
      <c r="D57" s="63"/>
      <c r="E57" s="61"/>
      <c r="F57" s="89" t="s">
        <v>41</v>
      </c>
      <c r="G57" s="86"/>
      <c r="H57" s="223" t="s">
        <v>130</v>
      </c>
      <c r="I57" s="223" t="s">
        <v>131</v>
      </c>
      <c r="J57" s="56">
        <v>5</v>
      </c>
      <c r="K57" s="55">
        <v>307000</v>
      </c>
      <c r="L57" s="55">
        <v>307000</v>
      </c>
      <c r="M57" s="113">
        <f t="shared" si="23"/>
        <v>1535000</v>
      </c>
      <c r="N57" s="138"/>
      <c r="O57" s="1365">
        <f t="shared" si="22"/>
        <v>1535000</v>
      </c>
      <c r="P57" s="1366"/>
      <c r="Q57" s="1361"/>
      <c r="R57" s="1362"/>
      <c r="S57" s="95"/>
      <c r="T57" s="78"/>
      <c r="U57"/>
      <c r="V57"/>
      <c r="W57"/>
      <c r="X57"/>
      <c r="Y57"/>
      <c r="Z57"/>
      <c r="AA57"/>
      <c r="AB57"/>
      <c r="AC57"/>
      <c r="AD57"/>
      <c r="AE57"/>
      <c r="AF57"/>
    </row>
    <row r="58" spans="2:32" x14ac:dyDescent="0.3">
      <c r="B58" s="62"/>
      <c r="C58" s="63" t="s">
        <v>2</v>
      </c>
      <c r="D58" s="63"/>
      <c r="E58" s="61"/>
      <c r="F58" s="89" t="s">
        <v>10</v>
      </c>
      <c r="G58" s="86"/>
      <c r="H58" s="223" t="s">
        <v>130</v>
      </c>
      <c r="I58" s="223" t="s">
        <v>131</v>
      </c>
      <c r="J58" s="56">
        <v>3</v>
      </c>
      <c r="K58" s="55">
        <v>307000</v>
      </c>
      <c r="L58" s="55">
        <v>307000</v>
      </c>
      <c r="M58" s="113">
        <f t="shared" si="23"/>
        <v>921000</v>
      </c>
      <c r="N58" s="138"/>
      <c r="O58" s="1365">
        <f t="shared" si="22"/>
        <v>921000</v>
      </c>
      <c r="P58" s="1366"/>
      <c r="Q58" s="1361"/>
      <c r="R58" s="1362"/>
      <c r="S58" s="95"/>
      <c r="T58" s="7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</row>
    <row r="59" spans="2:32" x14ac:dyDescent="0.3">
      <c r="B59" s="62"/>
      <c r="C59" s="63" t="s">
        <v>2</v>
      </c>
      <c r="D59" s="63"/>
      <c r="E59" s="61"/>
      <c r="F59" s="89" t="s">
        <v>61</v>
      </c>
      <c r="G59" s="86"/>
      <c r="H59" s="223" t="s">
        <v>130</v>
      </c>
      <c r="I59" s="223" t="s">
        <v>131</v>
      </c>
      <c r="J59" s="56">
        <v>2</v>
      </c>
      <c r="K59" s="55">
        <v>307000</v>
      </c>
      <c r="L59" s="55">
        <v>307000</v>
      </c>
      <c r="M59" s="113">
        <f t="shared" si="23"/>
        <v>614000</v>
      </c>
      <c r="N59" s="138"/>
      <c r="O59" s="1365">
        <f t="shared" si="22"/>
        <v>614000</v>
      </c>
      <c r="P59" s="1366"/>
      <c r="Q59" s="1361"/>
      <c r="R59" s="1362"/>
      <c r="S59" s="95"/>
      <c r="T59" s="73"/>
    </row>
    <row r="60" spans="2:32" x14ac:dyDescent="0.3">
      <c r="B60" s="67"/>
      <c r="C60" s="63" t="s">
        <v>2</v>
      </c>
      <c r="D60" s="68"/>
      <c r="E60" s="69"/>
      <c r="F60" s="90" t="s">
        <v>9</v>
      </c>
      <c r="G60" s="86"/>
      <c r="H60" s="223" t="s">
        <v>130</v>
      </c>
      <c r="I60" s="223" t="s">
        <v>131</v>
      </c>
      <c r="J60" s="56">
        <v>5</v>
      </c>
      <c r="K60" s="55">
        <v>307000</v>
      </c>
      <c r="L60" s="55">
        <v>307000</v>
      </c>
      <c r="M60" s="113">
        <f t="shared" si="23"/>
        <v>1535000</v>
      </c>
      <c r="N60" s="138"/>
      <c r="O60" s="1365">
        <f t="shared" si="22"/>
        <v>1535000</v>
      </c>
      <c r="P60" s="1366"/>
      <c r="Q60" s="1361"/>
      <c r="R60" s="1362"/>
      <c r="S60" s="95"/>
      <c r="T60" s="73"/>
    </row>
    <row r="61" spans="2:32" ht="17.25" thickBot="1" x14ac:dyDescent="0.35">
      <c r="B61" s="57"/>
      <c r="C61" s="58" t="s">
        <v>2</v>
      </c>
      <c r="D61" s="58"/>
      <c r="E61" s="60"/>
      <c r="F61" s="91" t="s">
        <v>8</v>
      </c>
      <c r="G61" s="87"/>
      <c r="H61" s="223" t="s">
        <v>130</v>
      </c>
      <c r="I61" s="223" t="s">
        <v>131</v>
      </c>
      <c r="J61" s="59">
        <v>2</v>
      </c>
      <c r="K61" s="55">
        <v>307000</v>
      </c>
      <c r="L61" s="55">
        <v>307000</v>
      </c>
      <c r="M61" s="114">
        <f t="shared" si="23"/>
        <v>614000</v>
      </c>
      <c r="N61" s="139"/>
      <c r="O61" s="1365">
        <f t="shared" si="22"/>
        <v>614000</v>
      </c>
      <c r="P61" s="1366"/>
      <c r="Q61" s="1363"/>
      <c r="R61" s="1364"/>
      <c r="S61" s="96"/>
      <c r="T61" s="73"/>
    </row>
    <row r="62" spans="2:32" ht="18" thickBot="1" x14ac:dyDescent="0.35">
      <c r="B62" s="1345" t="s">
        <v>46</v>
      </c>
      <c r="C62" s="1346"/>
      <c r="D62" s="1346"/>
      <c r="E62" s="1346"/>
      <c r="F62" s="1346"/>
      <c r="G62" s="1346"/>
      <c r="H62" s="1346"/>
      <c r="I62" s="1346"/>
      <c r="J62" s="1346"/>
      <c r="K62" s="1346"/>
      <c r="L62" s="1347"/>
      <c r="M62" s="124">
        <f>SUM(M50:M61)</f>
        <v>18420000</v>
      </c>
      <c r="N62" s="140"/>
      <c r="O62" s="1348">
        <f>SUM(O50:P61)</f>
        <v>18420000</v>
      </c>
      <c r="P62" s="1349"/>
      <c r="Q62" s="1350"/>
      <c r="R62" s="1350"/>
      <c r="S62" s="1351"/>
      <c r="T62" s="74"/>
    </row>
    <row r="63" spans="2:32" ht="20.25" thickBot="1" x14ac:dyDescent="0.35">
      <c r="B63" s="1352" t="s">
        <v>52</v>
      </c>
      <c r="C63" s="1353"/>
      <c r="D63" s="1353"/>
      <c r="E63" s="1353"/>
      <c r="F63" s="1353"/>
      <c r="G63" s="1353"/>
      <c r="H63" s="1353"/>
      <c r="I63" s="1353"/>
      <c r="J63" s="1353"/>
      <c r="K63" s="1353"/>
      <c r="L63" s="1353"/>
      <c r="M63" s="125"/>
      <c r="N63" s="134">
        <v>0.03</v>
      </c>
      <c r="O63" s="1354">
        <f>ROUNDDOWN(O49*N63,-3)</f>
        <v>3766000</v>
      </c>
      <c r="P63" s="1355"/>
      <c r="Q63" s="1356"/>
      <c r="R63" s="1357"/>
      <c r="S63" s="1358"/>
    </row>
    <row r="64" spans="2:32" ht="20.25" thickBot="1" x14ac:dyDescent="0.35">
      <c r="B64" s="1352" t="s">
        <v>54</v>
      </c>
      <c r="C64" s="1353"/>
      <c r="D64" s="1353"/>
      <c r="E64" s="1353"/>
      <c r="F64" s="1353"/>
      <c r="G64" s="1353"/>
      <c r="H64" s="1353"/>
      <c r="I64" s="1353"/>
      <c r="J64" s="1353"/>
      <c r="K64" s="1353"/>
      <c r="L64" s="1353"/>
      <c r="M64" s="127"/>
      <c r="N64" s="128"/>
      <c r="O64" s="1354">
        <f>SUM(O63,O62,O49)</f>
        <v>147749000</v>
      </c>
      <c r="P64" s="1355"/>
      <c r="Q64" s="1374"/>
      <c r="R64" s="1375"/>
      <c r="S64" s="1376"/>
    </row>
    <row r="65" spans="2:32" ht="20.25" thickBot="1" x14ac:dyDescent="0.35">
      <c r="B65" s="1352" t="s">
        <v>51</v>
      </c>
      <c r="C65" s="1353"/>
      <c r="D65" s="1353"/>
      <c r="E65" s="1353"/>
      <c r="F65" s="1353"/>
      <c r="G65" s="1353"/>
      <c r="H65" s="1353"/>
      <c r="I65" s="1353"/>
      <c r="J65" s="1353"/>
      <c r="K65" s="1353"/>
      <c r="L65" s="1353"/>
      <c r="M65" s="129"/>
      <c r="N65" s="126">
        <v>0.1</v>
      </c>
      <c r="O65" s="1381">
        <f>ROUNDDOWN(O64*N65,-3)</f>
        <v>14774000</v>
      </c>
      <c r="P65" s="1382"/>
      <c r="Q65" s="1383"/>
      <c r="R65" s="1384"/>
      <c r="S65" s="1385"/>
    </row>
    <row r="66" spans="2:32" ht="21" thickBot="1" x14ac:dyDescent="0.35">
      <c r="B66" s="1367" t="s">
        <v>44</v>
      </c>
      <c r="C66" s="1368"/>
      <c r="D66" s="1368"/>
      <c r="E66" s="1368"/>
      <c r="F66" s="1368"/>
      <c r="G66" s="1368"/>
      <c r="H66" s="1368"/>
      <c r="I66" s="1368"/>
      <c r="J66" s="1368"/>
      <c r="K66" s="1368"/>
      <c r="L66" s="1368"/>
      <c r="M66" s="92"/>
      <c r="N66" s="111"/>
      <c r="O66" s="1369">
        <f>ROUNDDOWN(SUM(O64:P65), -6)</f>
        <v>162000000</v>
      </c>
      <c r="P66" s="1370"/>
      <c r="Q66" s="1371"/>
      <c r="R66" s="1372"/>
      <c r="S66" s="137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1" thickBot="1" x14ac:dyDescent="0.35">
      <c r="B67" s="104"/>
      <c r="C67" s="104"/>
      <c r="D67" s="104"/>
      <c r="E67" s="104"/>
      <c r="F67" s="105"/>
      <c r="G67" s="105"/>
      <c r="H67" s="105"/>
      <c r="I67" s="105"/>
      <c r="J67" s="105"/>
      <c r="K67" s="105"/>
      <c r="L67" s="105"/>
      <c r="M67" s="106"/>
      <c r="N67" s="107"/>
      <c r="O67" s="107"/>
      <c r="P67" s="107"/>
      <c r="Q67" s="108"/>
      <c r="R67" s="108"/>
      <c r="S67" s="108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18" thickBot="1" x14ac:dyDescent="0.35">
      <c r="B68" s="1374" t="s">
        <v>50</v>
      </c>
      <c r="C68" s="1375"/>
      <c r="D68" s="1375"/>
      <c r="E68" s="1376"/>
      <c r="F68" s="109"/>
      <c r="G68" s="109"/>
      <c r="H68" s="109"/>
      <c r="I68" s="109"/>
      <c r="J68" s="109"/>
      <c r="K68" s="110"/>
      <c r="L68" s="110"/>
      <c r="M68" s="110"/>
      <c r="N68" s="77" t="s">
        <v>14</v>
      </c>
      <c r="O68" s="1377" t="s">
        <v>15</v>
      </c>
      <c r="P68" s="1378"/>
      <c r="Q68" s="1379" t="s">
        <v>17</v>
      </c>
      <c r="R68" s="1380"/>
      <c r="S68" s="166" t="s">
        <v>16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x14ac:dyDescent="0.3">
      <c r="B69" s="102">
        <v>1</v>
      </c>
      <c r="C69" s="1400"/>
      <c r="D69" s="1401"/>
      <c r="E69" s="1401"/>
      <c r="F69" s="1401"/>
      <c r="G69" s="1401"/>
      <c r="H69" s="1401"/>
      <c r="I69" s="1401"/>
      <c r="J69" s="1402"/>
      <c r="N69" s="11">
        <v>0</v>
      </c>
      <c r="O69" s="1403">
        <f>$O$66/(1+N69)</f>
        <v>162000000</v>
      </c>
      <c r="P69" s="1404"/>
      <c r="Q69" s="1405">
        <f>O69-$M$49</f>
        <v>72541624.457000002</v>
      </c>
      <c r="R69" s="1406"/>
      <c r="S69" s="160">
        <f>Q69/O69</f>
        <v>0.44778780529012346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x14ac:dyDescent="0.3">
      <c r="B70" s="100">
        <v>2</v>
      </c>
      <c r="C70" s="1458"/>
      <c r="D70" s="1456"/>
      <c r="E70" s="1456"/>
      <c r="F70" s="1456"/>
      <c r="G70" s="1456"/>
      <c r="H70" s="1456"/>
      <c r="I70" s="1456"/>
      <c r="J70" s="1457"/>
      <c r="N70" s="9">
        <v>0.1</v>
      </c>
      <c r="O70" s="1389">
        <f>$O$66/(1+N70)</f>
        <v>147272727.27272725</v>
      </c>
      <c r="P70" s="1390"/>
      <c r="Q70" s="1391">
        <f t="shared" ref="Q70:Q73" si="24">O70-$M$49</f>
        <v>57814351.729727253</v>
      </c>
      <c r="R70" s="1392"/>
      <c r="S70" s="161">
        <f t="shared" ref="S70:S73" si="25">Q70/O70</f>
        <v>0.39256658581913573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x14ac:dyDescent="0.3">
      <c r="B71" s="100">
        <v>3</v>
      </c>
      <c r="C71" s="1455"/>
      <c r="D71" s="1456"/>
      <c r="E71" s="1456"/>
      <c r="F71" s="1456"/>
      <c r="G71" s="1456"/>
      <c r="H71" s="1456"/>
      <c r="I71" s="1456"/>
      <c r="J71" s="1457"/>
      <c r="N71" s="10">
        <v>0.15</v>
      </c>
      <c r="O71" s="1389">
        <f t="shared" ref="O71:O72" si="26">$O$66/(1+N71)</f>
        <v>140869565.21739131</v>
      </c>
      <c r="P71" s="1390"/>
      <c r="Q71" s="1391">
        <f t="shared" si="24"/>
        <v>51411189.674391314</v>
      </c>
      <c r="R71" s="1392"/>
      <c r="S71" s="161">
        <f t="shared" si="25"/>
        <v>0.36495597608364205</v>
      </c>
    </row>
    <row r="72" spans="2:32" ht="18" customHeight="1" x14ac:dyDescent="0.3">
      <c r="B72" s="100">
        <v>4</v>
      </c>
      <c r="C72" s="1455"/>
      <c r="D72" s="1456"/>
      <c r="E72" s="1456"/>
      <c r="F72" s="1456"/>
      <c r="G72" s="1456"/>
      <c r="H72" s="1456"/>
      <c r="I72" s="1456"/>
      <c r="J72" s="1457"/>
      <c r="N72" s="10">
        <v>0.2</v>
      </c>
      <c r="O72" s="1389">
        <f t="shared" si="26"/>
        <v>135000000</v>
      </c>
      <c r="P72" s="1390"/>
      <c r="Q72" s="1391">
        <f t="shared" si="24"/>
        <v>45541624.457000002</v>
      </c>
      <c r="R72" s="1392"/>
      <c r="S72" s="161">
        <f t="shared" si="25"/>
        <v>0.33734536634814816</v>
      </c>
    </row>
    <row r="73" spans="2:32" ht="18" customHeight="1" thickBot="1" x14ac:dyDescent="0.35">
      <c r="B73" s="100">
        <v>5</v>
      </c>
      <c r="C73" s="1393"/>
      <c r="D73" s="1394"/>
      <c r="E73" s="1394"/>
      <c r="F73" s="1394"/>
      <c r="G73" s="1394"/>
      <c r="H73" s="1394"/>
      <c r="I73" s="1394"/>
      <c r="J73" s="1395"/>
      <c r="N73" s="12" t="s">
        <v>45</v>
      </c>
      <c r="O73" s="1396">
        <v>0</v>
      </c>
      <c r="P73" s="1397"/>
      <c r="Q73" s="1398">
        <f t="shared" si="24"/>
        <v>-89458375.542999998</v>
      </c>
      <c r="R73" s="1399"/>
      <c r="S73" s="99" t="e">
        <f t="shared" si="25"/>
        <v>#DIV/0!</v>
      </c>
    </row>
    <row r="74" spans="2:32" ht="18" customHeight="1" thickBot="1" x14ac:dyDescent="0.35">
      <c r="B74" s="100">
        <v>6</v>
      </c>
      <c r="C74" s="1393"/>
      <c r="D74" s="1394"/>
      <c r="E74" s="1394"/>
      <c r="F74" s="1394"/>
      <c r="G74" s="1394"/>
      <c r="H74" s="1394"/>
      <c r="I74" s="1394"/>
      <c r="J74" s="1395"/>
    </row>
    <row r="75" spans="2:32" s="103" customFormat="1" ht="18" customHeight="1" thickBot="1" x14ac:dyDescent="0.35">
      <c r="B75" s="100">
        <v>7</v>
      </c>
      <c r="C75" s="380"/>
      <c r="D75" s="381"/>
      <c r="E75" s="381"/>
      <c r="F75" s="381"/>
      <c r="G75" s="381"/>
      <c r="H75" s="381"/>
      <c r="I75" s="381"/>
      <c r="J75" s="382"/>
      <c r="K75" s="1"/>
      <c r="L75" s="1"/>
      <c r="M75" s="1"/>
      <c r="N75" s="1410" t="s">
        <v>47</v>
      </c>
      <c r="O75" s="1411"/>
      <c r="P75" s="1412" t="s">
        <v>48</v>
      </c>
      <c r="Q75" s="1413"/>
      <c r="R75" s="1414" t="s">
        <v>49</v>
      </c>
      <c r="S75" s="1415"/>
      <c r="T75" s="109"/>
      <c r="U75"/>
      <c r="V75"/>
      <c r="W75"/>
      <c r="X75"/>
      <c r="Y75"/>
      <c r="Z75"/>
      <c r="AA75"/>
      <c r="AB75"/>
      <c r="AC75"/>
      <c r="AD75"/>
      <c r="AE75"/>
      <c r="AF75"/>
    </row>
    <row r="76" spans="2:32" ht="18" customHeight="1" x14ac:dyDescent="0.3">
      <c r="B76" s="100">
        <v>8</v>
      </c>
      <c r="C76" s="1393"/>
      <c r="D76" s="1394"/>
      <c r="E76" s="1394"/>
      <c r="F76" s="1394"/>
      <c r="G76" s="1394"/>
      <c r="H76" s="1394"/>
      <c r="I76" s="1394"/>
      <c r="J76" s="1395"/>
      <c r="N76" s="1416"/>
      <c r="O76" s="1417"/>
      <c r="P76" s="1422"/>
      <c r="Q76" s="1423"/>
      <c r="R76" s="1428"/>
      <c r="S76" s="1429"/>
    </row>
    <row r="77" spans="2:32" ht="18" customHeight="1" x14ac:dyDescent="0.3">
      <c r="B77" s="100"/>
      <c r="C77" s="1434"/>
      <c r="D77" s="1435"/>
      <c r="E77" s="1435"/>
      <c r="F77" s="1435"/>
      <c r="G77" s="1435"/>
      <c r="H77" s="1435"/>
      <c r="I77" s="1435"/>
      <c r="J77" s="1436"/>
      <c r="N77" s="1418"/>
      <c r="O77" s="1419"/>
      <c r="P77" s="1424"/>
      <c r="Q77" s="1425"/>
      <c r="R77" s="1430"/>
      <c r="S77" s="1431"/>
    </row>
    <row r="78" spans="2:32" ht="18" customHeight="1" x14ac:dyDescent="0.3">
      <c r="B78" s="100"/>
      <c r="C78" s="1434"/>
      <c r="D78" s="1435"/>
      <c r="E78" s="1435"/>
      <c r="F78" s="1435"/>
      <c r="G78" s="1435"/>
      <c r="H78" s="1435"/>
      <c r="I78" s="1435"/>
      <c r="J78" s="1436"/>
      <c r="N78" s="1418"/>
      <c r="O78" s="1419"/>
      <c r="P78" s="1424"/>
      <c r="Q78" s="1425"/>
      <c r="R78" s="1430"/>
      <c r="S78" s="1431"/>
    </row>
    <row r="79" spans="2:32" ht="18" customHeight="1" thickBot="1" x14ac:dyDescent="0.35">
      <c r="B79" s="101"/>
      <c r="C79" s="1407"/>
      <c r="D79" s="1408"/>
      <c r="E79" s="1408"/>
      <c r="F79" s="1408"/>
      <c r="G79" s="1408"/>
      <c r="H79" s="1408"/>
      <c r="I79" s="1408"/>
      <c r="J79" s="1409"/>
      <c r="N79" s="1420"/>
      <c r="O79" s="1421"/>
      <c r="P79" s="1426"/>
      <c r="Q79" s="1427"/>
      <c r="R79" s="1432"/>
      <c r="S79" s="1433"/>
    </row>
    <row r="80" spans="2:32" ht="18" customHeight="1" x14ac:dyDescent="0.3"/>
    <row r="81" spans="1:32" ht="18" customHeight="1" x14ac:dyDescent="0.3"/>
    <row r="82" spans="1:32" ht="18" customHeight="1" x14ac:dyDescent="0.3"/>
    <row r="83" spans="1:32" s="3" customFormat="1" ht="17.25" x14ac:dyDescent="0.3">
      <c r="A83"/>
      <c r="B83" s="2"/>
      <c r="C83" s="2"/>
      <c r="D83" s="2"/>
      <c r="E83" s="2"/>
      <c r="K83" s="1"/>
      <c r="L83" s="1"/>
      <c r="M83" s="1"/>
      <c r="N83" s="5"/>
      <c r="O83" s="1"/>
      <c r="P83" s="1"/>
      <c r="Q83"/>
      <c r="R83"/>
      <c r="S83" s="93"/>
      <c r="T83" s="545"/>
      <c r="U83"/>
      <c r="V83"/>
      <c r="W83"/>
      <c r="X83"/>
      <c r="Y83"/>
      <c r="Z83"/>
      <c r="AA83"/>
      <c r="AB83"/>
      <c r="AC83"/>
      <c r="AD83"/>
      <c r="AE83"/>
      <c r="AF83"/>
    </row>
    <row r="84" spans="1:32" s="3" customFormat="1" x14ac:dyDescent="0.3">
      <c r="A84"/>
      <c r="B84" s="2"/>
      <c r="C84" s="2"/>
      <c r="D84" s="2"/>
      <c r="E84" s="2"/>
      <c r="K84" s="1"/>
      <c r="L84" s="1"/>
      <c r="M84" s="1"/>
      <c r="N84" s="5"/>
      <c r="O84" s="1"/>
      <c r="P84" s="1"/>
      <c r="Q84"/>
      <c r="R84"/>
      <c r="S84" s="93"/>
      <c r="T84" s="546"/>
      <c r="U84"/>
      <c r="V84"/>
      <c r="W84"/>
      <c r="X84"/>
      <c r="Y84"/>
      <c r="Z84"/>
      <c r="AA84"/>
      <c r="AB84"/>
      <c r="AC84"/>
      <c r="AD84"/>
      <c r="AE84"/>
      <c r="AF84"/>
    </row>
    <row r="85" spans="1:32" s="3" customFormat="1" x14ac:dyDescent="0.3">
      <c r="A85"/>
      <c r="B85" s="2"/>
      <c r="C85" s="2"/>
      <c r="D85" s="2"/>
      <c r="E85" s="2"/>
      <c r="K85" s="1"/>
      <c r="L85" s="1"/>
      <c r="M85" s="1"/>
      <c r="N85" s="5"/>
      <c r="O85" s="1"/>
      <c r="P85" s="1"/>
      <c r="Q85"/>
      <c r="R85"/>
      <c r="S85" s="93"/>
      <c r="T85" s="546"/>
      <c r="U85"/>
      <c r="V85"/>
      <c r="W85"/>
      <c r="X85"/>
      <c r="Y85"/>
      <c r="Z85"/>
      <c r="AA85"/>
      <c r="AB85"/>
      <c r="AC85"/>
      <c r="AD85"/>
      <c r="AE85"/>
      <c r="AF85"/>
    </row>
    <row r="86" spans="1:32" s="3" customFormat="1" x14ac:dyDescent="0.3">
      <c r="A86"/>
      <c r="B86" s="2"/>
      <c r="C86" s="2"/>
      <c r="D86" s="2"/>
      <c r="E86" s="2"/>
      <c r="K86" s="1"/>
      <c r="L86" s="1"/>
      <c r="M86" s="1"/>
      <c r="N86" s="5"/>
      <c r="O86" s="1"/>
      <c r="P86" s="1"/>
      <c r="Q86"/>
      <c r="R86"/>
      <c r="S86" s="93"/>
      <c r="T86" s="546"/>
      <c r="U86"/>
      <c r="V86"/>
      <c r="W86"/>
      <c r="X86"/>
      <c r="Y86"/>
      <c r="Z86"/>
      <c r="AA86"/>
      <c r="AB86"/>
      <c r="AC86"/>
      <c r="AD86"/>
      <c r="AE86"/>
      <c r="AF86"/>
    </row>
    <row r="87" spans="1:32" s="3" customFormat="1" x14ac:dyDescent="0.3">
      <c r="A87"/>
      <c r="B87" s="2"/>
      <c r="C87" s="2"/>
      <c r="D87" s="2"/>
      <c r="E87" s="2"/>
      <c r="K87" s="1"/>
      <c r="L87" s="1"/>
      <c r="M87" s="1"/>
      <c r="N87" s="5"/>
      <c r="O87" s="1"/>
      <c r="P87" s="1"/>
      <c r="Q87"/>
      <c r="R87"/>
      <c r="S87" s="93"/>
      <c r="T87" s="546"/>
      <c r="U87"/>
      <c r="V87"/>
      <c r="W87"/>
      <c r="X87"/>
      <c r="Y87"/>
      <c r="Z87"/>
      <c r="AA87"/>
      <c r="AB87"/>
      <c r="AC87"/>
      <c r="AD87"/>
      <c r="AE87"/>
      <c r="AF87"/>
    </row>
  </sheetData>
  <mergeCells count="144">
    <mergeCell ref="O14:P14"/>
    <mergeCell ref="Q14:R14"/>
    <mergeCell ref="O19:P19"/>
    <mergeCell ref="O20:P20"/>
    <mergeCell ref="Q19:R20"/>
    <mergeCell ref="O12:P12"/>
    <mergeCell ref="Q12:R12"/>
    <mergeCell ref="Q31:R31"/>
    <mergeCell ref="O31:P31"/>
    <mergeCell ref="O17:P17"/>
    <mergeCell ref="Q17:R18"/>
    <mergeCell ref="O18:P18"/>
    <mergeCell ref="Q23:R24"/>
    <mergeCell ref="O13:P13"/>
    <mergeCell ref="Q13:R13"/>
    <mergeCell ref="O42:P42"/>
    <mergeCell ref="Q26:R26"/>
    <mergeCell ref="O16:P16"/>
    <mergeCell ref="Q16:R16"/>
    <mergeCell ref="Q21:R22"/>
    <mergeCell ref="Q25:R25"/>
    <mergeCell ref="O15:P15"/>
    <mergeCell ref="O29:P29"/>
    <mergeCell ref="O23:P23"/>
    <mergeCell ref="O24:P24"/>
    <mergeCell ref="O34:P34"/>
    <mergeCell ref="O35:P35"/>
    <mergeCell ref="O26:P26"/>
    <mergeCell ref="Q15:R15"/>
    <mergeCell ref="O43:P43"/>
    <mergeCell ref="Q28:R28"/>
    <mergeCell ref="Q42:R42"/>
    <mergeCell ref="Q43:R43"/>
    <mergeCell ref="Q33:R33"/>
    <mergeCell ref="Q30:R30"/>
    <mergeCell ref="Q27:R27"/>
    <mergeCell ref="O36:P36"/>
    <mergeCell ref="O37:P37"/>
    <mergeCell ref="Q37:R37"/>
    <mergeCell ref="Q38:R38"/>
    <mergeCell ref="O32:P32"/>
    <mergeCell ref="Q32:R32"/>
    <mergeCell ref="O33:P33"/>
    <mergeCell ref="O27:P27"/>
    <mergeCell ref="O28:P28"/>
    <mergeCell ref="Q41:R41"/>
    <mergeCell ref="O40:P40"/>
    <mergeCell ref="O38:P38"/>
    <mergeCell ref="Q35:R35"/>
    <mergeCell ref="Q29:R29"/>
    <mergeCell ref="O39:P39"/>
    <mergeCell ref="O41:P41"/>
    <mergeCell ref="O30:P30"/>
    <mergeCell ref="C71:J71"/>
    <mergeCell ref="O71:P71"/>
    <mergeCell ref="Q71:R71"/>
    <mergeCell ref="C72:J72"/>
    <mergeCell ref="O72:P72"/>
    <mergeCell ref="Q72:R72"/>
    <mergeCell ref="C69:J69"/>
    <mergeCell ref="O69:P69"/>
    <mergeCell ref="Q69:R69"/>
    <mergeCell ref="C70:J70"/>
    <mergeCell ref="O70:P70"/>
    <mergeCell ref="Q70:R70"/>
    <mergeCell ref="C76:J76"/>
    <mergeCell ref="N76:O79"/>
    <mergeCell ref="P76:Q79"/>
    <mergeCell ref="R76:S79"/>
    <mergeCell ref="C77:J77"/>
    <mergeCell ref="C78:J78"/>
    <mergeCell ref="C79:J79"/>
    <mergeCell ref="C73:J73"/>
    <mergeCell ref="O73:P73"/>
    <mergeCell ref="Q73:R73"/>
    <mergeCell ref="C74:J74"/>
    <mergeCell ref="N75:O75"/>
    <mergeCell ref="P75:Q75"/>
    <mergeCell ref="R75:S75"/>
    <mergeCell ref="B66:L66"/>
    <mergeCell ref="O66:P66"/>
    <mergeCell ref="Q66:S66"/>
    <mergeCell ref="B68:E68"/>
    <mergeCell ref="O68:P68"/>
    <mergeCell ref="Q68:R68"/>
    <mergeCell ref="B64:L64"/>
    <mergeCell ref="O64:P64"/>
    <mergeCell ref="Q64:S64"/>
    <mergeCell ref="B65:L65"/>
    <mergeCell ref="O65:P65"/>
    <mergeCell ref="Q65:S65"/>
    <mergeCell ref="B62:L62"/>
    <mergeCell ref="O62:P62"/>
    <mergeCell ref="Q62:S62"/>
    <mergeCell ref="B63:L63"/>
    <mergeCell ref="O63:P63"/>
    <mergeCell ref="Q63:S63"/>
    <mergeCell ref="B49:L49"/>
    <mergeCell ref="O49:P49"/>
    <mergeCell ref="Q49:R49"/>
    <mergeCell ref="O55:P55"/>
    <mergeCell ref="Q55:R61"/>
    <mergeCell ref="O56:P56"/>
    <mergeCell ref="O57:P57"/>
    <mergeCell ref="O58:P58"/>
    <mergeCell ref="O59:P59"/>
    <mergeCell ref="O60:P60"/>
    <mergeCell ref="O61:P61"/>
    <mergeCell ref="O53:P53"/>
    <mergeCell ref="Q53:R53"/>
    <mergeCell ref="O54:P54"/>
    <mergeCell ref="Q54:R54"/>
    <mergeCell ref="Q44:R44"/>
    <mergeCell ref="O50:P50"/>
    <mergeCell ref="Q50:R50"/>
    <mergeCell ref="O51:P51"/>
    <mergeCell ref="Q51:R51"/>
    <mergeCell ref="O52:P52"/>
    <mergeCell ref="Q52:R52"/>
    <mergeCell ref="O44:P44"/>
    <mergeCell ref="O45:P45"/>
    <mergeCell ref="O47:P47"/>
    <mergeCell ref="Q45:R45"/>
    <mergeCell ref="O46:P46"/>
    <mergeCell ref="Q46:R46"/>
    <mergeCell ref="O6:P6"/>
    <mergeCell ref="Q6:R6"/>
    <mergeCell ref="A2:S2"/>
    <mergeCell ref="Q3:S3"/>
    <mergeCell ref="B4:E4"/>
    <mergeCell ref="O4:P4"/>
    <mergeCell ref="Q4:R4"/>
    <mergeCell ref="O5:P5"/>
    <mergeCell ref="Q5:R5"/>
    <mergeCell ref="O7:P7"/>
    <mergeCell ref="Q7:R7"/>
    <mergeCell ref="O8:P8"/>
    <mergeCell ref="Q8:R8"/>
    <mergeCell ref="O10:P10"/>
    <mergeCell ref="Q10:R10"/>
    <mergeCell ref="O9:P9"/>
    <mergeCell ref="Q9:R9"/>
    <mergeCell ref="O11:P11"/>
    <mergeCell ref="Q11:R11"/>
  </mergeCells>
  <phoneticPr fontId="2" type="noConversion"/>
  <pageMargins left="0.25" right="0.25" top="0.75" bottom="0.75" header="0.3" footer="0.3"/>
  <pageSetup paperSize="9" scale="35" fitToWidth="0" orientation="landscape" horizontalDpi="300" r:id="rId1"/>
  <headerFooter>
    <oddFooter>&amp;R&amp;D</oddFooter>
  </headerFooter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6CA2-F581-4A9C-8C2D-026E8185B025}">
  <sheetPr>
    <pageSetUpPr fitToPage="1"/>
  </sheetPr>
  <dimension ref="A1:AH76"/>
  <sheetViews>
    <sheetView view="pageBreakPreview" topLeftCell="A31" zoomScale="85" zoomScaleNormal="70" zoomScaleSheetLayoutView="85" zoomScalePageLayoutView="85" workbookViewId="0">
      <selection activeCell="G7" sqref="G7"/>
    </sheetView>
  </sheetViews>
  <sheetFormatPr defaultRowHeight="16.5" x14ac:dyDescent="0.3"/>
  <cols>
    <col min="1" max="1" width="1.625" customWidth="1"/>
    <col min="2" max="5" width="3.375" style="2" customWidth="1"/>
    <col min="6" max="6" width="57.25" style="3" customWidth="1"/>
    <col min="7" max="7" width="25.625" style="3" bestFit="1" customWidth="1"/>
    <col min="8" max="9" width="16.625" style="3" customWidth="1"/>
    <col min="10" max="10" width="6.625" style="3" customWidth="1"/>
    <col min="11" max="13" width="16.625" style="1" customWidth="1"/>
    <col min="14" max="14" width="12.625" style="5" customWidth="1"/>
    <col min="15" max="15" width="9.625" style="1" customWidth="1"/>
    <col min="16" max="16" width="12.625" style="1" customWidth="1"/>
    <col min="17" max="18" width="22.375" customWidth="1"/>
    <col min="19" max="19" width="21.875" style="93" customWidth="1"/>
    <col min="20" max="20" width="2" style="70" customWidth="1"/>
  </cols>
  <sheetData>
    <row r="1" spans="1:34" ht="9.9499999999999993" customHeight="1" x14ac:dyDescent="0.3"/>
    <row r="2" spans="1:34" ht="26.25" x14ac:dyDescent="0.3">
      <c r="A2" s="1445" t="s">
        <v>244</v>
      </c>
      <c r="B2" s="1445"/>
      <c r="C2" s="1445"/>
      <c r="D2" s="1445"/>
      <c r="E2" s="1445"/>
      <c r="F2" s="1445"/>
      <c r="G2" s="1445"/>
      <c r="H2" s="1445"/>
      <c r="I2" s="1445"/>
      <c r="J2" s="1445"/>
      <c r="K2" s="1445"/>
      <c r="L2" s="1445"/>
      <c r="M2" s="1445"/>
      <c r="N2" s="1445"/>
      <c r="O2" s="1445"/>
      <c r="P2" s="1445"/>
      <c r="Q2" s="1445"/>
      <c r="R2" s="1445"/>
      <c r="S2" s="1445"/>
      <c r="T2" s="72"/>
    </row>
    <row r="3" spans="1:34" ht="17.25" thickBot="1" x14ac:dyDescent="0.35">
      <c r="B3" s="2" t="s">
        <v>398</v>
      </c>
      <c r="Q3" s="1446">
        <v>45407</v>
      </c>
      <c r="R3" s="1446"/>
      <c r="S3" s="1446"/>
      <c r="T3" s="75"/>
    </row>
    <row r="4" spans="1:34" ht="18" thickBot="1" x14ac:dyDescent="0.35">
      <c r="B4" s="1318" t="s">
        <v>1</v>
      </c>
      <c r="C4" s="1319"/>
      <c r="D4" s="1319"/>
      <c r="E4" s="1320"/>
      <c r="F4" s="6" t="s">
        <v>56</v>
      </c>
      <c r="G4" s="6" t="s">
        <v>55</v>
      </c>
      <c r="H4" s="6" t="s">
        <v>0</v>
      </c>
      <c r="I4" s="6" t="s">
        <v>43</v>
      </c>
      <c r="J4" s="6" t="s">
        <v>4</v>
      </c>
      <c r="K4" s="7" t="s">
        <v>12</v>
      </c>
      <c r="L4" s="8" t="s">
        <v>39</v>
      </c>
      <c r="M4" s="8" t="s">
        <v>5</v>
      </c>
      <c r="N4" s="141" t="s">
        <v>13</v>
      </c>
      <c r="O4" s="1321" t="s">
        <v>6</v>
      </c>
      <c r="P4" s="1322"/>
      <c r="Q4" s="1319" t="s">
        <v>3</v>
      </c>
      <c r="R4" s="1323"/>
      <c r="S4" s="71" t="s">
        <v>59</v>
      </c>
      <c r="T4" s="75"/>
    </row>
    <row r="5" spans="1:34" s="82" customFormat="1" ht="17.25" thickBot="1" x14ac:dyDescent="0.35">
      <c r="B5" s="122" t="s">
        <v>2</v>
      </c>
      <c r="C5" s="116"/>
      <c r="D5" s="116"/>
      <c r="E5" s="117"/>
      <c r="F5" s="118" t="s">
        <v>265</v>
      </c>
      <c r="G5" s="119"/>
      <c r="H5" s="119"/>
      <c r="I5" s="119"/>
      <c r="J5" s="119"/>
      <c r="K5" s="272"/>
      <c r="L5" s="120"/>
      <c r="M5" s="121"/>
      <c r="N5" s="135"/>
      <c r="O5" s="1447"/>
      <c r="P5" s="1448"/>
      <c r="Q5" s="1326"/>
      <c r="R5" s="1327"/>
      <c r="S5" s="115"/>
      <c r="T5" s="73"/>
      <c r="U5"/>
      <c r="V5"/>
      <c r="W5"/>
      <c r="X5"/>
      <c r="Y5"/>
      <c r="Z5"/>
      <c r="AA5"/>
      <c r="AB5"/>
      <c r="AC5"/>
      <c r="AD5"/>
      <c r="AE5"/>
      <c r="AF5"/>
    </row>
    <row r="6" spans="1:34" s="82" customFormat="1" x14ac:dyDescent="0.3">
      <c r="B6" s="401"/>
      <c r="C6" s="402"/>
      <c r="D6" s="403"/>
      <c r="E6" s="402" t="s">
        <v>73</v>
      </c>
      <c r="F6" s="404" t="s">
        <v>256</v>
      </c>
      <c r="G6" s="403" t="s">
        <v>336</v>
      </c>
      <c r="H6" s="403" t="s">
        <v>337</v>
      </c>
      <c r="I6" s="405"/>
      <c r="J6" s="403">
        <v>0</v>
      </c>
      <c r="K6" s="406"/>
      <c r="L6" s="406">
        <v>11140000</v>
      </c>
      <c r="M6" s="407">
        <f>J6*K6</f>
        <v>0</v>
      </c>
      <c r="N6" s="408">
        <v>0</v>
      </c>
      <c r="O6" s="1576">
        <f t="shared" ref="O6:O17" si="0">J6*L6/(1-N6)</f>
        <v>0</v>
      </c>
      <c r="P6" s="1577"/>
      <c r="Q6" s="1644" t="s">
        <v>341</v>
      </c>
      <c r="R6" s="1645"/>
      <c r="S6" s="441"/>
      <c r="T6" s="73"/>
      <c r="U6"/>
      <c r="V6"/>
      <c r="W6"/>
      <c r="X6"/>
      <c r="Y6"/>
      <c r="Z6"/>
      <c r="AA6"/>
      <c r="AB6"/>
      <c r="AC6"/>
      <c r="AD6"/>
      <c r="AE6"/>
      <c r="AF6"/>
    </row>
    <row r="7" spans="1:34" s="413" customFormat="1" x14ac:dyDescent="0.3">
      <c r="B7" s="414"/>
      <c r="C7" s="415" t="s">
        <v>73</v>
      </c>
      <c r="D7" s="416"/>
      <c r="E7" s="415"/>
      <c r="F7" s="417" t="s">
        <v>256</v>
      </c>
      <c r="G7" s="416" t="s">
        <v>395</v>
      </c>
      <c r="H7" s="416" t="s">
        <v>257</v>
      </c>
      <c r="I7" s="56"/>
      <c r="J7" s="416">
        <v>3</v>
      </c>
      <c r="K7" s="55">
        <f t="shared" ref="K7:K17" si="1">L7*0.75</f>
        <v>7717500</v>
      </c>
      <c r="L7" s="169">
        <v>10290000</v>
      </c>
      <c r="M7" s="418">
        <f>J7*K7</f>
        <v>23152500</v>
      </c>
      <c r="N7" s="419">
        <v>0</v>
      </c>
      <c r="O7" s="1578">
        <f t="shared" si="0"/>
        <v>30870000</v>
      </c>
      <c r="P7" s="1579"/>
      <c r="Q7" s="1490" t="s">
        <v>365</v>
      </c>
      <c r="R7" s="1491"/>
      <c r="S7" s="420"/>
      <c r="T7" s="73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</row>
    <row r="8" spans="1:34" s="369" customFormat="1" x14ac:dyDescent="0.3">
      <c r="B8" s="290"/>
      <c r="C8" s="291" t="s">
        <v>2</v>
      </c>
      <c r="D8" s="291"/>
      <c r="E8" s="292"/>
      <c r="F8" s="269" t="s">
        <v>307</v>
      </c>
      <c r="G8" s="184" t="s">
        <v>366</v>
      </c>
      <c r="H8" s="185" t="s">
        <v>131</v>
      </c>
      <c r="I8" s="185"/>
      <c r="J8" s="186">
        <v>1</v>
      </c>
      <c r="K8" s="55">
        <f t="shared" si="1"/>
        <v>18567000</v>
      </c>
      <c r="L8" s="55">
        <v>24756000</v>
      </c>
      <c r="M8" s="164">
        <f>J8*K8</f>
        <v>18567000</v>
      </c>
      <c r="N8" s="158">
        <v>0</v>
      </c>
      <c r="O8" s="1365">
        <f t="shared" si="0"/>
        <v>24756000</v>
      </c>
      <c r="P8" s="1366"/>
      <c r="Q8" s="1488" t="s">
        <v>261</v>
      </c>
      <c r="R8" s="1489"/>
      <c r="S8" s="168"/>
      <c r="T8" s="368"/>
      <c r="U8" s="370" t="s">
        <v>300</v>
      </c>
      <c r="V8" s="370"/>
      <c r="W8" s="370"/>
      <c r="X8" s="370"/>
      <c r="Y8" s="370"/>
      <c r="Z8" s="370"/>
      <c r="AA8" s="370"/>
      <c r="AB8" s="370"/>
      <c r="AC8" s="370"/>
      <c r="AD8" s="370"/>
      <c r="AE8" s="370"/>
      <c r="AF8" s="370"/>
    </row>
    <row r="9" spans="1:34" s="369" customFormat="1" x14ac:dyDescent="0.3">
      <c r="B9" s="290"/>
      <c r="C9" s="291"/>
      <c r="D9" s="150" t="s">
        <v>73</v>
      </c>
      <c r="E9" s="292"/>
      <c r="F9" s="442" t="s">
        <v>372</v>
      </c>
      <c r="G9" s="443" t="s">
        <v>370</v>
      </c>
      <c r="H9" s="444" t="s">
        <v>131</v>
      </c>
      <c r="I9" s="444"/>
      <c r="J9" s="445">
        <v>4</v>
      </c>
      <c r="K9" s="446">
        <f t="shared" si="1"/>
        <v>1354500</v>
      </c>
      <c r="L9" s="446">
        <v>1806000</v>
      </c>
      <c r="M9" s="447">
        <f t="shared" ref="M9:M17" si="2">J9*K9</f>
        <v>5418000</v>
      </c>
      <c r="N9" s="448">
        <v>0</v>
      </c>
      <c r="O9" s="1640">
        <f t="shared" si="0"/>
        <v>7224000</v>
      </c>
      <c r="P9" s="1641"/>
      <c r="Q9" s="1642" t="s">
        <v>376</v>
      </c>
      <c r="R9" s="1643"/>
      <c r="S9" s="204"/>
      <c r="T9" s="368"/>
      <c r="V9" s="370"/>
      <c r="W9" s="370"/>
      <c r="X9" s="370"/>
      <c r="Y9" s="370"/>
      <c r="Z9" s="370"/>
      <c r="AA9" s="370"/>
      <c r="AB9" s="370"/>
      <c r="AC9" s="370"/>
      <c r="AD9" s="370"/>
      <c r="AE9" s="370"/>
      <c r="AF9" s="370"/>
      <c r="AG9" s="370"/>
      <c r="AH9" s="370"/>
    </row>
    <row r="10" spans="1:34" ht="16.149999999999999" customHeight="1" x14ac:dyDescent="0.3">
      <c r="B10" s="365"/>
      <c r="C10" s="366"/>
      <c r="D10" s="366" t="s">
        <v>73</v>
      </c>
      <c r="E10" s="367"/>
      <c r="F10" s="391" t="s">
        <v>281</v>
      </c>
      <c r="G10" s="366">
        <v>758933</v>
      </c>
      <c r="H10" s="185" t="s">
        <v>131</v>
      </c>
      <c r="I10" s="184"/>
      <c r="J10" s="184">
        <v>3</v>
      </c>
      <c r="K10" s="55">
        <f t="shared" si="1"/>
        <v>46500</v>
      </c>
      <c r="L10" s="392">
        <v>62000</v>
      </c>
      <c r="M10" s="390">
        <f t="shared" si="2"/>
        <v>139500</v>
      </c>
      <c r="N10" s="158">
        <v>0</v>
      </c>
      <c r="O10" s="1365">
        <f t="shared" si="0"/>
        <v>186000</v>
      </c>
      <c r="P10" s="1366"/>
      <c r="Q10" s="1488"/>
      <c r="R10" s="1489"/>
      <c r="S10" s="3"/>
      <c r="T10"/>
      <c r="U10" t="s">
        <v>291</v>
      </c>
      <c r="V10" t="s">
        <v>293</v>
      </c>
    </row>
    <row r="11" spans="1:34" ht="16.149999999999999" customHeight="1" x14ac:dyDescent="0.3">
      <c r="B11" s="365"/>
      <c r="C11" s="366"/>
      <c r="D11" s="366" t="s">
        <v>73</v>
      </c>
      <c r="E11" s="367"/>
      <c r="F11" s="391" t="s">
        <v>282</v>
      </c>
      <c r="G11" s="366">
        <v>701904</v>
      </c>
      <c r="H11" s="185" t="s">
        <v>131</v>
      </c>
      <c r="I11" s="184"/>
      <c r="J11" s="184">
        <v>3</v>
      </c>
      <c r="K11" s="55">
        <f t="shared" si="1"/>
        <v>118500</v>
      </c>
      <c r="L11" s="392">
        <v>158000</v>
      </c>
      <c r="M11" s="390">
        <f t="shared" si="2"/>
        <v>355500</v>
      </c>
      <c r="N11" s="158">
        <v>0</v>
      </c>
      <c r="O11" s="1365">
        <f t="shared" si="0"/>
        <v>474000</v>
      </c>
      <c r="P11" s="1366"/>
      <c r="Q11" s="1488"/>
      <c r="R11" s="1489"/>
      <c r="S11" s="3"/>
      <c r="T11"/>
      <c r="U11" t="s">
        <v>290</v>
      </c>
      <c r="V11" t="s">
        <v>294</v>
      </c>
    </row>
    <row r="12" spans="1:34" ht="16.149999999999999" customHeight="1" x14ac:dyDescent="0.3">
      <c r="B12" s="365"/>
      <c r="C12" s="366"/>
      <c r="D12" s="366" t="s">
        <v>73</v>
      </c>
      <c r="E12" s="367"/>
      <c r="F12" s="391" t="s">
        <v>283</v>
      </c>
      <c r="G12" s="366">
        <v>758921</v>
      </c>
      <c r="H12" s="185" t="s">
        <v>131</v>
      </c>
      <c r="I12" s="184"/>
      <c r="J12" s="184">
        <v>6</v>
      </c>
      <c r="K12" s="55">
        <f t="shared" si="1"/>
        <v>40500</v>
      </c>
      <c r="L12" s="392">
        <v>54000</v>
      </c>
      <c r="M12" s="390">
        <f t="shared" si="2"/>
        <v>243000</v>
      </c>
      <c r="N12" s="158">
        <v>0</v>
      </c>
      <c r="O12" s="1365">
        <f t="shared" si="0"/>
        <v>324000</v>
      </c>
      <c r="P12" s="1366"/>
      <c r="Q12" s="1488"/>
      <c r="R12" s="1489"/>
      <c r="S12" s="3"/>
      <c r="T12"/>
      <c r="U12" t="s">
        <v>276</v>
      </c>
      <c r="V12" t="s">
        <v>292</v>
      </c>
    </row>
    <row r="13" spans="1:34" s="369" customFormat="1" x14ac:dyDescent="0.3">
      <c r="B13" s="290"/>
      <c r="C13" s="291"/>
      <c r="D13" s="150" t="s">
        <v>73</v>
      </c>
      <c r="E13" s="292"/>
      <c r="F13" s="442" t="s">
        <v>310</v>
      </c>
      <c r="G13" s="443" t="s">
        <v>371</v>
      </c>
      <c r="H13" s="444" t="s">
        <v>131</v>
      </c>
      <c r="I13" s="444"/>
      <c r="J13" s="445">
        <v>1</v>
      </c>
      <c r="K13" s="446">
        <f t="shared" si="1"/>
        <v>1354500</v>
      </c>
      <c r="L13" s="446">
        <v>1806000</v>
      </c>
      <c r="M13" s="447">
        <f t="shared" si="2"/>
        <v>1354500</v>
      </c>
      <c r="N13" s="448">
        <v>0</v>
      </c>
      <c r="O13" s="1640">
        <f t="shared" si="0"/>
        <v>1806000</v>
      </c>
      <c r="P13" s="1641"/>
      <c r="Q13" s="1642" t="s">
        <v>382</v>
      </c>
      <c r="R13" s="1643"/>
      <c r="S13" s="204"/>
      <c r="T13" s="368"/>
      <c r="U13" s="370" t="s">
        <v>301</v>
      </c>
      <c r="V13" s="370"/>
      <c r="W13" s="370"/>
      <c r="X13" s="370"/>
      <c r="Y13" s="370"/>
      <c r="Z13" s="370"/>
      <c r="AA13" s="370"/>
      <c r="AB13" s="370"/>
      <c r="AC13" s="370"/>
      <c r="AD13" s="370"/>
      <c r="AE13" s="370"/>
      <c r="AF13" s="370"/>
    </row>
    <row r="14" spans="1:34" s="369" customFormat="1" x14ac:dyDescent="0.3">
      <c r="B14" s="290"/>
      <c r="C14" s="291"/>
      <c r="D14" s="150" t="s">
        <v>73</v>
      </c>
      <c r="E14" s="292"/>
      <c r="F14" s="442" t="s">
        <v>368</v>
      </c>
      <c r="G14" s="443" t="s">
        <v>331</v>
      </c>
      <c r="H14" s="444" t="s">
        <v>131</v>
      </c>
      <c r="I14" s="444"/>
      <c r="J14" s="445">
        <v>2</v>
      </c>
      <c r="K14" s="446">
        <f t="shared" si="1"/>
        <v>1292250</v>
      </c>
      <c r="L14" s="446">
        <v>1723000</v>
      </c>
      <c r="M14" s="447">
        <f t="shared" si="2"/>
        <v>2584500</v>
      </c>
      <c r="N14" s="448">
        <v>0</v>
      </c>
      <c r="O14" s="1640">
        <f t="shared" si="0"/>
        <v>3446000</v>
      </c>
      <c r="P14" s="1641"/>
      <c r="Q14" s="1642" t="s">
        <v>393</v>
      </c>
      <c r="R14" s="1643"/>
      <c r="S14" s="204"/>
      <c r="T14" s="368"/>
      <c r="U14" s="370" t="s">
        <v>302</v>
      </c>
      <c r="V14" s="370"/>
      <c r="W14" s="370"/>
      <c r="X14" s="370"/>
      <c r="Y14" s="370"/>
      <c r="Z14" s="370"/>
      <c r="AA14" s="370"/>
      <c r="AB14" s="370"/>
      <c r="AC14" s="370"/>
      <c r="AD14" s="370"/>
      <c r="AE14" s="370"/>
      <c r="AF14" s="370"/>
    </row>
    <row r="15" spans="1:34" s="369" customFormat="1" x14ac:dyDescent="0.3">
      <c r="B15" s="290"/>
      <c r="C15" s="291"/>
      <c r="D15" s="150" t="s">
        <v>73</v>
      </c>
      <c r="E15" s="292"/>
      <c r="F15" s="269" t="s">
        <v>367</v>
      </c>
      <c r="G15" s="184">
        <v>702916</v>
      </c>
      <c r="H15" s="185" t="s">
        <v>131</v>
      </c>
      <c r="I15" s="185"/>
      <c r="J15" s="186">
        <v>2</v>
      </c>
      <c r="K15" s="55">
        <f t="shared" si="1"/>
        <v>6534000</v>
      </c>
      <c r="L15" s="55">
        <v>8712000</v>
      </c>
      <c r="M15" s="164">
        <f t="shared" si="2"/>
        <v>13068000</v>
      </c>
      <c r="N15" s="158">
        <v>0</v>
      </c>
      <c r="O15" s="1365">
        <f t="shared" si="0"/>
        <v>17424000</v>
      </c>
      <c r="P15" s="1366"/>
      <c r="Q15" s="1488" t="s">
        <v>373</v>
      </c>
      <c r="R15" s="1489"/>
      <c r="S15" s="204"/>
      <c r="T15" s="368"/>
      <c r="U15" s="370" t="s">
        <v>303</v>
      </c>
      <c r="V15" s="370"/>
      <c r="W15" s="370"/>
      <c r="X15" s="370"/>
      <c r="Y15" s="370"/>
      <c r="Z15" s="370"/>
      <c r="AA15" s="370"/>
      <c r="AB15" s="370"/>
      <c r="AC15" s="370"/>
      <c r="AD15" s="370"/>
      <c r="AE15" s="370"/>
      <c r="AF15" s="370"/>
    </row>
    <row r="16" spans="1:34" s="84" customFormat="1" x14ac:dyDescent="0.3">
      <c r="B16" s="149"/>
      <c r="C16" s="150" t="s">
        <v>73</v>
      </c>
      <c r="D16" s="150"/>
      <c r="E16" s="151"/>
      <c r="F16" s="156" t="s">
        <v>404</v>
      </c>
      <c r="G16" s="155" t="s">
        <v>273</v>
      </c>
      <c r="H16" s="155" t="s">
        <v>255</v>
      </c>
      <c r="I16" s="155"/>
      <c r="J16" s="155">
        <v>1</v>
      </c>
      <c r="K16" s="55">
        <f t="shared" si="1"/>
        <v>27652500</v>
      </c>
      <c r="L16" s="55">
        <v>36870000</v>
      </c>
      <c r="M16" s="164">
        <f t="shared" si="2"/>
        <v>27652500</v>
      </c>
      <c r="N16" s="158">
        <v>0</v>
      </c>
      <c r="O16" s="1365">
        <f t="shared" si="0"/>
        <v>36870000</v>
      </c>
      <c r="P16" s="1366"/>
      <c r="Q16" s="1488" t="s">
        <v>401</v>
      </c>
      <c r="R16" s="1489"/>
      <c r="S16" s="204"/>
      <c r="T16" s="78"/>
      <c r="U16"/>
      <c r="V16"/>
      <c r="W16"/>
      <c r="X16"/>
      <c r="Y16"/>
      <c r="Z16"/>
      <c r="AA16"/>
      <c r="AB16"/>
      <c r="AC16"/>
      <c r="AD16"/>
      <c r="AE16"/>
      <c r="AF16"/>
    </row>
    <row r="17" spans="2:34" s="84" customFormat="1" x14ac:dyDescent="0.3">
      <c r="B17" s="149"/>
      <c r="C17" s="291"/>
      <c r="D17" s="150" t="s">
        <v>73</v>
      </c>
      <c r="E17" s="151"/>
      <c r="F17" s="156" t="s">
        <v>405</v>
      </c>
      <c r="G17" s="155" t="s">
        <v>274</v>
      </c>
      <c r="H17" s="155" t="s">
        <v>255</v>
      </c>
      <c r="I17" s="155"/>
      <c r="J17" s="155">
        <v>1</v>
      </c>
      <c r="K17" s="55">
        <f t="shared" si="1"/>
        <v>23730000</v>
      </c>
      <c r="L17" s="55">
        <v>31640000</v>
      </c>
      <c r="M17" s="164">
        <f t="shared" si="2"/>
        <v>23730000</v>
      </c>
      <c r="N17" s="158">
        <v>0</v>
      </c>
      <c r="O17" s="1365">
        <f t="shared" si="0"/>
        <v>31640000</v>
      </c>
      <c r="P17" s="1366"/>
      <c r="Q17" s="1488" t="s">
        <v>401</v>
      </c>
      <c r="R17" s="1489"/>
      <c r="S17" s="204"/>
      <c r="T17" s="78"/>
      <c r="U17"/>
      <c r="V17"/>
      <c r="W17"/>
      <c r="X17"/>
      <c r="Y17"/>
      <c r="Z17"/>
      <c r="AA17"/>
      <c r="AB17"/>
      <c r="AC17"/>
      <c r="AD17"/>
      <c r="AE17"/>
      <c r="AF17"/>
    </row>
    <row r="18" spans="2:34" s="84" customFormat="1" x14ac:dyDescent="0.3">
      <c r="B18" s="149"/>
      <c r="C18" s="150" t="s">
        <v>73</v>
      </c>
      <c r="D18" s="150"/>
      <c r="E18" s="151"/>
      <c r="F18" s="156" t="s">
        <v>402</v>
      </c>
      <c r="G18" s="393" t="s">
        <v>312</v>
      </c>
      <c r="H18" s="155" t="s">
        <v>318</v>
      </c>
      <c r="I18" s="155"/>
      <c r="J18" s="155">
        <v>1</v>
      </c>
      <c r="K18" s="55">
        <f>L18*0.75</f>
        <v>1125000</v>
      </c>
      <c r="L18" s="55">
        <v>1500000</v>
      </c>
      <c r="M18" s="164">
        <f>J18*K18</f>
        <v>1125000</v>
      </c>
      <c r="N18" s="158">
        <v>0</v>
      </c>
      <c r="O18" s="1365">
        <f>J18*L18/(1-N18)</f>
        <v>1500000</v>
      </c>
      <c r="P18" s="1366"/>
      <c r="Q18" s="1488" t="s">
        <v>403</v>
      </c>
      <c r="R18" s="1489"/>
      <c r="S18" s="204"/>
      <c r="T18" s="78"/>
      <c r="U18"/>
      <c r="V18"/>
      <c r="W18"/>
      <c r="X18"/>
      <c r="Y18"/>
      <c r="Z18"/>
      <c r="AA18"/>
      <c r="AB18"/>
      <c r="AC18"/>
      <c r="AD18"/>
      <c r="AE18"/>
      <c r="AF18"/>
    </row>
    <row r="19" spans="2:34" s="84" customFormat="1" ht="17.25" thickBot="1" x14ac:dyDescent="0.35">
      <c r="B19" s="365"/>
      <c r="C19" s="366"/>
      <c r="D19" s="366"/>
      <c r="E19" s="367"/>
      <c r="F19" s="156"/>
      <c r="G19" s="155"/>
      <c r="H19" s="155"/>
      <c r="I19" s="155"/>
      <c r="J19" s="186"/>
      <c r="K19" s="199"/>
      <c r="L19" s="55"/>
      <c r="M19" s="164"/>
      <c r="N19" s="158"/>
      <c r="O19" s="421"/>
      <c r="P19" s="422"/>
      <c r="Q19" s="427"/>
      <c r="R19" s="428"/>
      <c r="S19" s="204"/>
      <c r="T19" s="78"/>
      <c r="U19" s="83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2:34" s="82" customFormat="1" ht="17.25" thickBot="1" x14ac:dyDescent="0.35">
      <c r="B20" s="122" t="s">
        <v>2</v>
      </c>
      <c r="C20" s="116"/>
      <c r="D20" s="116"/>
      <c r="E20" s="117"/>
      <c r="F20" s="118" t="s">
        <v>266</v>
      </c>
      <c r="G20" s="383"/>
      <c r="H20" s="383"/>
      <c r="I20" s="383"/>
      <c r="J20" s="383"/>
      <c r="K20" s="383"/>
      <c r="L20" s="384"/>
      <c r="M20" s="121"/>
      <c r="N20" s="135"/>
      <c r="O20" s="1447"/>
      <c r="P20" s="1448"/>
      <c r="Q20" s="1586"/>
      <c r="R20" s="1587"/>
      <c r="S20" s="115"/>
      <c r="T20" s="273"/>
      <c r="U20" s="79"/>
    </row>
    <row r="21" spans="2:34" x14ac:dyDescent="0.3">
      <c r="B21" s="142"/>
      <c r="C21" s="143" t="s">
        <v>2</v>
      </c>
      <c r="D21" s="144"/>
      <c r="E21" s="145"/>
      <c r="F21" s="146" t="s">
        <v>279</v>
      </c>
      <c r="G21" s="144" t="s">
        <v>278</v>
      </c>
      <c r="H21" s="144" t="s">
        <v>80</v>
      </c>
      <c r="I21" s="144"/>
      <c r="J21" s="144">
        <v>1</v>
      </c>
      <c r="K21" s="157">
        <f t="shared" ref="K21:K24" si="3">L21*0.95</f>
        <v>2422500</v>
      </c>
      <c r="L21" s="147">
        <v>2550000</v>
      </c>
      <c r="M21" s="163">
        <f>J21*K21</f>
        <v>2422500</v>
      </c>
      <c r="N21" s="148">
        <v>0</v>
      </c>
      <c r="O21" s="1574">
        <f t="shared" ref="O21:O24" si="4">J21*L21/(1-N21)</f>
        <v>2550000</v>
      </c>
      <c r="P21" s="1575"/>
      <c r="Q21" s="1646"/>
      <c r="R21" s="1608"/>
      <c r="S21" s="287"/>
      <c r="T21" s="76"/>
      <c r="U21" s="3"/>
      <c r="V21" s="3"/>
      <c r="W21" s="79"/>
    </row>
    <row r="22" spans="2:34" x14ac:dyDescent="0.3">
      <c r="B22" s="149"/>
      <c r="C22" s="150"/>
      <c r="D22" s="150" t="s">
        <v>2</v>
      </c>
      <c r="E22" s="151"/>
      <c r="F22" s="156" t="s">
        <v>315</v>
      </c>
      <c r="G22" s="155" t="s">
        <v>311</v>
      </c>
      <c r="H22" s="155" t="s">
        <v>80</v>
      </c>
      <c r="I22" s="155"/>
      <c r="J22" s="155">
        <v>2</v>
      </c>
      <c r="K22" s="157">
        <f t="shared" si="3"/>
        <v>2242000</v>
      </c>
      <c r="L22" s="157">
        <v>2360000</v>
      </c>
      <c r="M22" s="164">
        <f t="shared" ref="M22:M24" si="5">J22*K22</f>
        <v>4484000</v>
      </c>
      <c r="N22" s="158">
        <v>0</v>
      </c>
      <c r="O22" s="1365">
        <f t="shared" si="4"/>
        <v>4720000</v>
      </c>
      <c r="P22" s="1366"/>
      <c r="Q22" s="1488" t="s">
        <v>352</v>
      </c>
      <c r="R22" s="1489"/>
      <c r="S22" s="152"/>
      <c r="T22" s="76"/>
      <c r="U22" s="79"/>
    </row>
    <row r="23" spans="2:34" x14ac:dyDescent="0.3">
      <c r="B23" s="149"/>
      <c r="C23" s="150"/>
      <c r="D23" s="150" t="s">
        <v>2</v>
      </c>
      <c r="E23" s="151"/>
      <c r="F23" s="156" t="s">
        <v>317</v>
      </c>
      <c r="G23" s="155" t="s">
        <v>316</v>
      </c>
      <c r="H23" s="155" t="s">
        <v>80</v>
      </c>
      <c r="I23" s="155"/>
      <c r="J23" s="155">
        <v>1</v>
      </c>
      <c r="K23" s="157">
        <f t="shared" si="3"/>
        <v>836000</v>
      </c>
      <c r="L23" s="157">
        <v>880000</v>
      </c>
      <c r="M23" s="164">
        <f t="shared" si="5"/>
        <v>836000</v>
      </c>
      <c r="N23" s="158">
        <v>0</v>
      </c>
      <c r="O23" s="1365">
        <f t="shared" si="4"/>
        <v>880000</v>
      </c>
      <c r="P23" s="1366"/>
      <c r="Q23" s="427"/>
      <c r="R23" s="428"/>
      <c r="S23" s="289"/>
      <c r="T23" s="76"/>
      <c r="U23" s="79"/>
    </row>
    <row r="24" spans="2:34" s="84" customFormat="1" x14ac:dyDescent="0.3">
      <c r="B24" s="365"/>
      <c r="C24" s="150"/>
      <c r="D24" s="150" t="s">
        <v>2</v>
      </c>
      <c r="E24" s="367"/>
      <c r="F24" s="156" t="s">
        <v>324</v>
      </c>
      <c r="G24" s="155" t="s">
        <v>323</v>
      </c>
      <c r="H24" s="155" t="s">
        <v>80</v>
      </c>
      <c r="I24" s="155"/>
      <c r="J24" s="186">
        <v>1</v>
      </c>
      <c r="K24" s="55">
        <f t="shared" si="3"/>
        <v>1624500</v>
      </c>
      <c r="L24" s="55">
        <v>1710000</v>
      </c>
      <c r="M24" s="164">
        <f t="shared" si="5"/>
        <v>1624500</v>
      </c>
      <c r="N24" s="158">
        <v>0</v>
      </c>
      <c r="O24" s="1365">
        <f t="shared" si="4"/>
        <v>1710000</v>
      </c>
      <c r="P24" s="1366"/>
      <c r="Q24" s="1488" t="s">
        <v>360</v>
      </c>
      <c r="R24" s="1489"/>
      <c r="S24" s="204"/>
      <c r="T24" s="78"/>
      <c r="U24"/>
      <c r="V24"/>
      <c r="W24"/>
      <c r="X24"/>
      <c r="Y24"/>
      <c r="Z24"/>
      <c r="AA24"/>
      <c r="AB24"/>
      <c r="AC24"/>
      <c r="AD24"/>
      <c r="AE24"/>
      <c r="AF24"/>
    </row>
    <row r="25" spans="2:34" s="84" customFormat="1" ht="17.25" thickBot="1" x14ac:dyDescent="0.35">
      <c r="B25" s="365"/>
      <c r="C25" s="366"/>
      <c r="D25" s="366"/>
      <c r="E25" s="367"/>
      <c r="F25" s="156"/>
      <c r="G25" s="155"/>
      <c r="H25" s="155"/>
      <c r="I25" s="155"/>
      <c r="J25" s="186"/>
      <c r="K25" s="199"/>
      <c r="L25" s="55"/>
      <c r="M25" s="164"/>
      <c r="N25" s="158"/>
      <c r="O25" s="421"/>
      <c r="P25" s="422"/>
      <c r="Q25" s="427"/>
      <c r="R25" s="428"/>
      <c r="S25" s="204"/>
      <c r="T25" s="78"/>
      <c r="U25" s="83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2:34" s="82" customFormat="1" ht="17.25" thickBot="1" x14ac:dyDescent="0.35">
      <c r="B26" s="122" t="s">
        <v>2</v>
      </c>
      <c r="C26" s="116"/>
      <c r="D26" s="116"/>
      <c r="E26" s="117"/>
      <c r="F26" s="118" t="s">
        <v>267</v>
      </c>
      <c r="G26" s="383"/>
      <c r="H26" s="383"/>
      <c r="I26" s="383"/>
      <c r="J26" s="383"/>
      <c r="K26" s="383"/>
      <c r="L26" s="384"/>
      <c r="M26" s="121"/>
      <c r="N26" s="135"/>
      <c r="O26" s="1447"/>
      <c r="P26" s="1448"/>
      <c r="Q26" s="1586"/>
      <c r="R26" s="1587"/>
      <c r="S26" s="115"/>
      <c r="T26" s="273"/>
      <c r="U26" s="79"/>
    </row>
    <row r="27" spans="2:34" s="82" customFormat="1" x14ac:dyDescent="0.3">
      <c r="B27" s="142"/>
      <c r="C27" s="143" t="s">
        <v>2</v>
      </c>
      <c r="D27" s="144"/>
      <c r="E27" s="145"/>
      <c r="F27" s="146" t="s">
        <v>58</v>
      </c>
      <c r="G27" s="144"/>
      <c r="H27" s="144"/>
      <c r="I27" s="144"/>
      <c r="J27" s="144">
        <v>1</v>
      </c>
      <c r="K27" s="157">
        <v>5000000</v>
      </c>
      <c r="L27" s="157">
        <v>5000000</v>
      </c>
      <c r="M27" s="163">
        <f>J27*K27</f>
        <v>5000000</v>
      </c>
      <c r="N27" s="148">
        <v>0.3</v>
      </c>
      <c r="O27" s="1574">
        <f t="shared" ref="O27:O40" si="6">J27*L27*(1+N27)</f>
        <v>6500000</v>
      </c>
      <c r="P27" s="1575"/>
      <c r="Q27" s="1646"/>
      <c r="R27" s="1608"/>
      <c r="S27" s="287"/>
      <c r="T27" s="273"/>
      <c r="U27" s="79"/>
    </row>
    <row r="28" spans="2:34" s="82" customFormat="1" x14ac:dyDescent="0.3">
      <c r="B28" s="181"/>
      <c r="C28" s="182"/>
      <c r="D28" s="182" t="s">
        <v>2</v>
      </c>
      <c r="E28" s="183"/>
      <c r="F28" s="156" t="s">
        <v>247</v>
      </c>
      <c r="G28" s="155" t="s">
        <v>248</v>
      </c>
      <c r="H28" s="155" t="s">
        <v>249</v>
      </c>
      <c r="I28" s="155" t="s">
        <v>249</v>
      </c>
      <c r="J28" s="155">
        <v>1</v>
      </c>
      <c r="K28" s="157">
        <v>500000</v>
      </c>
      <c r="L28" s="157">
        <v>500000</v>
      </c>
      <c r="M28" s="164">
        <f>J28*K28</f>
        <v>500000</v>
      </c>
      <c r="N28" s="158">
        <v>0.3</v>
      </c>
      <c r="O28" s="1365">
        <f t="shared" si="6"/>
        <v>650000</v>
      </c>
      <c r="P28" s="1366"/>
      <c r="Q28" s="427"/>
      <c r="R28" s="428"/>
      <c r="S28" s="152"/>
      <c r="T28" s="273"/>
      <c r="U28" s="79"/>
    </row>
    <row r="29" spans="2:34" s="82" customFormat="1" x14ac:dyDescent="0.3">
      <c r="B29" s="181"/>
      <c r="C29" s="182"/>
      <c r="D29" s="182" t="s">
        <v>2</v>
      </c>
      <c r="E29" s="183"/>
      <c r="F29" s="156" t="s">
        <v>250</v>
      </c>
      <c r="G29" s="155" t="s">
        <v>329</v>
      </c>
      <c r="H29" s="155" t="s">
        <v>330</v>
      </c>
      <c r="I29" s="155" t="s">
        <v>251</v>
      </c>
      <c r="J29" s="155">
        <v>1</v>
      </c>
      <c r="K29" s="157">
        <v>200000</v>
      </c>
      <c r="L29" s="157">
        <v>200000</v>
      </c>
      <c r="M29" s="164">
        <f>J29*K29</f>
        <v>200000</v>
      </c>
      <c r="N29" s="158">
        <v>0.3</v>
      </c>
      <c r="O29" s="1365">
        <f t="shared" si="6"/>
        <v>260000</v>
      </c>
      <c r="P29" s="1366"/>
      <c r="Q29" s="1488"/>
      <c r="R29" s="1489"/>
      <c r="S29" s="152"/>
      <c r="T29" s="273"/>
      <c r="U29" s="79"/>
    </row>
    <row r="30" spans="2:34" s="84" customFormat="1" x14ac:dyDescent="0.3">
      <c r="B30" s="181"/>
      <c r="C30" s="182"/>
      <c r="D30" s="182" t="s">
        <v>2</v>
      </c>
      <c r="E30" s="183"/>
      <c r="F30" s="156" t="s">
        <v>252</v>
      </c>
      <c r="G30" s="155" t="s">
        <v>253</v>
      </c>
      <c r="H30" s="155" t="s">
        <v>254</v>
      </c>
      <c r="I30" s="155" t="s">
        <v>254</v>
      </c>
      <c r="J30" s="186">
        <v>1</v>
      </c>
      <c r="K30" s="387">
        <v>3000000</v>
      </c>
      <c r="L30" s="387">
        <v>3000000</v>
      </c>
      <c r="M30" s="164">
        <f>J30*K30</f>
        <v>3000000</v>
      </c>
      <c r="N30" s="158">
        <v>0.3</v>
      </c>
      <c r="O30" s="1365">
        <f t="shared" si="6"/>
        <v>3900000</v>
      </c>
      <c r="P30" s="1366"/>
      <c r="Q30" s="427"/>
      <c r="R30" s="428"/>
      <c r="S30" s="204"/>
      <c r="T30" s="78"/>
      <c r="U30"/>
      <c r="V30"/>
      <c r="W30"/>
      <c r="X30"/>
      <c r="Y30"/>
      <c r="Z30"/>
      <c r="AA30"/>
      <c r="AB30"/>
      <c r="AC30"/>
      <c r="AD30"/>
      <c r="AE30"/>
      <c r="AF30"/>
    </row>
    <row r="31" spans="2:34" s="82" customFormat="1" x14ac:dyDescent="0.3">
      <c r="B31" s="149"/>
      <c r="C31" s="150"/>
      <c r="D31" s="155" t="s">
        <v>2</v>
      </c>
      <c r="E31" s="151"/>
      <c r="F31" s="156" t="s">
        <v>245</v>
      </c>
      <c r="G31" s="155" t="s">
        <v>246</v>
      </c>
      <c r="H31" s="155" t="s">
        <v>183</v>
      </c>
      <c r="I31" s="155"/>
      <c r="J31" s="155">
        <v>1</v>
      </c>
      <c r="K31" s="157">
        <v>200000</v>
      </c>
      <c r="L31" s="157">
        <v>200000</v>
      </c>
      <c r="M31" s="164">
        <f t="shared" ref="M31" si="7">J31*K31</f>
        <v>200000</v>
      </c>
      <c r="N31" s="158">
        <v>0.3</v>
      </c>
      <c r="O31" s="1365">
        <f t="shared" si="6"/>
        <v>260000</v>
      </c>
      <c r="P31" s="1366"/>
      <c r="Q31" s="1488"/>
      <c r="R31" s="1489"/>
      <c r="S31" s="152"/>
      <c r="T31" s="273"/>
      <c r="U31" s="79"/>
    </row>
    <row r="32" spans="2:34" s="84" customFormat="1" x14ac:dyDescent="0.3">
      <c r="B32" s="365"/>
      <c r="C32" s="291"/>
      <c r="D32" s="291" t="s">
        <v>2</v>
      </c>
      <c r="E32" s="367"/>
      <c r="F32" s="156" t="s">
        <v>343</v>
      </c>
      <c r="G32" s="155" t="s">
        <v>334</v>
      </c>
      <c r="H32" s="155" t="s">
        <v>328</v>
      </c>
      <c r="I32" s="155"/>
      <c r="J32" s="186">
        <v>1</v>
      </c>
      <c r="K32" s="169">
        <v>450000</v>
      </c>
      <c r="L32" s="169">
        <v>500000</v>
      </c>
      <c r="M32" s="164">
        <f>J32*K32</f>
        <v>450000</v>
      </c>
      <c r="N32" s="158">
        <v>0</v>
      </c>
      <c r="O32" s="1365">
        <f t="shared" si="6"/>
        <v>500000</v>
      </c>
      <c r="P32" s="1366"/>
      <c r="Q32" s="1488" t="s">
        <v>327</v>
      </c>
      <c r="R32" s="1489"/>
      <c r="S32" s="204"/>
      <c r="T32" s="78"/>
      <c r="U32"/>
      <c r="V32"/>
      <c r="W32"/>
      <c r="X32"/>
      <c r="Y32"/>
      <c r="Z32"/>
      <c r="AA32"/>
      <c r="AB32"/>
      <c r="AC32"/>
      <c r="AD32"/>
      <c r="AE32"/>
      <c r="AF32"/>
    </row>
    <row r="33" spans="2:32" s="82" customFormat="1" x14ac:dyDescent="0.3">
      <c r="B33" s="181"/>
      <c r="C33" s="182" t="s">
        <v>2</v>
      </c>
      <c r="D33" s="366"/>
      <c r="E33" s="183"/>
      <c r="F33" s="388" t="s">
        <v>268</v>
      </c>
      <c r="G33" s="182"/>
      <c r="H33" s="182"/>
      <c r="I33" s="155"/>
      <c r="J33" s="155">
        <v>1</v>
      </c>
      <c r="K33" s="157"/>
      <c r="L33" s="157"/>
      <c r="M33" s="164">
        <f t="shared" ref="M33:M36" si="8">J33*K33</f>
        <v>0</v>
      </c>
      <c r="N33" s="158">
        <v>0.3</v>
      </c>
      <c r="O33" s="1365">
        <f t="shared" si="6"/>
        <v>0</v>
      </c>
      <c r="P33" s="1366"/>
      <c r="Q33" s="427"/>
      <c r="R33" s="428"/>
      <c r="S33" s="152"/>
      <c r="T33" s="273"/>
      <c r="U33" s="79"/>
    </row>
    <row r="34" spans="2:32" s="82" customFormat="1" x14ac:dyDescent="0.3">
      <c r="B34" s="181"/>
      <c r="C34" s="182"/>
      <c r="D34" s="182" t="s">
        <v>2</v>
      </c>
      <c r="E34" s="183"/>
      <c r="F34" s="388" t="s">
        <v>284</v>
      </c>
      <c r="G34" s="182"/>
      <c r="H34" s="182"/>
      <c r="I34" s="155"/>
      <c r="J34" s="155">
        <v>1</v>
      </c>
      <c r="K34" s="157">
        <v>1000000</v>
      </c>
      <c r="L34" s="157">
        <v>1000000</v>
      </c>
      <c r="M34" s="164">
        <f>J34*K34</f>
        <v>1000000</v>
      </c>
      <c r="N34" s="158">
        <v>0.3</v>
      </c>
      <c r="O34" s="1365">
        <f t="shared" si="6"/>
        <v>1300000</v>
      </c>
      <c r="P34" s="1366"/>
      <c r="Q34" s="427"/>
      <c r="R34" s="428"/>
      <c r="S34" s="152"/>
      <c r="T34" s="273"/>
      <c r="U34" s="79"/>
    </row>
    <row r="35" spans="2:32" s="82" customFormat="1" x14ac:dyDescent="0.3">
      <c r="B35" s="181"/>
      <c r="C35" s="182"/>
      <c r="D35" s="182" t="s">
        <v>2</v>
      </c>
      <c r="E35" s="183"/>
      <c r="F35" s="388" t="s">
        <v>269</v>
      </c>
      <c r="G35" s="182" t="s">
        <v>270</v>
      </c>
      <c r="H35" s="182" t="s">
        <v>271</v>
      </c>
      <c r="I35" s="155"/>
      <c r="J35" s="155">
        <f>6*3</f>
        <v>18</v>
      </c>
      <c r="K35" s="157">
        <v>120000</v>
      </c>
      <c r="L35" s="157">
        <v>120000</v>
      </c>
      <c r="M35" s="164">
        <f t="shared" si="8"/>
        <v>2160000</v>
      </c>
      <c r="N35" s="158">
        <v>0.3</v>
      </c>
      <c r="O35" s="1365">
        <f t="shared" si="6"/>
        <v>2808000</v>
      </c>
      <c r="P35" s="1366"/>
      <c r="Q35" s="1488"/>
      <c r="R35" s="1489"/>
      <c r="S35" s="152"/>
      <c r="T35" s="273"/>
      <c r="U35" s="79"/>
    </row>
    <row r="36" spans="2:32" s="82" customFormat="1" x14ac:dyDescent="0.3">
      <c r="B36" s="181"/>
      <c r="C36" s="182"/>
      <c r="D36" s="182" t="s">
        <v>2</v>
      </c>
      <c r="E36" s="183"/>
      <c r="F36" s="388" t="s">
        <v>272</v>
      </c>
      <c r="G36" s="366" t="s">
        <v>286</v>
      </c>
      <c r="H36" s="366" t="s">
        <v>287</v>
      </c>
      <c r="I36" s="155"/>
      <c r="J36" s="155">
        <v>1</v>
      </c>
      <c r="K36" s="157">
        <v>230000</v>
      </c>
      <c r="L36" s="157">
        <v>230000</v>
      </c>
      <c r="M36" s="164">
        <f t="shared" si="8"/>
        <v>230000</v>
      </c>
      <c r="N36" s="158">
        <v>0.3</v>
      </c>
      <c r="O36" s="1365">
        <f t="shared" si="6"/>
        <v>299000</v>
      </c>
      <c r="P36" s="1366"/>
      <c r="Q36" s="1488" t="s">
        <v>363</v>
      </c>
      <c r="R36" s="1489"/>
      <c r="S36" s="152"/>
      <c r="T36" s="273"/>
      <c r="U36" s="79"/>
    </row>
    <row r="37" spans="2:32" s="82" customFormat="1" x14ac:dyDescent="0.3">
      <c r="B37" s="181"/>
      <c r="C37" s="182"/>
      <c r="D37" s="182" t="s">
        <v>2</v>
      </c>
      <c r="E37" s="183"/>
      <c r="F37" s="389" t="s">
        <v>355</v>
      </c>
      <c r="G37" s="366" t="s">
        <v>285</v>
      </c>
      <c r="H37" s="366" t="s">
        <v>277</v>
      </c>
      <c r="I37" s="155"/>
      <c r="J37" s="155">
        <v>1</v>
      </c>
      <c r="K37" s="157">
        <v>70000</v>
      </c>
      <c r="L37" s="157">
        <v>70000</v>
      </c>
      <c r="M37" s="164">
        <f>J37*K37</f>
        <v>70000</v>
      </c>
      <c r="N37" s="158">
        <v>0.3</v>
      </c>
      <c r="O37" s="1365">
        <f t="shared" si="6"/>
        <v>91000</v>
      </c>
      <c r="P37" s="1366"/>
      <c r="Q37" s="1488" t="s">
        <v>362</v>
      </c>
      <c r="R37" s="1489"/>
      <c r="S37" s="152"/>
      <c r="T37" s="273"/>
      <c r="U37" s="79"/>
    </row>
    <row r="38" spans="2:32" s="82" customFormat="1" x14ac:dyDescent="0.3">
      <c r="B38" s="181"/>
      <c r="C38" s="182"/>
      <c r="D38" s="182" t="s">
        <v>2</v>
      </c>
      <c r="E38" s="183"/>
      <c r="F38" s="388" t="s">
        <v>354</v>
      </c>
      <c r="G38" s="366" t="s">
        <v>353</v>
      </c>
      <c r="H38" s="182" t="s">
        <v>277</v>
      </c>
      <c r="I38" s="155"/>
      <c r="J38" s="155">
        <v>1</v>
      </c>
      <c r="K38" s="157">
        <v>70000</v>
      </c>
      <c r="L38" s="157">
        <v>70000</v>
      </c>
      <c r="M38" s="164">
        <f>J38*K38</f>
        <v>70000</v>
      </c>
      <c r="N38" s="158">
        <v>0.3</v>
      </c>
      <c r="O38" s="1365">
        <f t="shared" si="6"/>
        <v>91000</v>
      </c>
      <c r="P38" s="1366"/>
      <c r="Q38" s="1488" t="s">
        <v>362</v>
      </c>
      <c r="R38" s="1489"/>
      <c r="S38" s="152"/>
      <c r="T38" s="273"/>
    </row>
    <row r="39" spans="2:32" s="82" customFormat="1" x14ac:dyDescent="0.3">
      <c r="B39" s="181"/>
      <c r="C39" s="182"/>
      <c r="D39" s="182" t="s">
        <v>2</v>
      </c>
      <c r="E39" s="183"/>
      <c r="F39" s="388" t="s">
        <v>357</v>
      </c>
      <c r="G39" s="366" t="s">
        <v>285</v>
      </c>
      <c r="H39" s="182" t="s">
        <v>277</v>
      </c>
      <c r="I39" s="155"/>
      <c r="J39" s="155">
        <v>1</v>
      </c>
      <c r="K39" s="157">
        <v>70000</v>
      </c>
      <c r="L39" s="157">
        <v>70000</v>
      </c>
      <c r="M39" s="157">
        <v>70000</v>
      </c>
      <c r="N39" s="158">
        <v>0.3</v>
      </c>
      <c r="O39" s="1365">
        <f t="shared" si="6"/>
        <v>91000</v>
      </c>
      <c r="P39" s="1366"/>
      <c r="Q39" s="1488" t="s">
        <v>361</v>
      </c>
      <c r="R39" s="1489"/>
      <c r="S39" s="152"/>
      <c r="T39" s="273"/>
      <c r="U39" s="79"/>
    </row>
    <row r="40" spans="2:32" s="82" customFormat="1" x14ac:dyDescent="0.3">
      <c r="B40" s="181"/>
      <c r="C40" s="182" t="s">
        <v>2</v>
      </c>
      <c r="D40" s="366"/>
      <c r="E40" s="183"/>
      <c r="F40" s="388" t="s">
        <v>338</v>
      </c>
      <c r="G40" s="182"/>
      <c r="H40" s="182"/>
      <c r="I40" s="155"/>
      <c r="J40" s="155">
        <v>1</v>
      </c>
      <c r="K40" s="157">
        <v>3000000</v>
      </c>
      <c r="L40" s="157">
        <v>3000000</v>
      </c>
      <c r="M40" s="164">
        <f>J40*K40</f>
        <v>3000000</v>
      </c>
      <c r="N40" s="158">
        <v>0.3</v>
      </c>
      <c r="O40" s="1365">
        <f t="shared" si="6"/>
        <v>3900000</v>
      </c>
      <c r="P40" s="1366"/>
      <c r="Q40" s="427"/>
      <c r="R40" s="428"/>
      <c r="S40" s="152"/>
      <c r="T40" s="273"/>
      <c r="U40"/>
      <c r="V40"/>
      <c r="W40" s="79"/>
    </row>
    <row r="41" spans="2:32" s="84" customFormat="1" ht="17.25" thickBot="1" x14ac:dyDescent="0.35">
      <c r="B41" s="365"/>
      <c r="C41" s="366"/>
      <c r="D41" s="366"/>
      <c r="E41" s="367"/>
      <c r="F41" s="156"/>
      <c r="G41" s="155"/>
      <c r="H41" s="155"/>
      <c r="I41" s="155"/>
      <c r="J41" s="186"/>
      <c r="K41" s="199"/>
      <c r="L41" s="55"/>
      <c r="M41" s="164"/>
      <c r="N41" s="158"/>
      <c r="O41" s="421"/>
      <c r="P41" s="422"/>
      <c r="Q41" s="427"/>
      <c r="R41" s="428"/>
      <c r="S41" s="204"/>
      <c r="T41" s="78"/>
      <c r="U41"/>
      <c r="V41"/>
      <c r="W41"/>
      <c r="X41"/>
      <c r="Y41"/>
      <c r="Z41"/>
      <c r="AA41"/>
      <c r="AB41"/>
      <c r="AC41"/>
      <c r="AD41"/>
      <c r="AE41"/>
      <c r="AF41"/>
    </row>
    <row r="42" spans="2:32" s="84" customFormat="1" ht="18" thickBot="1" x14ac:dyDescent="0.35">
      <c r="B42" s="1338" t="s">
        <v>53</v>
      </c>
      <c r="C42" s="1339"/>
      <c r="D42" s="1339"/>
      <c r="E42" s="1339"/>
      <c r="F42" s="1339"/>
      <c r="G42" s="1339"/>
      <c r="H42" s="1339"/>
      <c r="I42" s="1339"/>
      <c r="J42" s="1339"/>
      <c r="K42" s="1339"/>
      <c r="L42" s="1340"/>
      <c r="M42" s="123">
        <f>SUM(M5:M41)</f>
        <v>142707000</v>
      </c>
      <c r="N42" s="136"/>
      <c r="O42" s="1341">
        <f>SUM(O5:P41)</f>
        <v>187030000</v>
      </c>
      <c r="P42" s="1342"/>
      <c r="Q42" s="1343"/>
      <c r="R42" s="1344"/>
      <c r="S42" s="130"/>
      <c r="T42" s="78"/>
      <c r="U42"/>
      <c r="V42"/>
      <c r="W42"/>
      <c r="X42"/>
      <c r="Y42"/>
      <c r="Z42"/>
      <c r="AA42"/>
      <c r="AB42"/>
      <c r="AC42"/>
      <c r="AD42"/>
      <c r="AE42"/>
      <c r="AF42"/>
    </row>
    <row r="43" spans="2:32" s="84" customFormat="1" ht="17.25" thickBot="1" x14ac:dyDescent="0.35">
      <c r="B43" s="122" t="s">
        <v>2</v>
      </c>
      <c r="C43" s="116"/>
      <c r="D43" s="116"/>
      <c r="E43" s="117"/>
      <c r="F43" s="118" t="s">
        <v>242</v>
      </c>
      <c r="G43" s="119"/>
      <c r="H43" s="119"/>
      <c r="I43" s="119"/>
      <c r="J43" s="119"/>
      <c r="K43" s="119"/>
      <c r="L43" s="120"/>
      <c r="M43" s="121"/>
      <c r="N43" s="135"/>
      <c r="O43" s="1447"/>
      <c r="P43" s="1448"/>
      <c r="Q43" s="1326"/>
      <c r="R43" s="1327"/>
      <c r="S43" s="115"/>
      <c r="T43" s="78"/>
      <c r="U43"/>
      <c r="V43"/>
      <c r="W43"/>
      <c r="X43"/>
      <c r="Y43"/>
      <c r="Z43"/>
      <c r="AA43"/>
      <c r="AB43"/>
      <c r="AC43"/>
      <c r="AD43"/>
      <c r="AE43"/>
      <c r="AF43"/>
    </row>
    <row r="44" spans="2:32" s="84" customFormat="1" x14ac:dyDescent="0.3">
      <c r="B44" s="131"/>
      <c r="C44" s="132" t="s">
        <v>73</v>
      </c>
      <c r="D44" s="133"/>
      <c r="E44" s="165"/>
      <c r="F44" s="227" t="s">
        <v>319</v>
      </c>
      <c r="G44" s="222" t="s">
        <v>94</v>
      </c>
      <c r="H44" s="222" t="s">
        <v>130</v>
      </c>
      <c r="I44" s="222" t="s">
        <v>131</v>
      </c>
      <c r="J44" s="371">
        <v>10</v>
      </c>
      <c r="K44" s="55">
        <v>307000</v>
      </c>
      <c r="L44" s="55">
        <v>307000</v>
      </c>
      <c r="M44" s="230">
        <f t="shared" ref="M44:M45" si="9">J44*K44</f>
        <v>3070000</v>
      </c>
      <c r="N44" s="148"/>
      <c r="O44" s="1365">
        <f t="shared" ref="O44:O45" si="10">L44*J44</f>
        <v>3070000</v>
      </c>
      <c r="P44" s="1366"/>
      <c r="Q44" s="1492"/>
      <c r="R44" s="1493"/>
      <c r="S44" s="207"/>
      <c r="T44" s="78"/>
      <c r="U44"/>
      <c r="V44"/>
      <c r="W44"/>
      <c r="X44"/>
      <c r="Y44"/>
      <c r="Z44"/>
      <c r="AA44"/>
      <c r="AB44"/>
      <c r="AC44"/>
      <c r="AD44"/>
      <c r="AE44"/>
      <c r="AF44"/>
    </row>
    <row r="45" spans="2:32" s="84" customFormat="1" x14ac:dyDescent="0.3">
      <c r="B45" s="208"/>
      <c r="C45" s="209" t="s">
        <v>73</v>
      </c>
      <c r="D45" s="210"/>
      <c r="E45" s="211"/>
      <c r="F45" s="228" t="s">
        <v>320</v>
      </c>
      <c r="G45" s="223" t="s">
        <v>94</v>
      </c>
      <c r="H45" s="223" t="s">
        <v>130</v>
      </c>
      <c r="I45" s="223" t="s">
        <v>131</v>
      </c>
      <c r="J45" s="372">
        <v>25</v>
      </c>
      <c r="K45" s="55">
        <v>307000</v>
      </c>
      <c r="L45" s="55">
        <v>307000</v>
      </c>
      <c r="M45" s="231">
        <f t="shared" si="9"/>
        <v>7675000</v>
      </c>
      <c r="N45" s="158"/>
      <c r="O45" s="1365">
        <f t="shared" si="10"/>
        <v>7675000</v>
      </c>
      <c r="P45" s="1366"/>
      <c r="Q45" s="1494"/>
      <c r="R45" s="1495"/>
      <c r="S45" s="212"/>
      <c r="T45" s="78"/>
      <c r="U45"/>
      <c r="V45"/>
      <c r="W45"/>
      <c r="X45"/>
      <c r="Y45"/>
      <c r="Z45"/>
      <c r="AA45"/>
      <c r="AB45"/>
      <c r="AC45"/>
      <c r="AD45"/>
      <c r="AE45"/>
      <c r="AF45"/>
    </row>
    <row r="46" spans="2:32" s="84" customFormat="1" ht="17.25" thickBot="1" x14ac:dyDescent="0.35">
      <c r="B46" s="213"/>
      <c r="C46" s="214"/>
      <c r="D46" s="215"/>
      <c r="E46" s="216"/>
      <c r="F46" s="229"/>
      <c r="G46" s="224"/>
      <c r="H46" s="224"/>
      <c r="I46" s="224"/>
      <c r="J46" s="373"/>
      <c r="K46" s="225"/>
      <c r="L46" s="225"/>
      <c r="M46" s="226"/>
      <c r="N46" s="162"/>
      <c r="O46" s="1365">
        <f t="shared" ref="O46" si="11">L46</f>
        <v>0</v>
      </c>
      <c r="P46" s="1366"/>
      <c r="Q46" s="1453"/>
      <c r="R46" s="1454"/>
      <c r="S46" s="217"/>
      <c r="T46" s="78"/>
      <c r="U46"/>
      <c r="V46"/>
      <c r="W46"/>
      <c r="X46"/>
      <c r="Y46"/>
      <c r="Z46"/>
      <c r="AA46"/>
      <c r="AB46"/>
      <c r="AC46"/>
      <c r="AD46"/>
      <c r="AE46"/>
      <c r="AF46"/>
    </row>
    <row r="47" spans="2:32" ht="17.25" thickBot="1" x14ac:dyDescent="0.35">
      <c r="B47" s="122" t="s">
        <v>2</v>
      </c>
      <c r="C47" s="116"/>
      <c r="D47" s="116"/>
      <c r="E47" s="117"/>
      <c r="F47" s="218" t="s">
        <v>243</v>
      </c>
      <c r="G47" s="219"/>
      <c r="H47" s="219"/>
      <c r="I47" s="219"/>
      <c r="J47" s="219"/>
      <c r="K47" s="220"/>
      <c r="L47" s="220"/>
      <c r="M47" s="221"/>
      <c r="N47" s="135"/>
      <c r="O47" s="1447"/>
      <c r="P47" s="1448"/>
      <c r="Q47" s="1447"/>
      <c r="R47" s="1448"/>
      <c r="S47" s="115"/>
      <c r="T47" s="7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</row>
    <row r="48" spans="2:32" x14ac:dyDescent="0.3">
      <c r="B48" s="64"/>
      <c r="C48" s="65" t="s">
        <v>2</v>
      </c>
      <c r="D48" s="65"/>
      <c r="E48" s="66"/>
      <c r="F48" s="88" t="s">
        <v>7</v>
      </c>
      <c r="G48" s="85"/>
      <c r="H48" s="223" t="s">
        <v>130</v>
      </c>
      <c r="I48" s="223" t="s">
        <v>131</v>
      </c>
      <c r="J48" s="80">
        <v>5</v>
      </c>
      <c r="K48" s="55">
        <v>307000</v>
      </c>
      <c r="L48" s="55">
        <v>307000</v>
      </c>
      <c r="M48" s="112">
        <f>K48*J48</f>
        <v>1535000</v>
      </c>
      <c r="N48" s="137"/>
      <c r="O48" s="1365">
        <f t="shared" ref="O48:O54" si="12">L48*J48</f>
        <v>1535000</v>
      </c>
      <c r="P48" s="1366"/>
      <c r="Q48" s="1359" t="s">
        <v>62</v>
      </c>
      <c r="R48" s="1360"/>
      <c r="S48" s="94"/>
      <c r="T48" s="73"/>
    </row>
    <row r="49" spans="2:32" x14ac:dyDescent="0.3">
      <c r="B49" s="62"/>
      <c r="C49" s="63" t="s">
        <v>2</v>
      </c>
      <c r="D49" s="63"/>
      <c r="E49" s="61"/>
      <c r="F49" s="89" t="s">
        <v>11</v>
      </c>
      <c r="G49" s="86"/>
      <c r="H49" s="223" t="s">
        <v>130</v>
      </c>
      <c r="I49" s="223" t="s">
        <v>131</v>
      </c>
      <c r="J49" s="56">
        <v>3</v>
      </c>
      <c r="K49" s="55">
        <v>307000</v>
      </c>
      <c r="L49" s="55">
        <v>307000</v>
      </c>
      <c r="M49" s="113">
        <f t="shared" ref="M49:M54" si="13">K49*J49</f>
        <v>921000</v>
      </c>
      <c r="N49" s="138"/>
      <c r="O49" s="1365">
        <f t="shared" si="12"/>
        <v>921000</v>
      </c>
      <c r="P49" s="1366"/>
      <c r="Q49" s="1361"/>
      <c r="R49" s="1362"/>
      <c r="S49" s="95"/>
      <c r="T49" s="73"/>
    </row>
    <row r="50" spans="2:32" x14ac:dyDescent="0.3">
      <c r="B50" s="62"/>
      <c r="C50" s="63" t="s">
        <v>2</v>
      </c>
      <c r="D50" s="63"/>
      <c r="E50" s="61"/>
      <c r="F50" s="89" t="s">
        <v>41</v>
      </c>
      <c r="G50" s="86"/>
      <c r="H50" s="223" t="s">
        <v>130</v>
      </c>
      <c r="I50" s="223" t="s">
        <v>131</v>
      </c>
      <c r="J50" s="56">
        <v>5</v>
      </c>
      <c r="K50" s="55">
        <v>307000</v>
      </c>
      <c r="L50" s="55">
        <v>307000</v>
      </c>
      <c r="M50" s="113">
        <f t="shared" si="13"/>
        <v>1535000</v>
      </c>
      <c r="N50" s="138"/>
      <c r="O50" s="1365">
        <f t="shared" si="12"/>
        <v>1535000</v>
      </c>
      <c r="P50" s="1366"/>
      <c r="Q50" s="1361"/>
      <c r="R50" s="1362"/>
      <c r="S50" s="95"/>
      <c r="T50" s="73"/>
    </row>
    <row r="51" spans="2:32" x14ac:dyDescent="0.3">
      <c r="B51" s="62"/>
      <c r="C51" s="63" t="s">
        <v>2</v>
      </c>
      <c r="D51" s="63"/>
      <c r="E51" s="61"/>
      <c r="F51" s="89" t="s">
        <v>10</v>
      </c>
      <c r="G51" s="86"/>
      <c r="H51" s="223" t="s">
        <v>130</v>
      </c>
      <c r="I51" s="223" t="s">
        <v>131</v>
      </c>
      <c r="J51" s="56">
        <v>3</v>
      </c>
      <c r="K51" s="55">
        <v>307000</v>
      </c>
      <c r="L51" s="55">
        <v>307000</v>
      </c>
      <c r="M51" s="113">
        <f t="shared" si="13"/>
        <v>921000</v>
      </c>
      <c r="N51" s="138"/>
      <c r="O51" s="1365">
        <f t="shared" si="12"/>
        <v>921000</v>
      </c>
      <c r="P51" s="1366"/>
      <c r="Q51" s="1361"/>
      <c r="R51" s="1362"/>
      <c r="S51" s="95"/>
      <c r="T51" s="74"/>
    </row>
    <row r="52" spans="2:32" x14ac:dyDescent="0.3">
      <c r="B52" s="62"/>
      <c r="C52" s="63" t="s">
        <v>2</v>
      </c>
      <c r="D52" s="63"/>
      <c r="E52" s="61"/>
      <c r="F52" s="89" t="s">
        <v>61</v>
      </c>
      <c r="G52" s="86"/>
      <c r="H52" s="223" t="s">
        <v>130</v>
      </c>
      <c r="I52" s="223" t="s">
        <v>131</v>
      </c>
      <c r="J52" s="56">
        <v>2</v>
      </c>
      <c r="K52" s="55">
        <v>307000</v>
      </c>
      <c r="L52" s="55">
        <v>307000</v>
      </c>
      <c r="M52" s="113">
        <f t="shared" si="13"/>
        <v>614000</v>
      </c>
      <c r="N52" s="138"/>
      <c r="O52" s="1365">
        <f t="shared" si="12"/>
        <v>614000</v>
      </c>
      <c r="P52" s="1366"/>
      <c r="Q52" s="1361"/>
      <c r="R52" s="1362"/>
      <c r="S52" s="95"/>
    </row>
    <row r="53" spans="2:32" x14ac:dyDescent="0.3">
      <c r="B53" s="67"/>
      <c r="C53" s="63" t="s">
        <v>2</v>
      </c>
      <c r="D53" s="68"/>
      <c r="E53" s="69"/>
      <c r="F53" s="90" t="s">
        <v>9</v>
      </c>
      <c r="G53" s="86"/>
      <c r="H53" s="223" t="s">
        <v>130</v>
      </c>
      <c r="I53" s="223" t="s">
        <v>131</v>
      </c>
      <c r="J53" s="56">
        <v>5</v>
      </c>
      <c r="K53" s="55">
        <v>307000</v>
      </c>
      <c r="L53" s="55">
        <v>307000</v>
      </c>
      <c r="M53" s="113">
        <f t="shared" si="13"/>
        <v>1535000</v>
      </c>
      <c r="N53" s="138"/>
      <c r="O53" s="1365">
        <f t="shared" si="12"/>
        <v>1535000</v>
      </c>
      <c r="P53" s="1366"/>
      <c r="Q53" s="1361"/>
      <c r="R53" s="1362"/>
      <c r="S53" s="95"/>
    </row>
    <row r="54" spans="2:32" ht="17.25" thickBot="1" x14ac:dyDescent="0.35">
      <c r="B54" s="57"/>
      <c r="C54" s="58" t="s">
        <v>2</v>
      </c>
      <c r="D54" s="58"/>
      <c r="E54" s="60"/>
      <c r="F54" s="91" t="s">
        <v>8</v>
      </c>
      <c r="G54" s="87"/>
      <c r="H54" s="223" t="s">
        <v>130</v>
      </c>
      <c r="I54" s="223" t="s">
        <v>131</v>
      </c>
      <c r="J54" s="59">
        <v>2</v>
      </c>
      <c r="K54" s="55">
        <v>307000</v>
      </c>
      <c r="L54" s="55">
        <v>307000</v>
      </c>
      <c r="M54" s="114">
        <f t="shared" si="13"/>
        <v>614000</v>
      </c>
      <c r="N54" s="139"/>
      <c r="O54" s="1365">
        <f t="shared" si="12"/>
        <v>614000</v>
      </c>
      <c r="P54" s="1366"/>
      <c r="Q54" s="1363"/>
      <c r="R54" s="1364"/>
      <c r="S54" s="96"/>
    </row>
    <row r="55" spans="2:32" ht="18" thickBot="1" x14ac:dyDescent="0.35">
      <c r="B55" s="1345" t="s">
        <v>46</v>
      </c>
      <c r="C55" s="1346"/>
      <c r="D55" s="1346"/>
      <c r="E55" s="1346"/>
      <c r="F55" s="1346"/>
      <c r="G55" s="1346"/>
      <c r="H55" s="1346"/>
      <c r="I55" s="1346"/>
      <c r="J55" s="1346"/>
      <c r="K55" s="1346"/>
      <c r="L55" s="1347"/>
      <c r="M55" s="124">
        <f>SUM(M43:M54)</f>
        <v>18420000</v>
      </c>
      <c r="N55" s="140"/>
      <c r="O55" s="1348">
        <f>SUM(O43:P54)</f>
        <v>18420000</v>
      </c>
      <c r="P55" s="1349"/>
      <c r="Q55" s="1350"/>
      <c r="R55" s="1350"/>
      <c r="S55" s="1351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 ht="20.25" thickBot="1" x14ac:dyDescent="0.35">
      <c r="B56" s="1352" t="s">
        <v>52</v>
      </c>
      <c r="C56" s="1353"/>
      <c r="D56" s="1353"/>
      <c r="E56" s="1353"/>
      <c r="F56" s="1353"/>
      <c r="G56" s="1353"/>
      <c r="H56" s="1353"/>
      <c r="I56" s="1353"/>
      <c r="J56" s="1353"/>
      <c r="K56" s="1353"/>
      <c r="L56" s="1353"/>
      <c r="M56" s="125"/>
      <c r="N56" s="134">
        <v>0.03</v>
      </c>
      <c r="O56" s="1354">
        <f>ROUNDDOWN(O42*N56,-3)</f>
        <v>5610000</v>
      </c>
      <c r="P56" s="1355"/>
      <c r="Q56" s="1356"/>
      <c r="R56" s="1357"/>
      <c r="S56" s="1358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 ht="20.25" thickBot="1" x14ac:dyDescent="0.35">
      <c r="B57" s="1352" t="s">
        <v>54</v>
      </c>
      <c r="C57" s="1353"/>
      <c r="D57" s="1353"/>
      <c r="E57" s="1353"/>
      <c r="F57" s="1353"/>
      <c r="G57" s="1353"/>
      <c r="H57" s="1353"/>
      <c r="I57" s="1353"/>
      <c r="J57" s="1353"/>
      <c r="K57" s="1353"/>
      <c r="L57" s="1353"/>
      <c r="M57" s="127"/>
      <c r="N57" s="128"/>
      <c r="O57" s="1354">
        <f>SUM(O56,O55,O42)</f>
        <v>211060000</v>
      </c>
      <c r="P57" s="1355"/>
      <c r="Q57" s="1374"/>
      <c r="R57" s="1375"/>
      <c r="S57" s="1376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 ht="20.25" thickBot="1" x14ac:dyDescent="0.35">
      <c r="B58" s="1352" t="s">
        <v>51</v>
      </c>
      <c r="C58" s="1353"/>
      <c r="D58" s="1353"/>
      <c r="E58" s="1353"/>
      <c r="F58" s="1353"/>
      <c r="G58" s="1353"/>
      <c r="H58" s="1353"/>
      <c r="I58" s="1353"/>
      <c r="J58" s="1353"/>
      <c r="K58" s="1353"/>
      <c r="L58" s="1353"/>
      <c r="M58" s="129"/>
      <c r="N58" s="126">
        <v>0.1</v>
      </c>
      <c r="O58" s="1381">
        <f>ROUNDDOWN(O57*N58,-3)</f>
        <v>21106000</v>
      </c>
      <c r="P58" s="1382"/>
      <c r="Q58" s="1383"/>
      <c r="R58" s="1384"/>
      <c r="S58" s="1385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 ht="21" thickBot="1" x14ac:dyDescent="0.35">
      <c r="B59" s="1367" t="s">
        <v>44</v>
      </c>
      <c r="C59" s="1368"/>
      <c r="D59" s="1368"/>
      <c r="E59" s="1368"/>
      <c r="F59" s="1368"/>
      <c r="G59" s="1368"/>
      <c r="H59" s="1368"/>
      <c r="I59" s="1368"/>
      <c r="J59" s="1368"/>
      <c r="K59" s="1368"/>
      <c r="L59" s="1368"/>
      <c r="M59" s="92"/>
      <c r="N59" s="111"/>
      <c r="O59" s="1369">
        <f>ROUNDDOWN(SUM(O57:P58), -6)</f>
        <v>232000000</v>
      </c>
      <c r="P59" s="1370"/>
      <c r="Q59" s="1371"/>
      <c r="R59" s="1372"/>
      <c r="S59" s="137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 ht="21" thickBot="1" x14ac:dyDescent="0.35">
      <c r="B60" s="104"/>
      <c r="C60" s="104"/>
      <c r="D60" s="104"/>
      <c r="E60" s="104"/>
      <c r="F60" s="105"/>
      <c r="G60" s="105"/>
      <c r="H60" s="105"/>
      <c r="I60" s="105"/>
      <c r="J60" s="105"/>
      <c r="K60" s="105"/>
      <c r="L60" s="105"/>
      <c r="M60" s="106"/>
      <c r="N60" s="107"/>
      <c r="O60" s="107"/>
      <c r="P60" s="107"/>
      <c r="Q60" s="108"/>
      <c r="R60" s="108"/>
      <c r="S60" s="108"/>
    </row>
    <row r="61" spans="2:32" ht="18" customHeight="1" thickBot="1" x14ac:dyDescent="0.35">
      <c r="B61" s="1374" t="s">
        <v>50</v>
      </c>
      <c r="C61" s="1375"/>
      <c r="D61" s="1375"/>
      <c r="E61" s="1376"/>
      <c r="F61" s="109"/>
      <c r="G61" s="109"/>
      <c r="H61" s="109"/>
      <c r="I61" s="109"/>
      <c r="J61" s="109"/>
      <c r="K61" s="110"/>
      <c r="L61" s="110"/>
      <c r="M61" s="110"/>
      <c r="N61" s="77" t="s">
        <v>14</v>
      </c>
      <c r="O61" s="1377" t="s">
        <v>15</v>
      </c>
      <c r="P61" s="1378"/>
      <c r="Q61" s="1379" t="s">
        <v>17</v>
      </c>
      <c r="R61" s="1380"/>
      <c r="S61" s="166" t="s">
        <v>16</v>
      </c>
    </row>
    <row r="62" spans="2:32" ht="18" customHeight="1" x14ac:dyDescent="0.3">
      <c r="B62" s="102">
        <v>1</v>
      </c>
      <c r="C62" s="1400"/>
      <c r="D62" s="1401"/>
      <c r="E62" s="1401"/>
      <c r="F62" s="1401"/>
      <c r="G62" s="1401"/>
      <c r="H62" s="1401"/>
      <c r="I62" s="1401"/>
      <c r="J62" s="1402"/>
      <c r="N62" s="11">
        <v>0</v>
      </c>
      <c r="O62" s="1403">
        <f>$O$59/(1+N62)</f>
        <v>232000000</v>
      </c>
      <c r="P62" s="1404"/>
      <c r="Q62" s="1405">
        <f>O62-$M$42</f>
        <v>89293000</v>
      </c>
      <c r="R62" s="1406"/>
      <c r="S62" s="160">
        <f>Q62/O62</f>
        <v>0.38488362068965515</v>
      </c>
    </row>
    <row r="63" spans="2:32" ht="18" customHeight="1" x14ac:dyDescent="0.3">
      <c r="B63" s="100">
        <v>2</v>
      </c>
      <c r="C63" s="1458"/>
      <c r="D63" s="1456"/>
      <c r="E63" s="1456"/>
      <c r="F63" s="1456"/>
      <c r="G63" s="1456"/>
      <c r="H63" s="1456"/>
      <c r="I63" s="1456"/>
      <c r="J63" s="1457"/>
      <c r="N63" s="9">
        <v>0.1</v>
      </c>
      <c r="O63" s="1389">
        <f>$O$59/(1+N63)</f>
        <v>210909090.90909091</v>
      </c>
      <c r="P63" s="1390"/>
      <c r="Q63" s="1391">
        <f t="shared" ref="Q63:Q66" si="14">O63-$M$42</f>
        <v>68202090.909090906</v>
      </c>
      <c r="R63" s="1392"/>
      <c r="S63" s="161">
        <f t="shared" ref="S63:S66" si="15">Q63/O63</f>
        <v>0.32337198275862067</v>
      </c>
    </row>
    <row r="64" spans="2:32" s="103" customFormat="1" ht="18" customHeight="1" x14ac:dyDescent="0.3">
      <c r="B64" s="100">
        <v>3</v>
      </c>
      <c r="C64" s="1455"/>
      <c r="D64" s="1456"/>
      <c r="E64" s="1456"/>
      <c r="F64" s="1456"/>
      <c r="G64" s="1456"/>
      <c r="H64" s="1456"/>
      <c r="I64" s="1456"/>
      <c r="J64" s="1457"/>
      <c r="K64" s="1"/>
      <c r="L64" s="1"/>
      <c r="M64" s="1"/>
      <c r="N64" s="10">
        <v>0.15</v>
      </c>
      <c r="O64" s="1389">
        <f t="shared" ref="O64:O65" si="16">$O$59/(1+N64)</f>
        <v>201739130.43478262</v>
      </c>
      <c r="P64" s="1390"/>
      <c r="Q64" s="1391">
        <f t="shared" si="14"/>
        <v>59032130.434782624</v>
      </c>
      <c r="R64" s="1392"/>
      <c r="S64" s="161">
        <f t="shared" si="15"/>
        <v>0.29261616379310351</v>
      </c>
      <c r="U64"/>
      <c r="V64"/>
      <c r="W64"/>
      <c r="X64"/>
      <c r="Y64"/>
      <c r="Z64"/>
      <c r="AA64"/>
      <c r="AB64"/>
      <c r="AC64"/>
      <c r="AD64"/>
      <c r="AE64"/>
      <c r="AF64"/>
    </row>
    <row r="65" spans="1:32" ht="18" customHeight="1" x14ac:dyDescent="0.3">
      <c r="B65" s="100">
        <v>4</v>
      </c>
      <c r="C65" s="1455"/>
      <c r="D65" s="1456"/>
      <c r="E65" s="1456"/>
      <c r="F65" s="1456"/>
      <c r="G65" s="1456"/>
      <c r="H65" s="1456"/>
      <c r="I65" s="1456"/>
      <c r="J65" s="1457"/>
      <c r="N65" s="10">
        <v>0.2</v>
      </c>
      <c r="O65" s="1389">
        <f t="shared" si="16"/>
        <v>193333333.33333334</v>
      </c>
      <c r="P65" s="1390"/>
      <c r="Q65" s="1391">
        <f t="shared" si="14"/>
        <v>50626333.333333343</v>
      </c>
      <c r="R65" s="1392"/>
      <c r="S65" s="161">
        <f t="shared" si="15"/>
        <v>0.26186034482758624</v>
      </c>
    </row>
    <row r="66" spans="1:32" ht="18" customHeight="1" thickBot="1" x14ac:dyDescent="0.35">
      <c r="B66" s="100">
        <v>5</v>
      </c>
      <c r="C66" s="1393"/>
      <c r="D66" s="1394"/>
      <c r="E66" s="1394"/>
      <c r="F66" s="1394"/>
      <c r="G66" s="1394"/>
      <c r="H66" s="1394"/>
      <c r="I66" s="1394"/>
      <c r="J66" s="1395"/>
      <c r="N66" s="12" t="s">
        <v>45</v>
      </c>
      <c r="O66" s="1396">
        <v>0</v>
      </c>
      <c r="P66" s="1397"/>
      <c r="Q66" s="1398">
        <f t="shared" si="14"/>
        <v>-142707000</v>
      </c>
      <c r="R66" s="1399"/>
      <c r="S66" s="99" t="e">
        <f t="shared" si="15"/>
        <v>#DIV/0!</v>
      </c>
    </row>
    <row r="67" spans="1:32" ht="18" customHeight="1" thickBot="1" x14ac:dyDescent="0.35">
      <c r="B67" s="100">
        <v>6</v>
      </c>
      <c r="C67" s="1393"/>
      <c r="D67" s="1394"/>
      <c r="E67" s="1394"/>
      <c r="F67" s="1394"/>
      <c r="G67" s="1394"/>
      <c r="H67" s="1394"/>
      <c r="I67" s="1394"/>
      <c r="J67" s="1395"/>
    </row>
    <row r="68" spans="1:32" ht="18" customHeight="1" thickBot="1" x14ac:dyDescent="0.35">
      <c r="B68" s="100">
        <v>7</v>
      </c>
      <c r="C68" s="434"/>
      <c r="D68" s="435"/>
      <c r="E68" s="435"/>
      <c r="F68" s="435"/>
      <c r="G68" s="435"/>
      <c r="H68" s="435"/>
      <c r="I68" s="435"/>
      <c r="J68" s="436"/>
      <c r="N68" s="1410" t="s">
        <v>47</v>
      </c>
      <c r="O68" s="1411"/>
      <c r="P68" s="1412" t="s">
        <v>48</v>
      </c>
      <c r="Q68" s="1413"/>
      <c r="R68" s="1414" t="s">
        <v>49</v>
      </c>
      <c r="S68" s="1415"/>
    </row>
    <row r="69" spans="1:32" ht="18" customHeight="1" x14ac:dyDescent="0.3">
      <c r="B69" s="100">
        <v>8</v>
      </c>
      <c r="C69" s="1393"/>
      <c r="D69" s="1394"/>
      <c r="E69" s="1394"/>
      <c r="F69" s="1394"/>
      <c r="G69" s="1394"/>
      <c r="H69" s="1394"/>
      <c r="I69" s="1394"/>
      <c r="J69" s="1395"/>
      <c r="N69" s="1416"/>
      <c r="O69" s="1417"/>
      <c r="P69" s="1422"/>
      <c r="Q69" s="1423"/>
      <c r="R69" s="1428"/>
      <c r="S69" s="1429"/>
    </row>
    <row r="70" spans="1:32" ht="18" customHeight="1" x14ac:dyDescent="0.3">
      <c r="B70" s="100"/>
      <c r="C70" s="1434"/>
      <c r="D70" s="1435"/>
      <c r="E70" s="1435"/>
      <c r="F70" s="1435"/>
      <c r="G70" s="1435"/>
      <c r="H70" s="1435"/>
      <c r="I70" s="1435"/>
      <c r="J70" s="1436"/>
      <c r="N70" s="1418"/>
      <c r="O70" s="1419"/>
      <c r="P70" s="1424"/>
      <c r="Q70" s="1425"/>
      <c r="R70" s="1430"/>
      <c r="S70" s="1431"/>
    </row>
    <row r="71" spans="1:32" ht="18" customHeight="1" x14ac:dyDescent="0.3">
      <c r="B71" s="100"/>
      <c r="C71" s="1434"/>
      <c r="D71" s="1435"/>
      <c r="E71" s="1435"/>
      <c r="F71" s="1435"/>
      <c r="G71" s="1435"/>
      <c r="H71" s="1435"/>
      <c r="I71" s="1435"/>
      <c r="J71" s="1436"/>
      <c r="N71" s="1418"/>
      <c r="O71" s="1419"/>
      <c r="P71" s="1424"/>
      <c r="Q71" s="1425"/>
      <c r="R71" s="1430"/>
      <c r="S71" s="1431"/>
    </row>
    <row r="72" spans="1:32" s="3" customFormat="1" ht="18" thickBot="1" x14ac:dyDescent="0.35">
      <c r="A72"/>
      <c r="B72" s="101"/>
      <c r="C72" s="1407"/>
      <c r="D72" s="1408"/>
      <c r="E72" s="1408"/>
      <c r="F72" s="1408"/>
      <c r="G72" s="1408"/>
      <c r="H72" s="1408"/>
      <c r="I72" s="1408"/>
      <c r="J72" s="1409"/>
      <c r="K72" s="1"/>
      <c r="L72" s="1"/>
      <c r="M72" s="1"/>
      <c r="N72" s="1420"/>
      <c r="O72" s="1421"/>
      <c r="P72" s="1426"/>
      <c r="Q72" s="1427"/>
      <c r="R72" s="1432"/>
      <c r="S72" s="1433"/>
      <c r="T72" s="97"/>
      <c r="U72"/>
      <c r="V72"/>
      <c r="W72"/>
      <c r="X72"/>
      <c r="Y72"/>
      <c r="Z72"/>
      <c r="AA72"/>
      <c r="AB72"/>
      <c r="AC72"/>
      <c r="AD72"/>
      <c r="AE72"/>
      <c r="AF72"/>
    </row>
    <row r="73" spans="1:32" s="3" customFormat="1" x14ac:dyDescent="0.3">
      <c r="A73"/>
      <c r="B73" s="2"/>
      <c r="C73" s="2"/>
      <c r="D73" s="2"/>
      <c r="E73" s="2"/>
      <c r="K73" s="1"/>
      <c r="L73" s="1"/>
      <c r="M73" s="1"/>
      <c r="N73" s="5"/>
      <c r="O73" s="1"/>
      <c r="P73" s="1"/>
      <c r="Q73"/>
      <c r="R73"/>
      <c r="S73" s="93"/>
      <c r="T73" s="98"/>
      <c r="U73"/>
      <c r="V73"/>
      <c r="W73"/>
      <c r="X73"/>
      <c r="Y73"/>
      <c r="Z73"/>
      <c r="AA73"/>
      <c r="AB73"/>
      <c r="AC73"/>
      <c r="AD73"/>
      <c r="AE73"/>
      <c r="AF73"/>
    </row>
    <row r="74" spans="1:32" s="3" customFormat="1" x14ac:dyDescent="0.3">
      <c r="A74"/>
      <c r="B74" s="2"/>
      <c r="C74" s="2"/>
      <c r="D74" s="2"/>
      <c r="E74" s="2"/>
      <c r="K74" s="1"/>
      <c r="L74" s="1"/>
      <c r="M74" s="1"/>
      <c r="N74" s="5"/>
      <c r="O74" s="1"/>
      <c r="P74" s="1"/>
      <c r="Q74"/>
      <c r="R74"/>
      <c r="S74" s="93"/>
      <c r="T74" s="98"/>
      <c r="U74"/>
      <c r="V74"/>
      <c r="W74"/>
      <c r="X74"/>
      <c r="Y74"/>
      <c r="Z74"/>
      <c r="AA74"/>
      <c r="AB74"/>
      <c r="AC74"/>
      <c r="AD74"/>
      <c r="AE74"/>
      <c r="AF74"/>
    </row>
    <row r="75" spans="1:32" s="3" customFormat="1" x14ac:dyDescent="0.3">
      <c r="A75"/>
      <c r="B75" s="2"/>
      <c r="C75" s="2"/>
      <c r="D75" s="2"/>
      <c r="E75" s="2"/>
      <c r="K75" s="1"/>
      <c r="L75" s="1"/>
      <c r="M75" s="1"/>
      <c r="N75" s="5"/>
      <c r="O75" s="1"/>
      <c r="P75" s="1"/>
      <c r="Q75"/>
      <c r="R75"/>
      <c r="S75" s="93"/>
      <c r="T75" s="98"/>
      <c r="U75"/>
      <c r="V75"/>
      <c r="W75"/>
      <c r="X75"/>
      <c r="Y75"/>
      <c r="Z75"/>
      <c r="AA75"/>
      <c r="AB75"/>
      <c r="AC75"/>
      <c r="AD75"/>
      <c r="AE75"/>
      <c r="AF75"/>
    </row>
    <row r="76" spans="1:32" s="3" customFormat="1" x14ac:dyDescent="0.3">
      <c r="A76"/>
      <c r="B76" s="2"/>
      <c r="C76" s="2"/>
      <c r="D76" s="2"/>
      <c r="E76" s="2"/>
      <c r="K76" s="1"/>
      <c r="L76" s="1"/>
      <c r="M76" s="1"/>
      <c r="N76" s="5"/>
      <c r="O76" s="1"/>
      <c r="P76" s="1"/>
      <c r="Q76"/>
      <c r="R76"/>
      <c r="S76" s="93"/>
      <c r="T76" s="98"/>
      <c r="U76"/>
      <c r="V76"/>
      <c r="W76"/>
      <c r="X76"/>
      <c r="Y76"/>
      <c r="Z76"/>
      <c r="AA76"/>
      <c r="AB76"/>
      <c r="AC76"/>
      <c r="AD76"/>
      <c r="AE76"/>
      <c r="AF76"/>
    </row>
  </sheetData>
  <mergeCells count="132">
    <mergeCell ref="C69:J69"/>
    <mergeCell ref="N69:O72"/>
    <mergeCell ref="P69:Q72"/>
    <mergeCell ref="R69:S72"/>
    <mergeCell ref="C70:J70"/>
    <mergeCell ref="C71:J71"/>
    <mergeCell ref="C72:J72"/>
    <mergeCell ref="C66:J66"/>
    <mergeCell ref="O66:P66"/>
    <mergeCell ref="Q66:R66"/>
    <mergeCell ref="C67:J67"/>
    <mergeCell ref="N68:O68"/>
    <mergeCell ref="P68:Q68"/>
    <mergeCell ref="R68:S68"/>
    <mergeCell ref="C64:J64"/>
    <mergeCell ref="O64:P64"/>
    <mergeCell ref="Q64:R64"/>
    <mergeCell ref="C65:J65"/>
    <mergeCell ref="O65:P65"/>
    <mergeCell ref="Q65:R65"/>
    <mergeCell ref="C62:J62"/>
    <mergeCell ref="O62:P62"/>
    <mergeCell ref="Q62:R62"/>
    <mergeCell ref="C63:J63"/>
    <mergeCell ref="O63:P63"/>
    <mergeCell ref="Q63:R63"/>
    <mergeCell ref="B59:L59"/>
    <mergeCell ref="O59:P59"/>
    <mergeCell ref="Q59:S59"/>
    <mergeCell ref="B61:E61"/>
    <mergeCell ref="O61:P61"/>
    <mergeCell ref="Q61:R61"/>
    <mergeCell ref="B57:L57"/>
    <mergeCell ref="O57:P57"/>
    <mergeCell ref="Q57:S57"/>
    <mergeCell ref="B58:L58"/>
    <mergeCell ref="O58:P58"/>
    <mergeCell ref="Q58:S58"/>
    <mergeCell ref="O53:P53"/>
    <mergeCell ref="O54:P54"/>
    <mergeCell ref="B55:L55"/>
    <mergeCell ref="O55:P55"/>
    <mergeCell ref="Q55:S55"/>
    <mergeCell ref="B56:L56"/>
    <mergeCell ref="O56:P56"/>
    <mergeCell ref="Q56:S56"/>
    <mergeCell ref="O46:P46"/>
    <mergeCell ref="Q46:R46"/>
    <mergeCell ref="O47:P47"/>
    <mergeCell ref="Q47:R47"/>
    <mergeCell ref="O48:P48"/>
    <mergeCell ref="Q48:R54"/>
    <mergeCell ref="O49:P49"/>
    <mergeCell ref="O50:P50"/>
    <mergeCell ref="O51:P51"/>
    <mergeCell ref="O52:P52"/>
    <mergeCell ref="O43:P43"/>
    <mergeCell ref="Q43:R43"/>
    <mergeCell ref="O44:P44"/>
    <mergeCell ref="Q44:R44"/>
    <mergeCell ref="O45:P45"/>
    <mergeCell ref="Q45:R45"/>
    <mergeCell ref="O38:P38"/>
    <mergeCell ref="Q38:R38"/>
    <mergeCell ref="O39:P39"/>
    <mergeCell ref="Q39:R39"/>
    <mergeCell ref="O40:P40"/>
    <mergeCell ref="B42:L42"/>
    <mergeCell ref="O42:P42"/>
    <mergeCell ref="Q42:R42"/>
    <mergeCell ref="O35:P35"/>
    <mergeCell ref="Q35:R35"/>
    <mergeCell ref="O36:P36"/>
    <mergeCell ref="Q36:R36"/>
    <mergeCell ref="O37:P37"/>
    <mergeCell ref="Q37:R37"/>
    <mergeCell ref="O31:P31"/>
    <mergeCell ref="Q31:R31"/>
    <mergeCell ref="O32:P32"/>
    <mergeCell ref="Q32:R32"/>
    <mergeCell ref="O33:P33"/>
    <mergeCell ref="O34:P34"/>
    <mergeCell ref="O27:P27"/>
    <mergeCell ref="Q27:R27"/>
    <mergeCell ref="O28:P28"/>
    <mergeCell ref="O29:P29"/>
    <mergeCell ref="Q29:R29"/>
    <mergeCell ref="O30:P30"/>
    <mergeCell ref="O22:P22"/>
    <mergeCell ref="Q22:R22"/>
    <mergeCell ref="O23:P23"/>
    <mergeCell ref="O24:P24"/>
    <mergeCell ref="Q24:R24"/>
    <mergeCell ref="O26:P26"/>
    <mergeCell ref="Q26:R26"/>
    <mergeCell ref="O18:P18"/>
    <mergeCell ref="Q18:R18"/>
    <mergeCell ref="O20:P20"/>
    <mergeCell ref="Q20:R20"/>
    <mergeCell ref="O21:P21"/>
    <mergeCell ref="Q21:R21"/>
    <mergeCell ref="O15:P15"/>
    <mergeCell ref="Q15:R15"/>
    <mergeCell ref="O16:P16"/>
    <mergeCell ref="Q16:R16"/>
    <mergeCell ref="O17:P17"/>
    <mergeCell ref="Q17:R17"/>
    <mergeCell ref="O12:P12"/>
    <mergeCell ref="Q12:R12"/>
    <mergeCell ref="O13:P13"/>
    <mergeCell ref="Q13:R13"/>
    <mergeCell ref="O14:P14"/>
    <mergeCell ref="Q14:R14"/>
    <mergeCell ref="O10:P10"/>
    <mergeCell ref="Q10:R10"/>
    <mergeCell ref="O11:P11"/>
    <mergeCell ref="Q11:R11"/>
    <mergeCell ref="O6:P6"/>
    <mergeCell ref="Q6:R6"/>
    <mergeCell ref="O7:P7"/>
    <mergeCell ref="Q7:R7"/>
    <mergeCell ref="O8:P8"/>
    <mergeCell ref="Q8:R8"/>
    <mergeCell ref="A2:S2"/>
    <mergeCell ref="Q3:S3"/>
    <mergeCell ref="B4:E4"/>
    <mergeCell ref="O4:P4"/>
    <mergeCell ref="Q4:R4"/>
    <mergeCell ref="O5:P5"/>
    <mergeCell ref="Q5:R5"/>
    <mergeCell ref="O9:P9"/>
    <mergeCell ref="Q9:R9"/>
  </mergeCells>
  <phoneticPr fontId="2" type="noConversion"/>
  <pageMargins left="0.25" right="0.25" top="0.75" bottom="0.75" header="0.3" footer="0.3"/>
  <pageSetup paperSize="9" scale="38" fitToWidth="0" orientation="landscape" horizontalDpi="300" r:id="rId1"/>
  <headerFooter>
    <oddFooter>&amp;R&amp;D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D97F-EB42-4129-B74E-2CC6C5121190}">
  <sheetPr>
    <tabColor rgb="FFC00000"/>
    <pageSetUpPr fitToPage="1"/>
  </sheetPr>
  <dimension ref="A1:AH87"/>
  <sheetViews>
    <sheetView zoomScale="85" zoomScaleNormal="85" zoomScaleSheetLayoutView="100" zoomScalePageLayoutView="85" workbookViewId="0">
      <selection activeCell="G19" sqref="G19"/>
    </sheetView>
  </sheetViews>
  <sheetFormatPr defaultRowHeight="16.5" x14ac:dyDescent="0.3"/>
  <cols>
    <col min="1" max="1" width="1.625" customWidth="1"/>
    <col min="2" max="5" width="3.375" style="2" customWidth="1"/>
    <col min="6" max="6" width="57.25" style="3" customWidth="1"/>
    <col min="7" max="7" width="25.625" style="3" bestFit="1" customWidth="1"/>
    <col min="8" max="9" width="16.625" style="3" customWidth="1"/>
    <col min="10" max="10" width="6.625" style="3" customWidth="1"/>
    <col min="11" max="13" width="16.625" style="1" customWidth="1"/>
    <col min="14" max="14" width="12.625" style="5" customWidth="1"/>
    <col min="15" max="15" width="9.625" style="1" customWidth="1"/>
    <col min="16" max="16" width="12.625" style="1" customWidth="1"/>
    <col min="17" max="18" width="22.375" customWidth="1"/>
    <col min="19" max="19" width="21.875" style="93" customWidth="1"/>
    <col min="20" max="20" width="2" style="70" customWidth="1"/>
    <col min="21" max="23" width="0" hidden="1" customWidth="1"/>
  </cols>
  <sheetData>
    <row r="1" spans="1:34" ht="9.9499999999999993" customHeight="1" x14ac:dyDescent="0.3"/>
    <row r="2" spans="1:34" ht="26.25" x14ac:dyDescent="0.3">
      <c r="A2" s="1445" t="s">
        <v>244</v>
      </c>
      <c r="B2" s="1445"/>
      <c r="C2" s="1445"/>
      <c r="D2" s="1445"/>
      <c r="E2" s="1445"/>
      <c r="F2" s="1445"/>
      <c r="G2" s="1445"/>
      <c r="H2" s="1445"/>
      <c r="I2" s="1445"/>
      <c r="J2" s="1445"/>
      <c r="K2" s="1445"/>
      <c r="L2" s="1445"/>
      <c r="M2" s="1445"/>
      <c r="N2" s="1445"/>
      <c r="O2" s="1445"/>
      <c r="P2" s="1445"/>
      <c r="Q2" s="1445"/>
      <c r="R2" s="1445"/>
      <c r="S2" s="1445"/>
      <c r="T2" s="72"/>
    </row>
    <row r="3" spans="1:34" ht="17.25" thickBot="1" x14ac:dyDescent="0.35">
      <c r="Q3" s="1446">
        <v>45415</v>
      </c>
      <c r="R3" s="1446"/>
      <c r="S3" s="1446"/>
      <c r="T3" s="75"/>
    </row>
    <row r="4" spans="1:34" ht="18" thickBot="1" x14ac:dyDescent="0.35">
      <c r="B4" s="1318" t="s">
        <v>1</v>
      </c>
      <c r="C4" s="1319"/>
      <c r="D4" s="1319"/>
      <c r="E4" s="1320"/>
      <c r="F4" s="6" t="s">
        <v>56</v>
      </c>
      <c r="G4" s="6" t="s">
        <v>55</v>
      </c>
      <c r="H4" s="6" t="s">
        <v>0</v>
      </c>
      <c r="I4" s="6" t="s">
        <v>43</v>
      </c>
      <c r="J4" s="6" t="s">
        <v>4</v>
      </c>
      <c r="K4" s="7" t="s">
        <v>12</v>
      </c>
      <c r="L4" s="8" t="s">
        <v>39</v>
      </c>
      <c r="M4" s="8" t="s">
        <v>5</v>
      </c>
      <c r="N4" s="141" t="s">
        <v>13</v>
      </c>
      <c r="O4" s="1321" t="s">
        <v>6</v>
      </c>
      <c r="P4" s="1322"/>
      <c r="Q4" s="1319" t="s">
        <v>3</v>
      </c>
      <c r="R4" s="1323"/>
      <c r="S4" s="71" t="s">
        <v>59</v>
      </c>
      <c r="T4" s="75"/>
    </row>
    <row r="5" spans="1:34" s="82" customFormat="1" ht="17.25" thickBot="1" x14ac:dyDescent="0.35">
      <c r="B5" s="122" t="s">
        <v>2</v>
      </c>
      <c r="C5" s="116"/>
      <c r="D5" s="116"/>
      <c r="E5" s="117"/>
      <c r="F5" s="118" t="s">
        <v>265</v>
      </c>
      <c r="G5" s="119"/>
      <c r="H5" s="119"/>
      <c r="I5" s="119"/>
      <c r="J5" s="119"/>
      <c r="K5" s="272"/>
      <c r="L5" s="120"/>
      <c r="M5" s="121"/>
      <c r="N5" s="135"/>
      <c r="O5" s="1447"/>
      <c r="P5" s="1448"/>
      <c r="Q5" s="1326"/>
      <c r="R5" s="1327"/>
      <c r="S5" s="115"/>
      <c r="T5" s="73"/>
      <c r="U5"/>
      <c r="V5"/>
      <c r="W5"/>
      <c r="X5"/>
      <c r="Y5"/>
      <c r="Z5"/>
      <c r="AA5"/>
      <c r="AB5"/>
      <c r="AC5"/>
      <c r="AD5"/>
      <c r="AE5"/>
      <c r="AF5"/>
    </row>
    <row r="6" spans="1:34" s="369" customFormat="1" x14ac:dyDescent="0.3">
      <c r="B6" s="290"/>
      <c r="C6" s="291" t="s">
        <v>2</v>
      </c>
      <c r="D6" s="291"/>
      <c r="E6" s="292"/>
      <c r="F6" s="269" t="s">
        <v>307</v>
      </c>
      <c r="G6" s="184" t="s">
        <v>433</v>
      </c>
      <c r="H6" s="185" t="s">
        <v>131</v>
      </c>
      <c r="I6" s="185" t="s">
        <v>131</v>
      </c>
      <c r="J6" s="186">
        <v>1</v>
      </c>
      <c r="K6" s="169">
        <f>(8210+3030+1140+2160+440)*0.6*1.071*1400</f>
        <v>13476607.199999999</v>
      </c>
      <c r="L6" s="55">
        <v>24756000</v>
      </c>
      <c r="M6" s="164">
        <f>J6*K6</f>
        <v>13476607.199999999</v>
      </c>
      <c r="N6" s="158">
        <v>0</v>
      </c>
      <c r="O6" s="1365">
        <f t="shared" ref="O6:O16" si="0">J6*L6/(1-N6)</f>
        <v>24756000</v>
      </c>
      <c r="P6" s="1366"/>
      <c r="Q6" s="1330" t="s">
        <v>437</v>
      </c>
      <c r="R6" s="1331"/>
      <c r="S6" s="470"/>
      <c r="T6" s="368"/>
      <c r="U6" s="370" t="s">
        <v>300</v>
      </c>
      <c r="V6" s="370"/>
      <c r="W6" s="370"/>
      <c r="X6" s="370"/>
      <c r="Y6" s="370"/>
      <c r="Z6" s="370"/>
      <c r="AA6" s="370"/>
      <c r="AB6" s="370"/>
      <c r="AC6" s="370"/>
      <c r="AD6" s="370"/>
      <c r="AE6" s="370"/>
      <c r="AF6" s="370"/>
    </row>
    <row r="7" spans="1:34" s="369" customFormat="1" x14ac:dyDescent="0.3">
      <c r="B7" s="208"/>
      <c r="C7" s="396"/>
      <c r="D7" s="397" t="s">
        <v>73</v>
      </c>
      <c r="E7" s="398"/>
      <c r="F7" s="174" t="s">
        <v>372</v>
      </c>
      <c r="G7" s="56">
        <v>720268</v>
      </c>
      <c r="H7" s="482" t="s">
        <v>131</v>
      </c>
      <c r="I7" s="482" t="s">
        <v>131</v>
      </c>
      <c r="J7" s="502">
        <v>2</v>
      </c>
      <c r="K7" s="169">
        <f>(1190)*0.606*1.071*1400</f>
        <v>1081277.3159999999</v>
      </c>
      <c r="L7" s="55">
        <v>1806000</v>
      </c>
      <c r="M7" s="390">
        <f t="shared" ref="M7:M10" si="1">J7*K7</f>
        <v>2162554.6319999998</v>
      </c>
      <c r="N7" s="503">
        <v>0</v>
      </c>
      <c r="O7" s="1578">
        <f t="shared" si="0"/>
        <v>3612000</v>
      </c>
      <c r="P7" s="1579"/>
      <c r="Q7" s="1474" t="s">
        <v>480</v>
      </c>
      <c r="R7" s="1475"/>
      <c r="S7" s="470"/>
      <c r="T7" s="368">
        <v>4</v>
      </c>
      <c r="V7" s="370"/>
      <c r="W7" s="370"/>
      <c r="X7" s="370"/>
      <c r="Y7" s="370"/>
      <c r="Z7" s="370"/>
      <c r="AA7" s="370"/>
      <c r="AB7" s="370"/>
      <c r="AC7" s="370"/>
      <c r="AD7" s="370"/>
      <c r="AE7" s="370"/>
      <c r="AF7" s="370"/>
      <c r="AG7" s="370"/>
      <c r="AH7" s="370"/>
    </row>
    <row r="8" spans="1:34" ht="16.149999999999999" customHeight="1" x14ac:dyDescent="0.3">
      <c r="B8" s="208"/>
      <c r="C8" s="396"/>
      <c r="D8" s="396"/>
      <c r="E8" s="398" t="s">
        <v>73</v>
      </c>
      <c r="F8" s="174" t="s">
        <v>281</v>
      </c>
      <c r="G8" s="396">
        <v>758933</v>
      </c>
      <c r="H8" s="482" t="s">
        <v>131</v>
      </c>
      <c r="I8" s="482" t="s">
        <v>131</v>
      </c>
      <c r="J8" s="56">
        <v>3</v>
      </c>
      <c r="K8" s="169">
        <f>(35)*0.643*1.071*1400</f>
        <v>33743.996999999996</v>
      </c>
      <c r="L8" s="392">
        <v>62000</v>
      </c>
      <c r="M8" s="390">
        <f t="shared" si="1"/>
        <v>101231.99099999998</v>
      </c>
      <c r="N8" s="503">
        <v>0</v>
      </c>
      <c r="O8" s="1578">
        <f t="shared" si="0"/>
        <v>186000</v>
      </c>
      <c r="P8" s="1579"/>
      <c r="Q8" s="1474" t="s">
        <v>479</v>
      </c>
      <c r="R8" s="1475"/>
      <c r="S8" s="470"/>
      <c r="T8" s="3">
        <v>6</v>
      </c>
      <c r="U8" t="s">
        <v>291</v>
      </c>
      <c r="V8" t="s">
        <v>293</v>
      </c>
    </row>
    <row r="9" spans="1:34" ht="16.149999999999999" customHeight="1" x14ac:dyDescent="0.3">
      <c r="B9" s="208"/>
      <c r="C9" s="396"/>
      <c r="D9" s="396"/>
      <c r="E9" s="398" t="s">
        <v>73</v>
      </c>
      <c r="F9" s="174" t="s">
        <v>283</v>
      </c>
      <c r="G9" s="396">
        <v>758921</v>
      </c>
      <c r="H9" s="482" t="s">
        <v>131</v>
      </c>
      <c r="I9" s="482" t="s">
        <v>131</v>
      </c>
      <c r="J9" s="56">
        <v>3</v>
      </c>
      <c r="K9" s="169">
        <f>(30)*0.643*1.071*1400</f>
        <v>28923.425999999996</v>
      </c>
      <c r="L9" s="392">
        <v>54000</v>
      </c>
      <c r="M9" s="390">
        <f t="shared" si="1"/>
        <v>86770.277999999991</v>
      </c>
      <c r="N9" s="503">
        <v>0</v>
      </c>
      <c r="O9" s="1578">
        <f t="shared" si="0"/>
        <v>162000</v>
      </c>
      <c r="P9" s="1579"/>
      <c r="Q9" s="1474" t="s">
        <v>478</v>
      </c>
      <c r="R9" s="1475"/>
      <c r="S9" s="470"/>
      <c r="T9" s="3">
        <v>6</v>
      </c>
      <c r="U9" t="s">
        <v>276</v>
      </c>
      <c r="V9" t="s">
        <v>292</v>
      </c>
    </row>
    <row r="10" spans="1:34" ht="16.149999999999999" customHeight="1" x14ac:dyDescent="0.3">
      <c r="B10" s="208"/>
      <c r="C10" s="396"/>
      <c r="D10" s="396"/>
      <c r="E10" s="398" t="s">
        <v>73</v>
      </c>
      <c r="F10" s="174" t="s">
        <v>377</v>
      </c>
      <c r="G10" s="56">
        <v>758924</v>
      </c>
      <c r="H10" s="482" t="s">
        <v>131</v>
      </c>
      <c r="I10" s="482" t="s">
        <v>131</v>
      </c>
      <c r="J10" s="56">
        <v>1</v>
      </c>
      <c r="K10" s="169">
        <f>(60)*0.643*1.071*1400</f>
        <v>57846.851999999992</v>
      </c>
      <c r="L10" s="392">
        <v>143000</v>
      </c>
      <c r="M10" s="475">
        <f t="shared" si="1"/>
        <v>57846.851999999992</v>
      </c>
      <c r="N10" s="503">
        <v>0</v>
      </c>
      <c r="O10" s="1472">
        <f t="shared" si="0"/>
        <v>143000</v>
      </c>
      <c r="P10" s="1473"/>
      <c r="Q10" s="1474" t="s">
        <v>443</v>
      </c>
      <c r="R10" s="1475"/>
      <c r="S10" s="470"/>
      <c r="T10" s="3"/>
    </row>
    <row r="11" spans="1:34" s="369" customFormat="1" x14ac:dyDescent="0.3">
      <c r="B11" s="208"/>
      <c r="C11" s="396"/>
      <c r="D11" s="397"/>
      <c r="E11" s="398" t="s">
        <v>73</v>
      </c>
      <c r="F11" s="504" t="s">
        <v>367</v>
      </c>
      <c r="G11" s="56">
        <v>702916</v>
      </c>
      <c r="H11" s="482" t="s">
        <v>131</v>
      </c>
      <c r="I11" s="482" t="s">
        <v>131</v>
      </c>
      <c r="J11" s="56">
        <v>1</v>
      </c>
      <c r="K11" s="169">
        <f>(6450)*0.6*1.071*1400</f>
        <v>5802677.9999999991</v>
      </c>
      <c r="L11" s="55">
        <v>8712000</v>
      </c>
      <c r="M11" s="418">
        <f>J11*K11</f>
        <v>5802677.9999999991</v>
      </c>
      <c r="N11" s="503">
        <v>0</v>
      </c>
      <c r="O11" s="1472">
        <f>J11*L11/(1-N11)</f>
        <v>8712000</v>
      </c>
      <c r="P11" s="1473"/>
      <c r="Q11" s="1474" t="s">
        <v>444</v>
      </c>
      <c r="R11" s="1475"/>
      <c r="S11" s="470"/>
      <c r="T11" s="368"/>
      <c r="U11" s="370" t="s">
        <v>301</v>
      </c>
      <c r="V11" s="370"/>
      <c r="W11" s="370"/>
      <c r="X11" s="370"/>
      <c r="Y11" s="370"/>
      <c r="Z11" s="370"/>
      <c r="AA11" s="370"/>
      <c r="AB11" s="370"/>
      <c r="AC11" s="370"/>
      <c r="AD11" s="370"/>
      <c r="AE11" s="370"/>
      <c r="AF11" s="370"/>
    </row>
    <row r="12" spans="1:34" s="528" customFormat="1" x14ac:dyDescent="0.3">
      <c r="A12" s="512"/>
      <c r="B12" s="513"/>
      <c r="C12" s="514"/>
      <c r="D12" s="514" t="s">
        <v>73</v>
      </c>
      <c r="E12" s="510"/>
      <c r="F12" s="311" t="s">
        <v>435</v>
      </c>
      <c r="G12" s="312">
        <v>720254</v>
      </c>
      <c r="H12" s="312" t="s">
        <v>40</v>
      </c>
      <c r="I12" s="312" t="s">
        <v>40</v>
      </c>
      <c r="J12" s="312">
        <v>1</v>
      </c>
      <c r="K12" s="313">
        <f>(1950)*0.57*1.071*1400</f>
        <v>1666583.1</v>
      </c>
      <c r="L12" s="313">
        <v>2737000</v>
      </c>
      <c r="M12" s="511">
        <f t="shared" ref="M12:M15" si="2">J12*K12</f>
        <v>1666583.1</v>
      </c>
      <c r="N12" s="310">
        <v>0</v>
      </c>
      <c r="O12" s="1584">
        <f t="shared" ref="O12:O14" si="3">J12*L12/(1-N12)</f>
        <v>2737000</v>
      </c>
      <c r="P12" s="1585"/>
      <c r="Q12" s="1647" t="s">
        <v>464</v>
      </c>
      <c r="R12" s="1648"/>
      <c r="S12" s="212"/>
      <c r="T12" s="529"/>
      <c r="U12" s="70"/>
      <c r="V12" s="70"/>
      <c r="W12" s="70"/>
      <c r="X12" s="70"/>
      <c r="Y12" s="70"/>
      <c r="Z12" s="70"/>
      <c r="AA12" s="70"/>
      <c r="AB12" s="70"/>
    </row>
    <row r="13" spans="1:34" s="528" customFormat="1" x14ac:dyDescent="0.3">
      <c r="A13" s="512"/>
      <c r="B13" s="513"/>
      <c r="C13" s="514"/>
      <c r="D13" s="514"/>
      <c r="E13" s="539" t="s">
        <v>73</v>
      </c>
      <c r="F13" s="311" t="s">
        <v>466</v>
      </c>
      <c r="G13" s="312">
        <v>701901</v>
      </c>
      <c r="H13" s="312" t="s">
        <v>40</v>
      </c>
      <c r="I13" s="312" t="s">
        <v>40</v>
      </c>
      <c r="J13" s="312">
        <v>3</v>
      </c>
      <c r="K13" s="536">
        <f>(50)*0.642*1.071*1400</f>
        <v>48130.74</v>
      </c>
      <c r="L13" s="313">
        <v>104000</v>
      </c>
      <c r="M13" s="511">
        <f t="shared" si="2"/>
        <v>144392.22</v>
      </c>
      <c r="N13" s="310">
        <v>0</v>
      </c>
      <c r="O13" s="1584">
        <f t="shared" si="3"/>
        <v>312000</v>
      </c>
      <c r="P13" s="1585"/>
      <c r="Q13" s="1647" t="s">
        <v>467</v>
      </c>
      <c r="R13" s="1648"/>
      <c r="S13" s="470"/>
      <c r="T13" s="529">
        <v>6</v>
      </c>
      <c r="U13" s="70"/>
      <c r="V13" s="70"/>
      <c r="W13" s="70"/>
      <c r="X13" s="70"/>
      <c r="Y13" s="70"/>
      <c r="Z13" s="70"/>
      <c r="AA13" s="70"/>
      <c r="AB13" s="70"/>
    </row>
    <row r="14" spans="1:34" ht="16.149999999999999" customHeight="1" x14ac:dyDescent="0.3">
      <c r="B14" s="537"/>
      <c r="C14" s="538"/>
      <c r="D14" s="538"/>
      <c r="E14" s="539" t="s">
        <v>73</v>
      </c>
      <c r="F14" s="311" t="s">
        <v>283</v>
      </c>
      <c r="G14" s="538">
        <v>758921</v>
      </c>
      <c r="H14" s="535" t="s">
        <v>131</v>
      </c>
      <c r="I14" s="535" t="s">
        <v>131</v>
      </c>
      <c r="J14" s="312">
        <v>3</v>
      </c>
      <c r="K14" s="536">
        <f>(30)*0.643*1.071*1400</f>
        <v>28923.425999999996</v>
      </c>
      <c r="L14" s="540">
        <v>54000</v>
      </c>
      <c r="M14" s="541">
        <f t="shared" si="2"/>
        <v>86770.277999999991</v>
      </c>
      <c r="N14" s="310">
        <v>0</v>
      </c>
      <c r="O14" s="1584">
        <f t="shared" si="3"/>
        <v>162000</v>
      </c>
      <c r="P14" s="1585"/>
      <c r="Q14" s="1647" t="s">
        <v>465</v>
      </c>
      <c r="R14" s="1648"/>
      <c r="S14" s="470"/>
      <c r="T14" s="3">
        <v>6</v>
      </c>
      <c r="U14" t="s">
        <v>276</v>
      </c>
      <c r="V14" t="s">
        <v>292</v>
      </c>
    </row>
    <row r="15" spans="1:34" s="369" customFormat="1" x14ac:dyDescent="0.3">
      <c r="B15" s="208"/>
      <c r="C15" s="396"/>
      <c r="D15" s="397" t="s">
        <v>73</v>
      </c>
      <c r="E15" s="398"/>
      <c r="F15" s="174" t="s">
        <v>368</v>
      </c>
      <c r="G15" s="56">
        <v>701265</v>
      </c>
      <c r="H15" s="482" t="s">
        <v>131</v>
      </c>
      <c r="I15" s="482" t="s">
        <v>131</v>
      </c>
      <c r="J15" s="502">
        <v>2</v>
      </c>
      <c r="K15" s="169">
        <f>(1140)*0.606*1.071*1400</f>
        <v>1035845.4959999999</v>
      </c>
      <c r="L15" s="55">
        <v>1723000</v>
      </c>
      <c r="M15" s="390">
        <f t="shared" si="2"/>
        <v>2071690.9919999999</v>
      </c>
      <c r="N15" s="503">
        <v>0</v>
      </c>
      <c r="O15" s="1578">
        <f t="shared" si="0"/>
        <v>3446000</v>
      </c>
      <c r="P15" s="1579"/>
      <c r="Q15" s="1474" t="s">
        <v>292</v>
      </c>
      <c r="R15" s="1475"/>
      <c r="S15" s="470"/>
      <c r="T15" s="368"/>
      <c r="V15" s="370"/>
      <c r="W15" s="370"/>
      <c r="X15" s="370"/>
      <c r="Y15" s="370"/>
      <c r="Z15" s="370"/>
      <c r="AA15" s="370"/>
      <c r="AB15" s="370"/>
      <c r="AC15" s="370"/>
      <c r="AD15" s="370"/>
      <c r="AE15" s="370"/>
      <c r="AF15" s="370"/>
      <c r="AG15" s="370"/>
      <c r="AH15" s="370"/>
    </row>
    <row r="16" spans="1:34" s="84" customFormat="1" x14ac:dyDescent="0.3">
      <c r="B16" s="149"/>
      <c r="C16" s="150" t="s">
        <v>73</v>
      </c>
      <c r="D16" s="150"/>
      <c r="E16" s="151"/>
      <c r="F16" s="156" t="s">
        <v>431</v>
      </c>
      <c r="G16" s="393" t="s">
        <v>409</v>
      </c>
      <c r="H16" s="155" t="s">
        <v>142</v>
      </c>
      <c r="I16" s="56" t="s">
        <v>64</v>
      </c>
      <c r="J16" s="155">
        <v>4</v>
      </c>
      <c r="K16" s="55">
        <f>L16*0.75</f>
        <v>1731750</v>
      </c>
      <c r="L16" s="55">
        <v>2309000</v>
      </c>
      <c r="M16" s="164">
        <f>J16*K16</f>
        <v>6927000</v>
      </c>
      <c r="N16" s="158">
        <v>0</v>
      </c>
      <c r="O16" s="1365">
        <f t="shared" si="0"/>
        <v>9236000</v>
      </c>
      <c r="P16" s="1366"/>
      <c r="Q16" s="1330" t="s">
        <v>482</v>
      </c>
      <c r="R16" s="1331"/>
      <c r="S16" s="470"/>
      <c r="T16" s="78"/>
      <c r="U16"/>
      <c r="V16"/>
      <c r="W16"/>
      <c r="X16"/>
      <c r="Y16"/>
      <c r="Z16"/>
      <c r="AA16"/>
      <c r="AB16"/>
      <c r="AC16"/>
      <c r="AD16"/>
      <c r="AE16"/>
      <c r="AF16"/>
    </row>
    <row r="17" spans="1:34" s="528" customFormat="1" x14ac:dyDescent="0.3">
      <c r="A17" s="512"/>
      <c r="B17" s="513"/>
      <c r="C17" s="514" t="s">
        <v>2</v>
      </c>
      <c r="D17" s="514"/>
      <c r="E17" s="510"/>
      <c r="F17" s="311" t="s">
        <v>459</v>
      </c>
      <c r="G17" s="515" t="s">
        <v>195</v>
      </c>
      <c r="H17" s="312" t="s">
        <v>142</v>
      </c>
      <c r="I17" s="312" t="s">
        <v>64</v>
      </c>
      <c r="J17" s="312">
        <v>1</v>
      </c>
      <c r="K17" s="313">
        <f>L17*0.75</f>
        <v>14394750</v>
      </c>
      <c r="L17" s="313">
        <f>19193000</f>
        <v>19193000</v>
      </c>
      <c r="M17" s="511">
        <f t="shared" ref="M17:M20" si="4">J17*K17</f>
        <v>14394750</v>
      </c>
      <c r="N17" s="310">
        <v>0</v>
      </c>
      <c r="O17" s="1584">
        <f>L17*J17</f>
        <v>19193000</v>
      </c>
      <c r="P17" s="1585"/>
      <c r="Q17" s="1580" t="s">
        <v>401</v>
      </c>
      <c r="R17" s="1581"/>
      <c r="S17" s="212"/>
      <c r="T17" s="529"/>
      <c r="U17" s="70"/>
      <c r="V17" s="70"/>
      <c r="W17" s="70"/>
      <c r="X17" s="70"/>
      <c r="Y17" s="70"/>
      <c r="Z17" s="70"/>
      <c r="AA17" s="70"/>
      <c r="AB17" s="70"/>
    </row>
    <row r="18" spans="1:34" s="528" customFormat="1" x14ac:dyDescent="0.3">
      <c r="A18" s="512"/>
      <c r="B18" s="513"/>
      <c r="C18" s="514"/>
      <c r="D18" s="514" t="s">
        <v>2</v>
      </c>
      <c r="E18" s="510"/>
      <c r="F18" s="311" t="s">
        <v>460</v>
      </c>
      <c r="G18" s="515" t="s">
        <v>461</v>
      </c>
      <c r="H18" s="312" t="s">
        <v>142</v>
      </c>
      <c r="I18" s="312" t="s">
        <v>64</v>
      </c>
      <c r="J18" s="312">
        <v>1</v>
      </c>
      <c r="K18" s="313">
        <f>L18*0.75</f>
        <v>14008500</v>
      </c>
      <c r="L18" s="313">
        <v>18678000</v>
      </c>
      <c r="M18" s="511">
        <f t="shared" si="4"/>
        <v>14008500</v>
      </c>
      <c r="N18" s="310">
        <v>0</v>
      </c>
      <c r="O18" s="1584">
        <f>L18*J18</f>
        <v>18678000</v>
      </c>
      <c r="P18" s="1585"/>
      <c r="Q18" s="1582"/>
      <c r="R18" s="1583"/>
      <c r="S18" s="212"/>
      <c r="T18" s="529"/>
      <c r="U18" s="70"/>
      <c r="V18" s="70"/>
      <c r="W18" s="70"/>
      <c r="X18" s="70"/>
      <c r="Y18" s="70"/>
      <c r="Z18" s="70"/>
      <c r="AA18" s="70"/>
      <c r="AB18" s="70"/>
    </row>
    <row r="19" spans="1:34" s="84" customFormat="1" x14ac:dyDescent="0.3">
      <c r="B19" s="537"/>
      <c r="C19" s="538" t="s">
        <v>73</v>
      </c>
      <c r="D19" s="538"/>
      <c r="E19" s="539"/>
      <c r="F19" s="311" t="s">
        <v>473</v>
      </c>
      <c r="G19" s="312" t="s">
        <v>474</v>
      </c>
      <c r="H19" s="312" t="s">
        <v>258</v>
      </c>
      <c r="I19" s="312"/>
      <c r="J19" s="312">
        <v>1</v>
      </c>
      <c r="K19" s="536">
        <f>L19*0.85</f>
        <v>1929500</v>
      </c>
      <c r="L19" s="313">
        <v>2270000</v>
      </c>
      <c r="M19" s="511">
        <f t="shared" si="4"/>
        <v>1929500</v>
      </c>
      <c r="N19" s="310">
        <v>0</v>
      </c>
      <c r="O19" s="1584">
        <f t="shared" ref="O19:O20" si="5">J19*L19/(1-N19)</f>
        <v>2270000</v>
      </c>
      <c r="P19" s="1585"/>
      <c r="Q19" s="1580" t="s">
        <v>477</v>
      </c>
      <c r="R19" s="1581"/>
      <c r="S19" s="204"/>
      <c r="T19" s="78"/>
      <c r="U19"/>
      <c r="V19" t="s">
        <v>298</v>
      </c>
      <c r="W19"/>
      <c r="X19"/>
      <c r="Y19"/>
      <c r="Z19"/>
      <c r="AA19"/>
      <c r="AB19"/>
      <c r="AC19"/>
      <c r="AD19"/>
      <c r="AE19"/>
      <c r="AF19"/>
    </row>
    <row r="20" spans="1:34" s="84" customFormat="1" x14ac:dyDescent="0.3">
      <c r="B20" s="537"/>
      <c r="C20" s="538"/>
      <c r="D20" s="538" t="s">
        <v>73</v>
      </c>
      <c r="E20" s="539"/>
      <c r="F20" s="311" t="s">
        <v>476</v>
      </c>
      <c r="G20" s="312" t="s">
        <v>475</v>
      </c>
      <c r="H20" s="312" t="s">
        <v>258</v>
      </c>
      <c r="I20" s="312"/>
      <c r="J20" s="312">
        <v>1</v>
      </c>
      <c r="K20" s="536">
        <f t="shared" ref="K20" si="6">L20*0.85</f>
        <v>1164500</v>
      </c>
      <c r="L20" s="313">
        <v>1370000</v>
      </c>
      <c r="M20" s="511">
        <f t="shared" si="4"/>
        <v>1164500</v>
      </c>
      <c r="N20" s="310">
        <v>0</v>
      </c>
      <c r="O20" s="1584">
        <f t="shared" si="5"/>
        <v>1370000</v>
      </c>
      <c r="P20" s="1585"/>
      <c r="Q20" s="1582"/>
      <c r="R20" s="1583"/>
      <c r="S20" s="204"/>
      <c r="T20" s="78"/>
      <c r="U20"/>
      <c r="V20" t="s">
        <v>298</v>
      </c>
      <c r="W20"/>
      <c r="X20"/>
      <c r="Y20"/>
      <c r="Z20"/>
      <c r="AA20"/>
      <c r="AB20"/>
      <c r="AC20"/>
      <c r="AD20"/>
      <c r="AE20"/>
      <c r="AF20"/>
    </row>
    <row r="21" spans="1:34" s="82" customFormat="1" x14ac:dyDescent="0.3">
      <c r="B21" s="401"/>
      <c r="C21" s="402"/>
      <c r="D21" s="403"/>
      <c r="E21" s="402"/>
      <c r="F21" s="404" t="s">
        <v>256</v>
      </c>
      <c r="G21" s="403" t="s">
        <v>336</v>
      </c>
      <c r="H21" s="403" t="s">
        <v>337</v>
      </c>
      <c r="I21" s="405"/>
      <c r="J21" s="403">
        <v>0</v>
      </c>
      <c r="K21" s="406"/>
      <c r="L21" s="406">
        <v>11140000</v>
      </c>
      <c r="M21" s="407">
        <f>J21*K21</f>
        <v>0</v>
      </c>
      <c r="N21" s="408">
        <v>0</v>
      </c>
      <c r="O21" s="532">
        <f>J21*L21/(1-N21)</f>
        <v>0</v>
      </c>
      <c r="P21" s="533"/>
      <c r="Q21" s="1548" t="s">
        <v>481</v>
      </c>
      <c r="R21" s="1549"/>
      <c r="S21" s="534"/>
      <c r="T21" s="73"/>
      <c r="U21"/>
      <c r="V21"/>
      <c r="W21"/>
      <c r="X21"/>
      <c r="Y21"/>
      <c r="Z21"/>
      <c r="AA21"/>
      <c r="AB21"/>
      <c r="AC21"/>
      <c r="AD21"/>
      <c r="AE21"/>
      <c r="AF21"/>
    </row>
    <row r="22" spans="1:34" s="413" customFormat="1" x14ac:dyDescent="0.3">
      <c r="B22" s="401"/>
      <c r="C22" s="402"/>
      <c r="D22" s="403"/>
      <c r="E22" s="402"/>
      <c r="F22" s="404" t="s">
        <v>256</v>
      </c>
      <c r="G22" s="403" t="s">
        <v>395</v>
      </c>
      <c r="H22" s="403" t="s">
        <v>394</v>
      </c>
      <c r="I22" s="405"/>
      <c r="J22" s="403">
        <v>0</v>
      </c>
      <c r="K22" s="406">
        <f t="shared" ref="K22" si="7">L22*0.75</f>
        <v>7717500</v>
      </c>
      <c r="L22" s="406">
        <v>10290000</v>
      </c>
      <c r="M22" s="407">
        <f>J22*K22</f>
        <v>0</v>
      </c>
      <c r="N22" s="408">
        <v>0</v>
      </c>
      <c r="O22" s="532">
        <f>J22*L22/(1-N22)</f>
        <v>0</v>
      </c>
      <c r="P22" s="533"/>
      <c r="Q22" s="1550"/>
      <c r="R22" s="1551"/>
      <c r="S22" s="470"/>
      <c r="T22" s="73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</row>
    <row r="23" spans="1:34" s="394" customFormat="1" x14ac:dyDescent="0.3">
      <c r="A23" s="369"/>
      <c r="B23" s="516"/>
      <c r="C23" s="517"/>
      <c r="D23" s="517"/>
      <c r="E23" s="518"/>
      <c r="F23" s="519" t="s">
        <v>423</v>
      </c>
      <c r="G23" s="405" t="s">
        <v>273</v>
      </c>
      <c r="H23" s="405" t="s">
        <v>255</v>
      </c>
      <c r="I23" s="405"/>
      <c r="J23" s="405">
        <v>0</v>
      </c>
      <c r="K23" s="520">
        <f t="shared" ref="K23:K24" si="8">L23*0.75</f>
        <v>27652500</v>
      </c>
      <c r="L23" s="520">
        <v>36870000</v>
      </c>
      <c r="M23" s="407">
        <f>J23*K23</f>
        <v>0</v>
      </c>
      <c r="N23" s="521">
        <v>0</v>
      </c>
      <c r="O23" s="1576">
        <f>J23*L23/(1-N23)</f>
        <v>0</v>
      </c>
      <c r="P23" s="1577"/>
      <c r="Q23" s="1548" t="s">
        <v>462</v>
      </c>
      <c r="R23" s="1549"/>
      <c r="S23" s="212"/>
      <c r="T23" s="543">
        <v>1</v>
      </c>
      <c r="U23" s="400" t="s">
        <v>290</v>
      </c>
      <c r="V23" s="400" t="s">
        <v>294</v>
      </c>
      <c r="W23" s="400"/>
      <c r="X23" s="400"/>
      <c r="Y23" s="400"/>
      <c r="Z23" s="400"/>
      <c r="AA23" s="400"/>
    </row>
    <row r="24" spans="1:34" s="528" customFormat="1" x14ac:dyDescent="0.3">
      <c r="A24" s="84"/>
      <c r="B24" s="516"/>
      <c r="C24" s="517"/>
      <c r="D24" s="517"/>
      <c r="E24" s="518"/>
      <c r="F24" s="519" t="s">
        <v>424</v>
      </c>
      <c r="G24" s="405" t="s">
        <v>274</v>
      </c>
      <c r="H24" s="405" t="s">
        <v>255</v>
      </c>
      <c r="I24" s="405"/>
      <c r="J24" s="405">
        <v>0</v>
      </c>
      <c r="K24" s="520">
        <f t="shared" si="8"/>
        <v>23730000</v>
      </c>
      <c r="L24" s="520">
        <v>31640000</v>
      </c>
      <c r="M24" s="407">
        <f>J24*K24</f>
        <v>0</v>
      </c>
      <c r="N24" s="521">
        <v>0</v>
      </c>
      <c r="O24" s="1576">
        <f>J24*L24/(1-N24)</f>
        <v>0</v>
      </c>
      <c r="P24" s="1577"/>
      <c r="Q24" s="1550" t="s">
        <v>401</v>
      </c>
      <c r="R24" s="1551"/>
      <c r="S24" s="212"/>
      <c r="T24" s="529">
        <v>1</v>
      </c>
      <c r="U24" s="70"/>
      <c r="V24" s="70"/>
      <c r="W24" s="70"/>
      <c r="X24" s="70"/>
      <c r="Y24" s="70"/>
      <c r="Z24" s="70"/>
      <c r="AA24" s="70"/>
      <c r="AB24" s="70"/>
      <c r="AC24" s="70"/>
    </row>
    <row r="25" spans="1:34" ht="16.149999999999999" customHeight="1" thickBot="1" x14ac:dyDescent="0.35">
      <c r="B25" s="365"/>
      <c r="C25" s="366"/>
      <c r="D25" s="366"/>
      <c r="E25" s="367"/>
      <c r="F25" s="156"/>
      <c r="G25" s="155"/>
      <c r="H25" s="155"/>
      <c r="I25" s="155"/>
      <c r="J25" s="186"/>
      <c r="K25" s="199"/>
      <c r="L25" s="55"/>
      <c r="M25" s="164"/>
      <c r="N25" s="158"/>
      <c r="O25" s="530"/>
      <c r="P25" s="531"/>
      <c r="Q25" s="1488"/>
      <c r="R25" s="1489"/>
      <c r="S25" s="470"/>
      <c r="T25" s="3"/>
      <c r="U25" t="s">
        <v>291</v>
      </c>
      <c r="V25" t="s">
        <v>293</v>
      </c>
    </row>
    <row r="26" spans="1:34" s="369" customFormat="1" ht="17.25" thickBot="1" x14ac:dyDescent="0.35">
      <c r="B26" s="122" t="s">
        <v>2</v>
      </c>
      <c r="C26" s="116"/>
      <c r="D26" s="116"/>
      <c r="E26" s="117"/>
      <c r="F26" s="118" t="s">
        <v>266</v>
      </c>
      <c r="G26" s="383"/>
      <c r="H26" s="383"/>
      <c r="I26" s="383"/>
      <c r="J26" s="383"/>
      <c r="K26" s="383"/>
      <c r="L26" s="384"/>
      <c r="M26" s="121"/>
      <c r="N26" s="135"/>
      <c r="O26" s="1447"/>
      <c r="P26" s="1448"/>
      <c r="Q26" s="1586"/>
      <c r="R26" s="1587"/>
      <c r="S26" s="115"/>
      <c r="T26" s="368"/>
      <c r="U26" s="370" t="s">
        <v>302</v>
      </c>
      <c r="V26" s="370"/>
      <c r="W26" s="370"/>
      <c r="X26" s="370"/>
      <c r="Y26" s="370"/>
      <c r="Z26" s="370"/>
      <c r="AA26" s="370"/>
      <c r="AB26" s="370"/>
      <c r="AC26" s="370"/>
      <c r="AD26" s="370"/>
      <c r="AE26" s="370"/>
      <c r="AF26" s="370"/>
    </row>
    <row r="27" spans="1:34" s="84" customFormat="1" x14ac:dyDescent="0.3">
      <c r="B27" s="142"/>
      <c r="C27" s="143" t="s">
        <v>2</v>
      </c>
      <c r="D27" s="144"/>
      <c r="E27" s="145"/>
      <c r="F27" s="146" t="s">
        <v>279</v>
      </c>
      <c r="G27" s="144" t="s">
        <v>278</v>
      </c>
      <c r="H27" s="144" t="s">
        <v>80</v>
      </c>
      <c r="I27" s="144" t="s">
        <v>240</v>
      </c>
      <c r="J27" s="144">
        <v>1</v>
      </c>
      <c r="K27" s="157">
        <f t="shared" ref="K27:K30" si="9">L27*0.95</f>
        <v>2422500</v>
      </c>
      <c r="L27" s="147">
        <v>2550000</v>
      </c>
      <c r="M27" s="163">
        <f>J27*K27</f>
        <v>2422500</v>
      </c>
      <c r="N27" s="148">
        <v>0</v>
      </c>
      <c r="O27" s="1574">
        <f t="shared" ref="O27:O30" si="10">J27*L27/(1-N27)</f>
        <v>2550000</v>
      </c>
      <c r="P27" s="1575"/>
      <c r="Q27" s="1482"/>
      <c r="R27" s="1483"/>
      <c r="S27" s="287"/>
      <c r="T27" s="78"/>
      <c r="U27"/>
      <c r="V27"/>
      <c r="W27"/>
      <c r="X27"/>
      <c r="Y27"/>
      <c r="Z27"/>
      <c r="AA27"/>
      <c r="AB27"/>
      <c r="AC27"/>
      <c r="AD27"/>
      <c r="AE27"/>
      <c r="AF27"/>
    </row>
    <row r="28" spans="1:34" s="84" customFormat="1" x14ac:dyDescent="0.3">
      <c r="B28" s="149"/>
      <c r="C28" s="150"/>
      <c r="D28" s="150" t="s">
        <v>2</v>
      </c>
      <c r="E28" s="151"/>
      <c r="F28" s="156" t="s">
        <v>315</v>
      </c>
      <c r="G28" s="155" t="s">
        <v>311</v>
      </c>
      <c r="H28" s="155" t="s">
        <v>80</v>
      </c>
      <c r="I28" s="155" t="s">
        <v>430</v>
      </c>
      <c r="J28" s="155">
        <v>2</v>
      </c>
      <c r="K28" s="157">
        <f t="shared" si="9"/>
        <v>2242000</v>
      </c>
      <c r="L28" s="157">
        <v>2360000</v>
      </c>
      <c r="M28" s="164">
        <f t="shared" ref="M28:M30" si="11">J28*K28</f>
        <v>4484000</v>
      </c>
      <c r="N28" s="158">
        <v>0</v>
      </c>
      <c r="O28" s="1365">
        <f t="shared" si="10"/>
        <v>4720000</v>
      </c>
      <c r="P28" s="1366"/>
      <c r="Q28" s="1330" t="s">
        <v>445</v>
      </c>
      <c r="R28" s="1331"/>
      <c r="S28" s="152"/>
      <c r="T28" s="78"/>
      <c r="U28"/>
      <c r="V28"/>
      <c r="W28"/>
      <c r="X28"/>
      <c r="Y28"/>
      <c r="Z28"/>
      <c r="AA28"/>
      <c r="AB28"/>
      <c r="AC28"/>
      <c r="AD28"/>
      <c r="AE28"/>
      <c r="AF28"/>
    </row>
    <row r="29" spans="1:34" s="84" customFormat="1" x14ac:dyDescent="0.3">
      <c r="B29" s="149"/>
      <c r="C29" s="150"/>
      <c r="D29" s="150" t="s">
        <v>2</v>
      </c>
      <c r="E29" s="151"/>
      <c r="F29" s="156" t="s">
        <v>317</v>
      </c>
      <c r="G29" s="155" t="s">
        <v>316</v>
      </c>
      <c r="H29" s="155" t="s">
        <v>80</v>
      </c>
      <c r="I29" s="155" t="s">
        <v>430</v>
      </c>
      <c r="J29" s="155">
        <v>1</v>
      </c>
      <c r="K29" s="157">
        <f t="shared" si="9"/>
        <v>836000</v>
      </c>
      <c r="L29" s="157">
        <v>880000</v>
      </c>
      <c r="M29" s="164">
        <f t="shared" si="11"/>
        <v>836000</v>
      </c>
      <c r="N29" s="158">
        <v>0</v>
      </c>
      <c r="O29" s="1365">
        <f t="shared" si="10"/>
        <v>880000</v>
      </c>
      <c r="P29" s="1366"/>
      <c r="Q29" s="1330"/>
      <c r="R29" s="1331"/>
      <c r="S29" s="289"/>
      <c r="T29" s="78"/>
      <c r="U29" s="83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s="82" customFormat="1" x14ac:dyDescent="0.3">
      <c r="B30" s="365"/>
      <c r="C30" s="150"/>
      <c r="D30" s="150" t="s">
        <v>2</v>
      </c>
      <c r="E30" s="367"/>
      <c r="F30" s="156" t="s">
        <v>324</v>
      </c>
      <c r="G30" s="155" t="s">
        <v>359</v>
      </c>
      <c r="H30" s="155" t="s">
        <v>80</v>
      </c>
      <c r="I30" s="155" t="s">
        <v>430</v>
      </c>
      <c r="J30" s="186">
        <v>1</v>
      </c>
      <c r="K30" s="55">
        <f t="shared" si="9"/>
        <v>1624500</v>
      </c>
      <c r="L30" s="55">
        <v>1710000</v>
      </c>
      <c r="M30" s="164">
        <f t="shared" si="11"/>
        <v>1624500</v>
      </c>
      <c r="N30" s="158">
        <v>0</v>
      </c>
      <c r="O30" s="1365">
        <f t="shared" si="10"/>
        <v>1710000</v>
      </c>
      <c r="P30" s="1366"/>
      <c r="Q30" s="1330" t="s">
        <v>439</v>
      </c>
      <c r="R30" s="1331"/>
      <c r="S30" s="204"/>
      <c r="T30" s="273"/>
      <c r="U30" s="79"/>
    </row>
    <row r="31" spans="1:34" ht="17.25" thickBot="1" x14ac:dyDescent="0.35">
      <c r="B31" s="365"/>
      <c r="C31" s="366"/>
      <c r="D31" s="366"/>
      <c r="E31" s="367"/>
      <c r="F31" s="156"/>
      <c r="G31" s="155"/>
      <c r="H31" s="155"/>
      <c r="I31" s="155"/>
      <c r="J31" s="186"/>
      <c r="K31" s="199"/>
      <c r="L31" s="55"/>
      <c r="M31" s="164"/>
      <c r="N31" s="158"/>
      <c r="O31" s="450"/>
      <c r="P31" s="451"/>
      <c r="Q31" s="508"/>
      <c r="R31" s="509"/>
      <c r="S31" s="204"/>
      <c r="T31" s="76"/>
      <c r="U31" s="3"/>
      <c r="V31" s="3"/>
      <c r="W31" s="79"/>
    </row>
    <row r="32" spans="1:34" ht="17.25" thickBot="1" x14ac:dyDescent="0.35">
      <c r="B32" s="122" t="s">
        <v>2</v>
      </c>
      <c r="C32" s="116"/>
      <c r="D32" s="116"/>
      <c r="E32" s="117"/>
      <c r="F32" s="118" t="s">
        <v>267</v>
      </c>
      <c r="G32" s="383"/>
      <c r="H32" s="383"/>
      <c r="I32" s="383"/>
      <c r="J32" s="383"/>
      <c r="K32" s="383"/>
      <c r="L32" s="384"/>
      <c r="M32" s="121"/>
      <c r="N32" s="135"/>
      <c r="O32" s="1447"/>
      <c r="P32" s="1448"/>
      <c r="Q32" s="1572"/>
      <c r="R32" s="1573"/>
      <c r="S32" s="115"/>
      <c r="T32" s="76"/>
      <c r="U32" s="79"/>
    </row>
    <row r="33" spans="1:34" x14ac:dyDescent="0.3">
      <c r="B33" s="142"/>
      <c r="C33" s="143" t="s">
        <v>2</v>
      </c>
      <c r="D33" s="144"/>
      <c r="E33" s="145"/>
      <c r="F33" s="146" t="s">
        <v>418</v>
      </c>
      <c r="G33" s="144"/>
      <c r="H33" s="182" t="s">
        <v>60</v>
      </c>
      <c r="I33" s="144"/>
      <c r="J33" s="144">
        <v>1</v>
      </c>
      <c r="K33" s="157">
        <v>5000000</v>
      </c>
      <c r="L33" s="157">
        <v>5000000</v>
      </c>
      <c r="M33" s="163">
        <f>J33*K33</f>
        <v>5000000</v>
      </c>
      <c r="N33" s="148">
        <v>0.3</v>
      </c>
      <c r="O33" s="1574">
        <f t="shared" ref="O33:O47" si="12">J33*L33*(1+N33)</f>
        <v>6500000</v>
      </c>
      <c r="P33" s="1575"/>
      <c r="Q33" s="1482"/>
      <c r="R33" s="1483"/>
      <c r="S33" s="287"/>
      <c r="T33" s="76"/>
      <c r="U33" s="79"/>
    </row>
    <row r="34" spans="1:34" s="84" customFormat="1" x14ac:dyDescent="0.3">
      <c r="B34" s="181"/>
      <c r="C34" s="182"/>
      <c r="D34" s="182" t="s">
        <v>2</v>
      </c>
      <c r="E34" s="183"/>
      <c r="F34" s="156" t="s">
        <v>247</v>
      </c>
      <c r="G34" s="155" t="s">
        <v>248</v>
      </c>
      <c r="H34" s="155" t="s">
        <v>249</v>
      </c>
      <c r="I34" s="155" t="s">
        <v>249</v>
      </c>
      <c r="J34" s="155">
        <v>1</v>
      </c>
      <c r="K34" s="157">
        <v>500000</v>
      </c>
      <c r="L34" s="157">
        <v>500000</v>
      </c>
      <c r="M34" s="164">
        <f>J34*K34</f>
        <v>500000</v>
      </c>
      <c r="N34" s="158">
        <v>0.3</v>
      </c>
      <c r="O34" s="1365">
        <f t="shared" si="12"/>
        <v>650000</v>
      </c>
      <c r="P34" s="1366"/>
      <c r="Q34" s="508"/>
      <c r="R34" s="509"/>
      <c r="S34" s="152"/>
      <c r="T34" s="78"/>
      <c r="U34"/>
      <c r="V34"/>
      <c r="W34"/>
      <c r="X34"/>
      <c r="Y34"/>
      <c r="Z34"/>
      <c r="AA34"/>
      <c r="AB34"/>
      <c r="AC34"/>
      <c r="AD34"/>
      <c r="AE34"/>
      <c r="AF34"/>
    </row>
    <row r="35" spans="1:34" s="84" customFormat="1" x14ac:dyDescent="0.3">
      <c r="B35" s="181"/>
      <c r="C35" s="182"/>
      <c r="D35" s="182" t="s">
        <v>2</v>
      </c>
      <c r="E35" s="183"/>
      <c r="F35" s="156" t="s">
        <v>250</v>
      </c>
      <c r="G35" s="155" t="s">
        <v>329</v>
      </c>
      <c r="H35" s="155" t="s">
        <v>330</v>
      </c>
      <c r="I35" s="155" t="s">
        <v>251</v>
      </c>
      <c r="J35" s="155">
        <v>1</v>
      </c>
      <c r="K35" s="157">
        <v>200000</v>
      </c>
      <c r="L35" s="157">
        <v>200000</v>
      </c>
      <c r="M35" s="164">
        <f>J35*K35</f>
        <v>200000</v>
      </c>
      <c r="N35" s="158">
        <v>0.3</v>
      </c>
      <c r="O35" s="1365">
        <f t="shared" si="12"/>
        <v>260000</v>
      </c>
      <c r="P35" s="1366"/>
      <c r="Q35" s="1330"/>
      <c r="R35" s="1331"/>
      <c r="S35" s="152"/>
      <c r="T35" s="78"/>
      <c r="U35" s="83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s="82" customFormat="1" x14ac:dyDescent="0.3">
      <c r="B36" s="181"/>
      <c r="C36" s="182"/>
      <c r="D36" s="182" t="s">
        <v>2</v>
      </c>
      <c r="E36" s="183"/>
      <c r="F36" s="156" t="s">
        <v>252</v>
      </c>
      <c r="G36" s="155" t="s">
        <v>253</v>
      </c>
      <c r="H36" s="155" t="s">
        <v>254</v>
      </c>
      <c r="I36" s="155" t="s">
        <v>254</v>
      </c>
      <c r="J36" s="186">
        <v>1</v>
      </c>
      <c r="K36" s="387">
        <v>3000000</v>
      </c>
      <c r="L36" s="387">
        <v>3000000</v>
      </c>
      <c r="M36" s="164">
        <f>J36*K36</f>
        <v>3000000</v>
      </c>
      <c r="N36" s="158">
        <v>0.3</v>
      </c>
      <c r="O36" s="1365">
        <f t="shared" si="12"/>
        <v>3900000</v>
      </c>
      <c r="P36" s="1366"/>
      <c r="Q36" s="508"/>
      <c r="R36" s="509"/>
      <c r="S36" s="204"/>
      <c r="T36" s="273"/>
      <c r="U36" s="79"/>
    </row>
    <row r="37" spans="1:34" s="82" customFormat="1" x14ac:dyDescent="0.3">
      <c r="B37" s="149"/>
      <c r="C37" s="150"/>
      <c r="D37" s="155" t="s">
        <v>2</v>
      </c>
      <c r="E37" s="151"/>
      <c r="F37" s="156" t="s">
        <v>245</v>
      </c>
      <c r="G37" s="155" t="s">
        <v>246</v>
      </c>
      <c r="H37" s="155" t="s">
        <v>183</v>
      </c>
      <c r="I37" s="155"/>
      <c r="J37" s="155">
        <v>1</v>
      </c>
      <c r="K37" s="157">
        <v>200000</v>
      </c>
      <c r="L37" s="157">
        <v>200000</v>
      </c>
      <c r="M37" s="164">
        <f t="shared" ref="M37" si="13">J37*K37</f>
        <v>200000</v>
      </c>
      <c r="N37" s="158">
        <v>0.3</v>
      </c>
      <c r="O37" s="1365">
        <f t="shared" si="12"/>
        <v>260000</v>
      </c>
      <c r="P37" s="1366"/>
      <c r="Q37" s="1330"/>
      <c r="R37" s="1331"/>
      <c r="S37" s="152"/>
      <c r="T37" s="273"/>
      <c r="U37" s="79"/>
    </row>
    <row r="38" spans="1:34" s="82" customFormat="1" x14ac:dyDescent="0.3">
      <c r="B38" s="365"/>
      <c r="C38" s="291"/>
      <c r="D38" s="291" t="s">
        <v>2</v>
      </c>
      <c r="E38" s="367"/>
      <c r="F38" s="156" t="s">
        <v>343</v>
      </c>
      <c r="G38" s="155" t="s">
        <v>334</v>
      </c>
      <c r="H38" s="155" t="s">
        <v>328</v>
      </c>
      <c r="I38" s="155"/>
      <c r="J38" s="186">
        <v>1</v>
      </c>
      <c r="K38" s="169">
        <v>450000</v>
      </c>
      <c r="L38" s="169">
        <v>500000</v>
      </c>
      <c r="M38" s="164">
        <f>J38*K38</f>
        <v>450000</v>
      </c>
      <c r="N38" s="158">
        <v>0</v>
      </c>
      <c r="O38" s="1365">
        <f t="shared" si="12"/>
        <v>500000</v>
      </c>
      <c r="P38" s="1366"/>
      <c r="Q38" s="1330" t="s">
        <v>440</v>
      </c>
      <c r="R38" s="1331"/>
      <c r="S38" s="204"/>
      <c r="T38" s="273"/>
      <c r="U38" s="79"/>
    </row>
    <row r="39" spans="1:34" s="82" customFormat="1" x14ac:dyDescent="0.3">
      <c r="B39" s="181"/>
      <c r="C39" s="182" t="s">
        <v>2</v>
      </c>
      <c r="D39" s="366"/>
      <c r="E39" s="183"/>
      <c r="F39" s="388" t="s">
        <v>268</v>
      </c>
      <c r="G39" s="182"/>
      <c r="H39" s="182"/>
      <c r="I39" s="155"/>
      <c r="J39" s="155">
        <v>1</v>
      </c>
      <c r="K39" s="157"/>
      <c r="L39" s="157"/>
      <c r="M39" s="164">
        <f t="shared" ref="M39:M42" si="14">J39*K39</f>
        <v>0</v>
      </c>
      <c r="N39" s="158">
        <v>0.3</v>
      </c>
      <c r="O39" s="1365">
        <f t="shared" si="12"/>
        <v>0</v>
      </c>
      <c r="P39" s="1366"/>
      <c r="Q39" s="508"/>
      <c r="R39" s="509"/>
      <c r="S39" s="152"/>
      <c r="T39" s="273"/>
      <c r="U39" s="79"/>
    </row>
    <row r="40" spans="1:34" s="84" customFormat="1" x14ac:dyDescent="0.3">
      <c r="B40" s="181"/>
      <c r="C40" s="182"/>
      <c r="D40" s="182" t="s">
        <v>2</v>
      </c>
      <c r="E40" s="183"/>
      <c r="F40" s="388" t="s">
        <v>284</v>
      </c>
      <c r="G40" s="182"/>
      <c r="H40" s="182" t="s">
        <v>60</v>
      </c>
      <c r="I40" s="155"/>
      <c r="J40" s="155">
        <v>1</v>
      </c>
      <c r="K40" s="157">
        <v>1000000</v>
      </c>
      <c r="L40" s="157">
        <v>1000000</v>
      </c>
      <c r="M40" s="164">
        <f>J40*K40</f>
        <v>1000000</v>
      </c>
      <c r="N40" s="158">
        <v>0.3</v>
      </c>
      <c r="O40" s="1365">
        <f t="shared" si="12"/>
        <v>1300000</v>
      </c>
      <c r="P40" s="1366"/>
      <c r="Q40" s="508"/>
      <c r="R40" s="509"/>
      <c r="S40" s="152"/>
      <c r="T40" s="78"/>
      <c r="U40"/>
      <c r="V40"/>
      <c r="W40"/>
      <c r="X40"/>
      <c r="Y40"/>
      <c r="Z40"/>
      <c r="AA40"/>
      <c r="AB40"/>
      <c r="AC40"/>
      <c r="AD40"/>
      <c r="AE40"/>
      <c r="AF40"/>
    </row>
    <row r="41" spans="1:34" s="82" customFormat="1" x14ac:dyDescent="0.3">
      <c r="B41" s="181"/>
      <c r="C41" s="182"/>
      <c r="D41" s="182" t="s">
        <v>2</v>
      </c>
      <c r="E41" s="183"/>
      <c r="F41" s="388" t="s">
        <v>269</v>
      </c>
      <c r="G41" s="182" t="s">
        <v>270</v>
      </c>
      <c r="H41" s="182" t="s">
        <v>271</v>
      </c>
      <c r="I41" s="155"/>
      <c r="J41" s="155">
        <f>6*3</f>
        <v>18</v>
      </c>
      <c r="K41" s="157">
        <v>120000</v>
      </c>
      <c r="L41" s="157">
        <v>120000</v>
      </c>
      <c r="M41" s="164">
        <f t="shared" si="14"/>
        <v>2160000</v>
      </c>
      <c r="N41" s="158">
        <v>0.3</v>
      </c>
      <c r="O41" s="1365">
        <f t="shared" si="12"/>
        <v>2808000</v>
      </c>
      <c r="P41" s="1366"/>
      <c r="Q41" s="1330"/>
      <c r="R41" s="1331"/>
      <c r="S41" s="152"/>
      <c r="T41" s="273"/>
      <c r="U41" s="79"/>
    </row>
    <row r="42" spans="1:34" s="84" customFormat="1" x14ac:dyDescent="0.3">
      <c r="B42" s="181"/>
      <c r="C42" s="182"/>
      <c r="D42" s="182" t="s">
        <v>2</v>
      </c>
      <c r="E42" s="183"/>
      <c r="F42" s="388" t="s">
        <v>272</v>
      </c>
      <c r="G42" s="366" t="s">
        <v>286</v>
      </c>
      <c r="H42" s="366" t="s">
        <v>287</v>
      </c>
      <c r="I42" s="155"/>
      <c r="J42" s="155">
        <v>1</v>
      </c>
      <c r="K42" s="157">
        <v>230000</v>
      </c>
      <c r="L42" s="157">
        <v>230000</v>
      </c>
      <c r="M42" s="164">
        <f t="shared" si="14"/>
        <v>230000</v>
      </c>
      <c r="N42" s="158">
        <v>0.3</v>
      </c>
      <c r="O42" s="1365">
        <f t="shared" si="12"/>
        <v>299000</v>
      </c>
      <c r="P42" s="1366"/>
      <c r="Q42" s="1330" t="s">
        <v>363</v>
      </c>
      <c r="R42" s="1331"/>
      <c r="S42" s="152"/>
      <c r="T42" s="78"/>
      <c r="U42"/>
      <c r="V42"/>
      <c r="W42"/>
      <c r="X42"/>
      <c r="Y42"/>
      <c r="Z42"/>
      <c r="AA42"/>
      <c r="AB42"/>
      <c r="AC42"/>
      <c r="AD42"/>
      <c r="AE42"/>
      <c r="AF42"/>
    </row>
    <row r="43" spans="1:34" s="82" customFormat="1" x14ac:dyDescent="0.3">
      <c r="B43" s="181"/>
      <c r="C43" s="182"/>
      <c r="D43" s="182" t="s">
        <v>2</v>
      </c>
      <c r="E43" s="183"/>
      <c r="F43" s="389" t="s">
        <v>355</v>
      </c>
      <c r="G43" s="366" t="s">
        <v>285</v>
      </c>
      <c r="H43" s="366" t="s">
        <v>277</v>
      </c>
      <c r="I43" s="155"/>
      <c r="J43" s="155">
        <v>1</v>
      </c>
      <c r="K43" s="157">
        <v>70000</v>
      </c>
      <c r="L43" s="157">
        <v>70000</v>
      </c>
      <c r="M43" s="164">
        <f>J43*K43</f>
        <v>70000</v>
      </c>
      <c r="N43" s="158">
        <v>0.3</v>
      </c>
      <c r="O43" s="1365">
        <f t="shared" si="12"/>
        <v>91000</v>
      </c>
      <c r="P43" s="1366"/>
      <c r="Q43" s="1330" t="s">
        <v>362</v>
      </c>
      <c r="R43" s="1331"/>
      <c r="S43" s="152"/>
      <c r="T43" s="273"/>
      <c r="U43" s="79"/>
    </row>
    <row r="44" spans="1:34" s="82" customFormat="1" x14ac:dyDescent="0.3">
      <c r="B44" s="181"/>
      <c r="C44" s="182"/>
      <c r="D44" s="182" t="s">
        <v>2</v>
      </c>
      <c r="E44" s="183"/>
      <c r="F44" s="388" t="s">
        <v>354</v>
      </c>
      <c r="G44" s="366" t="s">
        <v>353</v>
      </c>
      <c r="H44" s="182" t="s">
        <v>277</v>
      </c>
      <c r="I44" s="155"/>
      <c r="J44" s="155">
        <v>1</v>
      </c>
      <c r="K44" s="157">
        <v>70000</v>
      </c>
      <c r="L44" s="157">
        <v>70000</v>
      </c>
      <c r="M44" s="164">
        <f>J44*K44</f>
        <v>70000</v>
      </c>
      <c r="N44" s="158">
        <v>0.3</v>
      </c>
      <c r="O44" s="1365">
        <f t="shared" si="12"/>
        <v>91000</v>
      </c>
      <c r="P44" s="1366"/>
      <c r="Q44" s="1330" t="s">
        <v>362</v>
      </c>
      <c r="R44" s="1331"/>
      <c r="S44" s="152"/>
      <c r="T44" s="273"/>
      <c r="U44" s="79"/>
    </row>
    <row r="45" spans="1:34" s="82" customFormat="1" x14ac:dyDescent="0.3">
      <c r="B45" s="181"/>
      <c r="C45" s="182"/>
      <c r="D45" s="182" t="s">
        <v>2</v>
      </c>
      <c r="E45" s="183"/>
      <c r="F45" s="388" t="s">
        <v>357</v>
      </c>
      <c r="G45" s="366" t="s">
        <v>285</v>
      </c>
      <c r="H45" s="182" t="s">
        <v>277</v>
      </c>
      <c r="I45" s="155"/>
      <c r="J45" s="155">
        <v>1</v>
      </c>
      <c r="K45" s="157">
        <v>70000</v>
      </c>
      <c r="L45" s="157">
        <v>70000</v>
      </c>
      <c r="M45" s="157">
        <v>70000</v>
      </c>
      <c r="N45" s="158">
        <v>0.3</v>
      </c>
      <c r="O45" s="1365">
        <f t="shared" si="12"/>
        <v>91000</v>
      </c>
      <c r="P45" s="1366"/>
      <c r="Q45" s="1330" t="s">
        <v>361</v>
      </c>
      <c r="R45" s="1331"/>
      <c r="S45" s="152"/>
      <c r="T45" s="273"/>
      <c r="U45" s="79"/>
    </row>
    <row r="46" spans="1:34" s="413" customFormat="1" x14ac:dyDescent="0.3">
      <c r="A46" s="82"/>
      <c r="B46" s="181"/>
      <c r="C46" s="182"/>
      <c r="D46" s="182" t="s">
        <v>2</v>
      </c>
      <c r="E46" s="183"/>
      <c r="F46" s="388" t="s">
        <v>471</v>
      </c>
      <c r="G46" s="366"/>
      <c r="H46" s="182"/>
      <c r="I46" s="155"/>
      <c r="J46" s="155">
        <v>3</v>
      </c>
      <c r="K46" s="157">
        <v>20000</v>
      </c>
      <c r="L46" s="157">
        <v>20000</v>
      </c>
      <c r="M46" s="157">
        <f t="shared" ref="M46" si="15">J46*K46</f>
        <v>60000</v>
      </c>
      <c r="N46" s="158">
        <v>0.3</v>
      </c>
      <c r="O46" s="1365">
        <f t="shared" si="12"/>
        <v>78000</v>
      </c>
      <c r="P46" s="1366"/>
      <c r="Q46" s="1330" t="s">
        <v>485</v>
      </c>
      <c r="R46" s="1331"/>
      <c r="S46" s="152"/>
      <c r="T46" s="413">
        <v>6</v>
      </c>
    </row>
    <row r="47" spans="1:34" s="82" customFormat="1" x14ac:dyDescent="0.3">
      <c r="B47" s="181"/>
      <c r="C47" s="182" t="s">
        <v>2</v>
      </c>
      <c r="D47" s="366"/>
      <c r="E47" s="183"/>
      <c r="F47" s="388" t="s">
        <v>419</v>
      </c>
      <c r="G47" s="182"/>
      <c r="H47" s="182" t="s">
        <v>60</v>
      </c>
      <c r="I47" s="155"/>
      <c r="J47" s="155">
        <v>1</v>
      </c>
      <c r="K47" s="157">
        <v>3000000</v>
      </c>
      <c r="L47" s="157">
        <v>3000000</v>
      </c>
      <c r="M47" s="164">
        <f>J47*K47</f>
        <v>3000000</v>
      </c>
      <c r="N47" s="158">
        <v>0.3</v>
      </c>
      <c r="O47" s="1365">
        <f t="shared" si="12"/>
        <v>3900000</v>
      </c>
      <c r="P47" s="1366"/>
      <c r="Q47" s="508"/>
      <c r="R47" s="509"/>
      <c r="S47" s="152"/>
      <c r="T47" s="273"/>
      <c r="U47" s="79"/>
    </row>
    <row r="48" spans="1:34" s="82" customFormat="1" ht="17.25" thickBot="1" x14ac:dyDescent="0.35">
      <c r="B48" s="365"/>
      <c r="C48" s="366"/>
      <c r="D48" s="366"/>
      <c r="E48" s="367"/>
      <c r="F48" s="156"/>
      <c r="G48" s="155"/>
      <c r="H48" s="155"/>
      <c r="I48" s="155"/>
      <c r="J48" s="186"/>
      <c r="K48" s="199"/>
      <c r="L48" s="55"/>
      <c r="M48" s="164"/>
      <c r="N48" s="158"/>
      <c r="O48" s="450"/>
      <c r="P48" s="451"/>
      <c r="Q48" s="508"/>
      <c r="R48" s="509"/>
      <c r="S48" s="204"/>
      <c r="T48" s="273"/>
      <c r="U48" s="79"/>
    </row>
    <row r="49" spans="2:32" s="82" customFormat="1" ht="18" thickBot="1" x14ac:dyDescent="0.35">
      <c r="B49" s="1338" t="s">
        <v>53</v>
      </c>
      <c r="C49" s="1339"/>
      <c r="D49" s="1339"/>
      <c r="E49" s="1339"/>
      <c r="F49" s="1339"/>
      <c r="G49" s="1339"/>
      <c r="H49" s="1339"/>
      <c r="I49" s="1339"/>
      <c r="J49" s="1339"/>
      <c r="K49" s="1339"/>
      <c r="L49" s="1340"/>
      <c r="M49" s="123">
        <f>SUM(M5:M48)</f>
        <v>89458375.542999998</v>
      </c>
      <c r="N49" s="136"/>
      <c r="O49" s="1341">
        <f>SUM(O5:P48)</f>
        <v>125563000</v>
      </c>
      <c r="P49" s="1342"/>
      <c r="Q49" s="1343"/>
      <c r="R49" s="1344"/>
      <c r="S49" s="130"/>
      <c r="T49" s="273"/>
    </row>
    <row r="50" spans="2:32" s="82" customFormat="1" ht="17.25" thickBot="1" x14ac:dyDescent="0.35">
      <c r="B50" s="122" t="s">
        <v>2</v>
      </c>
      <c r="C50" s="116"/>
      <c r="D50" s="116"/>
      <c r="E50" s="117"/>
      <c r="F50" s="118" t="s">
        <v>242</v>
      </c>
      <c r="G50" s="119"/>
      <c r="H50" s="119"/>
      <c r="I50" s="119"/>
      <c r="J50" s="119"/>
      <c r="K50" s="119"/>
      <c r="L50" s="120"/>
      <c r="M50" s="121"/>
      <c r="N50" s="135"/>
      <c r="O50" s="1447"/>
      <c r="P50" s="1448"/>
      <c r="Q50" s="1326"/>
      <c r="R50" s="1327"/>
      <c r="S50" s="115"/>
      <c r="T50" s="273"/>
      <c r="U50" s="79"/>
    </row>
    <row r="51" spans="2:32" s="82" customFormat="1" x14ac:dyDescent="0.3">
      <c r="B51" s="131"/>
      <c r="C51" s="132" t="s">
        <v>73</v>
      </c>
      <c r="D51" s="133"/>
      <c r="E51" s="165"/>
      <c r="F51" s="227" t="s">
        <v>319</v>
      </c>
      <c r="G51" s="222" t="s">
        <v>94</v>
      </c>
      <c r="H51" s="222" t="s">
        <v>130</v>
      </c>
      <c r="I51" s="222" t="s">
        <v>131</v>
      </c>
      <c r="J51" s="371">
        <v>10</v>
      </c>
      <c r="K51" s="55">
        <v>307000</v>
      </c>
      <c r="L51" s="55">
        <v>307000</v>
      </c>
      <c r="M51" s="230">
        <f t="shared" ref="M51:M52" si="16">J51*K51</f>
        <v>3070000</v>
      </c>
      <c r="N51" s="148"/>
      <c r="O51" s="1365">
        <f t="shared" ref="O51:O52" si="17">L51*J51</f>
        <v>3070000</v>
      </c>
      <c r="P51" s="1366"/>
      <c r="Q51" s="1492"/>
      <c r="R51" s="1493"/>
      <c r="S51" s="207"/>
      <c r="T51" s="273"/>
      <c r="U51"/>
      <c r="V51"/>
      <c r="W51" s="79"/>
    </row>
    <row r="52" spans="2:32" s="84" customFormat="1" x14ac:dyDescent="0.3">
      <c r="B52" s="208"/>
      <c r="C52" s="209" t="s">
        <v>73</v>
      </c>
      <c r="D52" s="210"/>
      <c r="E52" s="211"/>
      <c r="F52" s="228" t="s">
        <v>320</v>
      </c>
      <c r="G52" s="223" t="s">
        <v>94</v>
      </c>
      <c r="H52" s="223" t="s">
        <v>130</v>
      </c>
      <c r="I52" s="223" t="s">
        <v>131</v>
      </c>
      <c r="J52" s="372">
        <v>25</v>
      </c>
      <c r="K52" s="55">
        <v>307000</v>
      </c>
      <c r="L52" s="55">
        <v>307000</v>
      </c>
      <c r="M52" s="231">
        <f t="shared" si="16"/>
        <v>7675000</v>
      </c>
      <c r="N52" s="158"/>
      <c r="O52" s="1365">
        <f t="shared" si="17"/>
        <v>7675000</v>
      </c>
      <c r="P52" s="1366"/>
      <c r="Q52" s="1494"/>
      <c r="R52" s="1495"/>
      <c r="S52" s="212"/>
      <c r="T52" s="78"/>
      <c r="U52"/>
      <c r="V52"/>
      <c r="W52"/>
      <c r="X52"/>
      <c r="Y52"/>
      <c r="Z52"/>
      <c r="AA52"/>
      <c r="AB52"/>
      <c r="AC52"/>
      <c r="AD52"/>
      <c r="AE52"/>
      <c r="AF52"/>
    </row>
    <row r="53" spans="2:32" s="84" customFormat="1" ht="17.25" thickBot="1" x14ac:dyDescent="0.35">
      <c r="B53" s="213"/>
      <c r="C53" s="214"/>
      <c r="D53" s="215"/>
      <c r="E53" s="216"/>
      <c r="F53" s="229"/>
      <c r="G53" s="224"/>
      <c r="H53" s="224"/>
      <c r="I53" s="224"/>
      <c r="J53" s="373"/>
      <c r="K53" s="225"/>
      <c r="L53" s="225"/>
      <c r="M53" s="226"/>
      <c r="N53" s="162"/>
      <c r="O53" s="1365">
        <f t="shared" ref="O53" si="18">L53</f>
        <v>0</v>
      </c>
      <c r="P53" s="1366"/>
      <c r="Q53" s="1453"/>
      <c r="R53" s="1454"/>
      <c r="S53" s="217"/>
      <c r="T53" s="78"/>
      <c r="U53"/>
      <c r="V53"/>
      <c r="W53"/>
      <c r="X53"/>
      <c r="Y53"/>
      <c r="Z53"/>
      <c r="AA53"/>
      <c r="AB53"/>
      <c r="AC53"/>
      <c r="AD53"/>
      <c r="AE53"/>
      <c r="AF53"/>
    </row>
    <row r="54" spans="2:32" s="84" customFormat="1" ht="17.25" thickBot="1" x14ac:dyDescent="0.35">
      <c r="B54" s="122" t="s">
        <v>2</v>
      </c>
      <c r="C54" s="116"/>
      <c r="D54" s="116"/>
      <c r="E54" s="117"/>
      <c r="F54" s="218" t="s">
        <v>243</v>
      </c>
      <c r="G54" s="219"/>
      <c r="H54" s="219"/>
      <c r="I54" s="219"/>
      <c r="J54" s="219"/>
      <c r="K54" s="220"/>
      <c r="L54" s="220"/>
      <c r="M54" s="221"/>
      <c r="N54" s="135"/>
      <c r="O54" s="1447"/>
      <c r="P54" s="1448"/>
      <c r="Q54" s="1447"/>
      <c r="R54" s="1448"/>
      <c r="S54" s="115"/>
      <c r="T54" s="78"/>
      <c r="U54"/>
      <c r="V54"/>
      <c r="W54"/>
      <c r="X54"/>
      <c r="Y54"/>
      <c r="Z54"/>
      <c r="AA54"/>
      <c r="AB54"/>
      <c r="AC54"/>
      <c r="AD54"/>
      <c r="AE54"/>
      <c r="AF54"/>
    </row>
    <row r="55" spans="2:32" s="84" customFormat="1" x14ac:dyDescent="0.3">
      <c r="B55" s="64"/>
      <c r="C55" s="65" t="s">
        <v>2</v>
      </c>
      <c r="D55" s="65"/>
      <c r="E55" s="66"/>
      <c r="F55" s="88" t="s">
        <v>7</v>
      </c>
      <c r="G55" s="85"/>
      <c r="H55" s="223" t="s">
        <v>130</v>
      </c>
      <c r="I55" s="223" t="s">
        <v>131</v>
      </c>
      <c r="J55" s="80">
        <v>5</v>
      </c>
      <c r="K55" s="55">
        <v>307000</v>
      </c>
      <c r="L55" s="55">
        <v>307000</v>
      </c>
      <c r="M55" s="112">
        <f>K55*J55</f>
        <v>1535000</v>
      </c>
      <c r="N55" s="137"/>
      <c r="O55" s="1365">
        <f t="shared" ref="O55:O61" si="19">L55*J55</f>
        <v>1535000</v>
      </c>
      <c r="P55" s="1366"/>
      <c r="Q55" s="1359" t="s">
        <v>62</v>
      </c>
      <c r="R55" s="1360"/>
      <c r="S55" s="94"/>
      <c r="T55" s="78"/>
      <c r="U55"/>
      <c r="V55"/>
      <c r="W55"/>
      <c r="X55"/>
      <c r="Y55"/>
      <c r="Z55"/>
      <c r="AA55"/>
      <c r="AB55"/>
      <c r="AC55"/>
      <c r="AD55"/>
      <c r="AE55"/>
      <c r="AF55"/>
    </row>
    <row r="56" spans="2:32" s="84" customFormat="1" x14ac:dyDescent="0.3">
      <c r="B56" s="62"/>
      <c r="C56" s="63" t="s">
        <v>2</v>
      </c>
      <c r="D56" s="63"/>
      <c r="E56" s="61"/>
      <c r="F56" s="89" t="s">
        <v>11</v>
      </c>
      <c r="G56" s="86"/>
      <c r="H56" s="223" t="s">
        <v>130</v>
      </c>
      <c r="I56" s="223" t="s">
        <v>131</v>
      </c>
      <c r="J56" s="56">
        <v>3</v>
      </c>
      <c r="K56" s="55">
        <v>307000</v>
      </c>
      <c r="L56" s="55">
        <v>307000</v>
      </c>
      <c r="M56" s="113">
        <f t="shared" ref="M56:M61" si="20">K56*J56</f>
        <v>921000</v>
      </c>
      <c r="N56" s="138"/>
      <c r="O56" s="1365">
        <f t="shared" si="19"/>
        <v>921000</v>
      </c>
      <c r="P56" s="1366"/>
      <c r="Q56" s="1361"/>
      <c r="R56" s="1362"/>
      <c r="S56" s="95"/>
      <c r="T56" s="78"/>
      <c r="U56"/>
      <c r="V56"/>
      <c r="W56"/>
      <c r="X56"/>
      <c r="Y56"/>
      <c r="Z56"/>
      <c r="AA56"/>
      <c r="AB56"/>
      <c r="AC56"/>
      <c r="AD56"/>
      <c r="AE56"/>
      <c r="AF56"/>
    </row>
    <row r="57" spans="2:32" s="84" customFormat="1" x14ac:dyDescent="0.3">
      <c r="B57" s="62"/>
      <c r="C57" s="63" t="s">
        <v>2</v>
      </c>
      <c r="D57" s="63"/>
      <c r="E57" s="61"/>
      <c r="F57" s="89" t="s">
        <v>41</v>
      </c>
      <c r="G57" s="86"/>
      <c r="H57" s="223" t="s">
        <v>130</v>
      </c>
      <c r="I57" s="223" t="s">
        <v>131</v>
      </c>
      <c r="J57" s="56">
        <v>5</v>
      </c>
      <c r="K57" s="55">
        <v>307000</v>
      </c>
      <c r="L57" s="55">
        <v>307000</v>
      </c>
      <c r="M57" s="113">
        <f t="shared" si="20"/>
        <v>1535000</v>
      </c>
      <c r="N57" s="138"/>
      <c r="O57" s="1365">
        <f t="shared" si="19"/>
        <v>1535000</v>
      </c>
      <c r="P57" s="1366"/>
      <c r="Q57" s="1361"/>
      <c r="R57" s="1362"/>
      <c r="S57" s="95"/>
      <c r="T57" s="78"/>
      <c r="U57"/>
      <c r="V57"/>
      <c r="W57"/>
      <c r="X57"/>
      <c r="Y57"/>
      <c r="Z57"/>
      <c r="AA57"/>
      <c r="AB57"/>
      <c r="AC57"/>
      <c r="AD57"/>
      <c r="AE57"/>
      <c r="AF57"/>
    </row>
    <row r="58" spans="2:32" x14ac:dyDescent="0.3">
      <c r="B58" s="62"/>
      <c r="C58" s="63" t="s">
        <v>2</v>
      </c>
      <c r="D58" s="63"/>
      <c r="E58" s="61"/>
      <c r="F58" s="89" t="s">
        <v>10</v>
      </c>
      <c r="G58" s="86"/>
      <c r="H58" s="223" t="s">
        <v>130</v>
      </c>
      <c r="I58" s="223" t="s">
        <v>131</v>
      </c>
      <c r="J58" s="56">
        <v>3</v>
      </c>
      <c r="K58" s="55">
        <v>307000</v>
      </c>
      <c r="L58" s="55">
        <v>307000</v>
      </c>
      <c r="M58" s="113">
        <f t="shared" si="20"/>
        <v>921000</v>
      </c>
      <c r="N58" s="138"/>
      <c r="O58" s="1365">
        <f t="shared" si="19"/>
        <v>921000</v>
      </c>
      <c r="P58" s="1366"/>
      <c r="Q58" s="1361"/>
      <c r="R58" s="1362"/>
      <c r="S58" s="95"/>
      <c r="T58" s="7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</row>
    <row r="59" spans="2:32" x14ac:dyDescent="0.3">
      <c r="B59" s="62"/>
      <c r="C59" s="63" t="s">
        <v>2</v>
      </c>
      <c r="D59" s="63"/>
      <c r="E59" s="61"/>
      <c r="F59" s="89" t="s">
        <v>61</v>
      </c>
      <c r="G59" s="86"/>
      <c r="H59" s="223" t="s">
        <v>130</v>
      </c>
      <c r="I59" s="223" t="s">
        <v>131</v>
      </c>
      <c r="J59" s="56">
        <v>2</v>
      </c>
      <c r="K59" s="55">
        <v>307000</v>
      </c>
      <c r="L59" s="55">
        <v>307000</v>
      </c>
      <c r="M59" s="113">
        <f t="shared" si="20"/>
        <v>614000</v>
      </c>
      <c r="N59" s="138"/>
      <c r="O59" s="1365">
        <f t="shared" si="19"/>
        <v>614000</v>
      </c>
      <c r="P59" s="1366"/>
      <c r="Q59" s="1361"/>
      <c r="R59" s="1362"/>
      <c r="S59" s="95"/>
      <c r="T59" s="73"/>
    </row>
    <row r="60" spans="2:32" x14ac:dyDescent="0.3">
      <c r="B60" s="67"/>
      <c r="C60" s="63" t="s">
        <v>2</v>
      </c>
      <c r="D60" s="68"/>
      <c r="E60" s="69"/>
      <c r="F60" s="90" t="s">
        <v>9</v>
      </c>
      <c r="G60" s="86"/>
      <c r="H60" s="223" t="s">
        <v>130</v>
      </c>
      <c r="I60" s="223" t="s">
        <v>131</v>
      </c>
      <c r="J60" s="56">
        <v>5</v>
      </c>
      <c r="K60" s="55">
        <v>307000</v>
      </c>
      <c r="L60" s="55">
        <v>307000</v>
      </c>
      <c r="M60" s="113">
        <f t="shared" si="20"/>
        <v>1535000</v>
      </c>
      <c r="N60" s="138"/>
      <c r="O60" s="1365">
        <f t="shared" si="19"/>
        <v>1535000</v>
      </c>
      <c r="P60" s="1366"/>
      <c r="Q60" s="1361"/>
      <c r="R60" s="1362"/>
      <c r="S60" s="95"/>
      <c r="T60" s="73"/>
    </row>
    <row r="61" spans="2:32" ht="17.25" thickBot="1" x14ac:dyDescent="0.35">
      <c r="B61" s="57"/>
      <c r="C61" s="58" t="s">
        <v>2</v>
      </c>
      <c r="D61" s="58"/>
      <c r="E61" s="60"/>
      <c r="F61" s="91" t="s">
        <v>8</v>
      </c>
      <c r="G61" s="87"/>
      <c r="H61" s="223" t="s">
        <v>130</v>
      </c>
      <c r="I61" s="223" t="s">
        <v>131</v>
      </c>
      <c r="J61" s="59">
        <v>2</v>
      </c>
      <c r="K61" s="55">
        <v>307000</v>
      </c>
      <c r="L61" s="55">
        <v>307000</v>
      </c>
      <c r="M61" s="114">
        <f t="shared" si="20"/>
        <v>614000</v>
      </c>
      <c r="N61" s="139"/>
      <c r="O61" s="1365">
        <f t="shared" si="19"/>
        <v>614000</v>
      </c>
      <c r="P61" s="1366"/>
      <c r="Q61" s="1363"/>
      <c r="R61" s="1364"/>
      <c r="S61" s="96"/>
      <c r="T61" s="73"/>
    </row>
    <row r="62" spans="2:32" ht="18" thickBot="1" x14ac:dyDescent="0.35">
      <c r="B62" s="1345" t="s">
        <v>46</v>
      </c>
      <c r="C62" s="1346"/>
      <c r="D62" s="1346"/>
      <c r="E62" s="1346"/>
      <c r="F62" s="1346"/>
      <c r="G62" s="1346"/>
      <c r="H62" s="1346"/>
      <c r="I62" s="1346"/>
      <c r="J62" s="1346"/>
      <c r="K62" s="1346"/>
      <c r="L62" s="1347"/>
      <c r="M62" s="124">
        <f>SUM(M50:M61)</f>
        <v>18420000</v>
      </c>
      <c r="N62" s="140"/>
      <c r="O62" s="1348">
        <f>SUM(O50:P61)</f>
        <v>18420000</v>
      </c>
      <c r="P62" s="1349"/>
      <c r="Q62" s="1350"/>
      <c r="R62" s="1350"/>
      <c r="S62" s="1351"/>
      <c r="T62" s="74"/>
    </row>
    <row r="63" spans="2:32" ht="20.25" thickBot="1" x14ac:dyDescent="0.35">
      <c r="B63" s="1352" t="s">
        <v>52</v>
      </c>
      <c r="C63" s="1353"/>
      <c r="D63" s="1353"/>
      <c r="E63" s="1353"/>
      <c r="F63" s="1353"/>
      <c r="G63" s="1353"/>
      <c r="H63" s="1353"/>
      <c r="I63" s="1353"/>
      <c r="J63" s="1353"/>
      <c r="K63" s="1353"/>
      <c r="L63" s="1353"/>
      <c r="M63" s="125"/>
      <c r="N63" s="134">
        <v>0.03</v>
      </c>
      <c r="O63" s="1354">
        <f>ROUNDDOWN(O49*N63,-3)</f>
        <v>3766000</v>
      </c>
      <c r="P63" s="1355"/>
      <c r="Q63" s="1356"/>
      <c r="R63" s="1357"/>
      <c r="S63" s="1358"/>
    </row>
    <row r="64" spans="2:32" ht="20.25" thickBot="1" x14ac:dyDescent="0.35">
      <c r="B64" s="1352" t="s">
        <v>54</v>
      </c>
      <c r="C64" s="1353"/>
      <c r="D64" s="1353"/>
      <c r="E64" s="1353"/>
      <c r="F64" s="1353"/>
      <c r="G64" s="1353"/>
      <c r="H64" s="1353"/>
      <c r="I64" s="1353"/>
      <c r="J64" s="1353"/>
      <c r="K64" s="1353"/>
      <c r="L64" s="1353"/>
      <c r="M64" s="127"/>
      <c r="N64" s="128"/>
      <c r="O64" s="1354">
        <f>SUM(O63,O62,O49)</f>
        <v>147749000</v>
      </c>
      <c r="P64" s="1355"/>
      <c r="Q64" s="1374"/>
      <c r="R64" s="1375"/>
      <c r="S64" s="1376"/>
    </row>
    <row r="65" spans="2:32" ht="20.25" thickBot="1" x14ac:dyDescent="0.35">
      <c r="B65" s="1352" t="s">
        <v>51</v>
      </c>
      <c r="C65" s="1353"/>
      <c r="D65" s="1353"/>
      <c r="E65" s="1353"/>
      <c r="F65" s="1353"/>
      <c r="G65" s="1353"/>
      <c r="H65" s="1353"/>
      <c r="I65" s="1353"/>
      <c r="J65" s="1353"/>
      <c r="K65" s="1353"/>
      <c r="L65" s="1353"/>
      <c r="M65" s="129"/>
      <c r="N65" s="126">
        <v>0.1</v>
      </c>
      <c r="O65" s="1381">
        <f>ROUNDDOWN(O64*N65,-3)</f>
        <v>14774000</v>
      </c>
      <c r="P65" s="1382"/>
      <c r="Q65" s="1383"/>
      <c r="R65" s="1384"/>
      <c r="S65" s="1385"/>
    </row>
    <row r="66" spans="2:32" ht="21" thickBot="1" x14ac:dyDescent="0.35">
      <c r="B66" s="1367" t="s">
        <v>44</v>
      </c>
      <c r="C66" s="1368"/>
      <c r="D66" s="1368"/>
      <c r="E66" s="1368"/>
      <c r="F66" s="1368"/>
      <c r="G66" s="1368"/>
      <c r="H66" s="1368"/>
      <c r="I66" s="1368"/>
      <c r="J66" s="1368"/>
      <c r="K66" s="1368"/>
      <c r="L66" s="1368"/>
      <c r="M66" s="92"/>
      <c r="N66" s="111"/>
      <c r="O66" s="1369">
        <f>ROUNDDOWN(SUM(O64:P65), -6)</f>
        <v>162000000</v>
      </c>
      <c r="P66" s="1370"/>
      <c r="Q66" s="1371"/>
      <c r="R66" s="1372"/>
      <c r="S66" s="137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ht="21" thickBot="1" x14ac:dyDescent="0.35">
      <c r="B67" s="104"/>
      <c r="C67" s="104"/>
      <c r="D67" s="104"/>
      <c r="E67" s="104"/>
      <c r="F67" s="105"/>
      <c r="G67" s="105"/>
      <c r="H67" s="105"/>
      <c r="I67" s="105"/>
      <c r="J67" s="105"/>
      <c r="K67" s="105"/>
      <c r="L67" s="105"/>
      <c r="M67" s="106"/>
      <c r="N67" s="107"/>
      <c r="O67" s="107"/>
      <c r="P67" s="107"/>
      <c r="Q67" s="108"/>
      <c r="R67" s="108"/>
      <c r="S67" s="108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ht="18" thickBot="1" x14ac:dyDescent="0.35">
      <c r="B68" s="1374" t="s">
        <v>50</v>
      </c>
      <c r="C68" s="1375"/>
      <c r="D68" s="1375"/>
      <c r="E68" s="1376"/>
      <c r="F68" s="109"/>
      <c r="G68" s="109"/>
      <c r="H68" s="109"/>
      <c r="I68" s="109"/>
      <c r="J68" s="109"/>
      <c r="K68" s="110"/>
      <c r="L68" s="110"/>
      <c r="M68" s="110"/>
      <c r="N68" s="77" t="s">
        <v>14</v>
      </c>
      <c r="O68" s="1377" t="s">
        <v>15</v>
      </c>
      <c r="P68" s="1378"/>
      <c r="Q68" s="1379" t="s">
        <v>17</v>
      </c>
      <c r="R68" s="1380"/>
      <c r="S68" s="166" t="s">
        <v>16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x14ac:dyDescent="0.3">
      <c r="B69" s="102">
        <v>1</v>
      </c>
      <c r="C69" s="1400"/>
      <c r="D69" s="1401"/>
      <c r="E69" s="1401"/>
      <c r="F69" s="1401"/>
      <c r="G69" s="1401"/>
      <c r="H69" s="1401"/>
      <c r="I69" s="1401"/>
      <c r="J69" s="1402"/>
      <c r="N69" s="11">
        <v>0</v>
      </c>
      <c r="O69" s="1403">
        <f>$O$66/(1+N69)</f>
        <v>162000000</v>
      </c>
      <c r="P69" s="1404"/>
      <c r="Q69" s="1405">
        <f>O69-$M$49</f>
        <v>72541624.457000002</v>
      </c>
      <c r="R69" s="1406"/>
      <c r="S69" s="160">
        <f>Q69/O69</f>
        <v>0.44778780529012346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 x14ac:dyDescent="0.3">
      <c r="B70" s="100">
        <v>2</v>
      </c>
      <c r="C70" s="1458"/>
      <c r="D70" s="1456"/>
      <c r="E70" s="1456"/>
      <c r="F70" s="1456"/>
      <c r="G70" s="1456"/>
      <c r="H70" s="1456"/>
      <c r="I70" s="1456"/>
      <c r="J70" s="1457"/>
      <c r="N70" s="9">
        <v>0.1</v>
      </c>
      <c r="O70" s="1389">
        <f>$O$66/(1+N70)</f>
        <v>147272727.27272725</v>
      </c>
      <c r="P70" s="1390"/>
      <c r="Q70" s="1391">
        <f t="shared" ref="Q70:Q73" si="21">O70-$M$49</f>
        <v>57814351.729727253</v>
      </c>
      <c r="R70" s="1392"/>
      <c r="S70" s="161">
        <f t="shared" ref="S70:S73" si="22">Q70/O70</f>
        <v>0.39256658581913573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 x14ac:dyDescent="0.3">
      <c r="B71" s="100">
        <v>3</v>
      </c>
      <c r="C71" s="1455"/>
      <c r="D71" s="1456"/>
      <c r="E71" s="1456"/>
      <c r="F71" s="1456"/>
      <c r="G71" s="1456"/>
      <c r="H71" s="1456"/>
      <c r="I71" s="1456"/>
      <c r="J71" s="1457"/>
      <c r="N71" s="10">
        <v>0.15</v>
      </c>
      <c r="O71" s="1389">
        <f t="shared" ref="O71:O72" si="23">$O$66/(1+N71)</f>
        <v>140869565.21739131</v>
      </c>
      <c r="P71" s="1390"/>
      <c r="Q71" s="1391">
        <f t="shared" si="21"/>
        <v>51411189.674391314</v>
      </c>
      <c r="R71" s="1392"/>
      <c r="S71" s="161">
        <f t="shared" si="22"/>
        <v>0.36495597608364205</v>
      </c>
    </row>
    <row r="72" spans="2:32" ht="18" customHeight="1" x14ac:dyDescent="0.3">
      <c r="B72" s="100">
        <v>4</v>
      </c>
      <c r="C72" s="1455"/>
      <c r="D72" s="1456"/>
      <c r="E72" s="1456"/>
      <c r="F72" s="1456"/>
      <c r="G72" s="1456"/>
      <c r="H72" s="1456"/>
      <c r="I72" s="1456"/>
      <c r="J72" s="1457"/>
      <c r="N72" s="10">
        <v>0.2</v>
      </c>
      <c r="O72" s="1389">
        <f t="shared" si="23"/>
        <v>135000000</v>
      </c>
      <c r="P72" s="1390"/>
      <c r="Q72" s="1391">
        <f t="shared" si="21"/>
        <v>45541624.457000002</v>
      </c>
      <c r="R72" s="1392"/>
      <c r="S72" s="161">
        <f t="shared" si="22"/>
        <v>0.33734536634814816</v>
      </c>
    </row>
    <row r="73" spans="2:32" ht="18" customHeight="1" thickBot="1" x14ac:dyDescent="0.35">
      <c r="B73" s="100">
        <v>5</v>
      </c>
      <c r="C73" s="1393"/>
      <c r="D73" s="1394"/>
      <c r="E73" s="1394"/>
      <c r="F73" s="1394"/>
      <c r="G73" s="1394"/>
      <c r="H73" s="1394"/>
      <c r="I73" s="1394"/>
      <c r="J73" s="1395"/>
      <c r="N73" s="12" t="s">
        <v>45</v>
      </c>
      <c r="O73" s="1396">
        <v>0</v>
      </c>
      <c r="P73" s="1397"/>
      <c r="Q73" s="1398">
        <f t="shared" si="21"/>
        <v>-89458375.542999998</v>
      </c>
      <c r="R73" s="1399"/>
      <c r="S73" s="99" t="e">
        <f t="shared" si="22"/>
        <v>#DIV/0!</v>
      </c>
    </row>
    <row r="74" spans="2:32" ht="18" customHeight="1" thickBot="1" x14ac:dyDescent="0.35">
      <c r="B74" s="100">
        <v>6</v>
      </c>
      <c r="C74" s="1393"/>
      <c r="D74" s="1394"/>
      <c r="E74" s="1394"/>
      <c r="F74" s="1394"/>
      <c r="G74" s="1394"/>
      <c r="H74" s="1394"/>
      <c r="I74" s="1394"/>
      <c r="J74" s="1395"/>
    </row>
    <row r="75" spans="2:32" s="103" customFormat="1" ht="18" customHeight="1" thickBot="1" x14ac:dyDescent="0.35">
      <c r="B75" s="100">
        <v>7</v>
      </c>
      <c r="C75" s="454"/>
      <c r="D75" s="455"/>
      <c r="E75" s="455"/>
      <c r="F75" s="455"/>
      <c r="G75" s="455"/>
      <c r="H75" s="455"/>
      <c r="I75" s="455"/>
      <c r="J75" s="456"/>
      <c r="K75" s="1"/>
      <c r="L75" s="1"/>
      <c r="M75" s="1"/>
      <c r="N75" s="1410" t="s">
        <v>47</v>
      </c>
      <c r="O75" s="1411"/>
      <c r="P75" s="1412" t="s">
        <v>48</v>
      </c>
      <c r="Q75" s="1413"/>
      <c r="R75" s="1414" t="s">
        <v>49</v>
      </c>
      <c r="S75" s="1415"/>
      <c r="U75"/>
      <c r="V75"/>
      <c r="W75"/>
      <c r="X75"/>
      <c r="Y75"/>
      <c r="Z75"/>
      <c r="AA75"/>
      <c r="AB75"/>
      <c r="AC75"/>
      <c r="AD75"/>
      <c r="AE75"/>
      <c r="AF75"/>
    </row>
    <row r="76" spans="2:32" ht="18" customHeight="1" x14ac:dyDescent="0.3">
      <c r="B76" s="100">
        <v>8</v>
      </c>
      <c r="C76" s="1393"/>
      <c r="D76" s="1394"/>
      <c r="E76" s="1394"/>
      <c r="F76" s="1394"/>
      <c r="G76" s="1394"/>
      <c r="H76" s="1394"/>
      <c r="I76" s="1394"/>
      <c r="J76" s="1395"/>
      <c r="N76" s="1416"/>
      <c r="O76" s="1417"/>
      <c r="P76" s="1422"/>
      <c r="Q76" s="1423"/>
      <c r="R76" s="1428"/>
      <c r="S76" s="1429"/>
    </row>
    <row r="77" spans="2:32" ht="18" customHeight="1" x14ac:dyDescent="0.3">
      <c r="B77" s="100"/>
      <c r="C77" s="1434"/>
      <c r="D77" s="1435"/>
      <c r="E77" s="1435"/>
      <c r="F77" s="1435"/>
      <c r="G77" s="1435"/>
      <c r="H77" s="1435"/>
      <c r="I77" s="1435"/>
      <c r="J77" s="1436"/>
      <c r="N77" s="1418"/>
      <c r="O77" s="1419"/>
      <c r="P77" s="1424"/>
      <c r="Q77" s="1425"/>
      <c r="R77" s="1430"/>
      <c r="S77" s="1431"/>
    </row>
    <row r="78" spans="2:32" ht="18" customHeight="1" x14ac:dyDescent="0.3">
      <c r="B78" s="100"/>
      <c r="C78" s="1434"/>
      <c r="D78" s="1435"/>
      <c r="E78" s="1435"/>
      <c r="F78" s="1435"/>
      <c r="G78" s="1435"/>
      <c r="H78" s="1435"/>
      <c r="I78" s="1435"/>
      <c r="J78" s="1436"/>
      <c r="N78" s="1418"/>
      <c r="O78" s="1419"/>
      <c r="P78" s="1424"/>
      <c r="Q78" s="1425"/>
      <c r="R78" s="1430"/>
      <c r="S78" s="1431"/>
    </row>
    <row r="79" spans="2:32" ht="18" customHeight="1" thickBot="1" x14ac:dyDescent="0.35">
      <c r="B79" s="101"/>
      <c r="C79" s="1407"/>
      <c r="D79" s="1408"/>
      <c r="E79" s="1408"/>
      <c r="F79" s="1408"/>
      <c r="G79" s="1408"/>
      <c r="H79" s="1408"/>
      <c r="I79" s="1408"/>
      <c r="J79" s="1409"/>
      <c r="N79" s="1420"/>
      <c r="O79" s="1421"/>
      <c r="P79" s="1426"/>
      <c r="Q79" s="1427"/>
      <c r="R79" s="1432"/>
      <c r="S79" s="1433"/>
    </row>
    <row r="80" spans="2:32" ht="18" customHeight="1" x14ac:dyDescent="0.3"/>
    <row r="81" spans="1:32" ht="18" customHeight="1" x14ac:dyDescent="0.3"/>
    <row r="82" spans="1:32" ht="18" customHeight="1" x14ac:dyDescent="0.3"/>
    <row r="83" spans="1:32" s="3" customFormat="1" ht="17.25" x14ac:dyDescent="0.3">
      <c r="A83"/>
      <c r="B83" s="2"/>
      <c r="C83" s="2"/>
      <c r="D83" s="2"/>
      <c r="E83" s="2"/>
      <c r="K83" s="1"/>
      <c r="L83" s="1"/>
      <c r="M83" s="1"/>
      <c r="N83" s="5"/>
      <c r="O83" s="1"/>
      <c r="P83" s="1"/>
      <c r="Q83"/>
      <c r="R83"/>
      <c r="S83" s="93"/>
      <c r="T83" s="97"/>
      <c r="U83"/>
      <c r="V83"/>
      <c r="W83"/>
      <c r="X83"/>
      <c r="Y83"/>
      <c r="Z83"/>
      <c r="AA83"/>
      <c r="AB83"/>
      <c r="AC83"/>
      <c r="AD83"/>
      <c r="AE83"/>
      <c r="AF83"/>
    </row>
    <row r="84" spans="1:32" s="3" customFormat="1" x14ac:dyDescent="0.3">
      <c r="A84"/>
      <c r="B84" s="2"/>
      <c r="C84" s="2"/>
      <c r="D84" s="2"/>
      <c r="E84" s="2"/>
      <c r="K84" s="1"/>
      <c r="L84" s="1"/>
      <c r="M84" s="1"/>
      <c r="N84" s="5"/>
      <c r="O84" s="1"/>
      <c r="P84" s="1"/>
      <c r="Q84"/>
      <c r="R84"/>
      <c r="S84" s="93"/>
      <c r="T84" s="98"/>
      <c r="U84"/>
      <c r="V84"/>
      <c r="W84"/>
      <c r="X84"/>
      <c r="Y84"/>
      <c r="Z84"/>
      <c r="AA84"/>
      <c r="AB84"/>
      <c r="AC84"/>
      <c r="AD84"/>
      <c r="AE84"/>
      <c r="AF84"/>
    </row>
    <row r="85" spans="1:32" s="3" customFormat="1" x14ac:dyDescent="0.3">
      <c r="A85"/>
      <c r="B85" s="2"/>
      <c r="C85" s="2"/>
      <c r="D85" s="2"/>
      <c r="E85" s="2"/>
      <c r="K85" s="1"/>
      <c r="L85" s="1"/>
      <c r="M85" s="1"/>
      <c r="N85" s="5"/>
      <c r="O85" s="1"/>
      <c r="P85" s="1"/>
      <c r="Q85"/>
      <c r="R85"/>
      <c r="S85" s="93"/>
      <c r="T85" s="98"/>
      <c r="U85"/>
      <c r="V85"/>
      <c r="W85"/>
      <c r="X85"/>
      <c r="Y85"/>
      <c r="Z85"/>
      <c r="AA85"/>
      <c r="AB85"/>
      <c r="AC85"/>
      <c r="AD85"/>
      <c r="AE85"/>
      <c r="AF85"/>
    </row>
    <row r="86" spans="1:32" s="3" customFormat="1" x14ac:dyDescent="0.3">
      <c r="A86"/>
      <c r="B86" s="2"/>
      <c r="C86" s="2"/>
      <c r="D86" s="2"/>
      <c r="E86" s="2"/>
      <c r="K86" s="1"/>
      <c r="L86" s="1"/>
      <c r="M86" s="1"/>
      <c r="N86" s="5"/>
      <c r="O86" s="1"/>
      <c r="P86" s="1"/>
      <c r="Q86"/>
      <c r="R86"/>
      <c r="S86" s="93"/>
      <c r="T86" s="98"/>
      <c r="U86"/>
      <c r="V86"/>
      <c r="W86"/>
      <c r="X86"/>
      <c r="Y86"/>
      <c r="Z86"/>
      <c r="AA86"/>
      <c r="AB86"/>
      <c r="AC86"/>
      <c r="AD86"/>
      <c r="AE86"/>
      <c r="AF86"/>
    </row>
    <row r="87" spans="1:32" s="3" customFormat="1" x14ac:dyDescent="0.3">
      <c r="A87"/>
      <c r="B87" s="2"/>
      <c r="C87" s="2"/>
      <c r="D87" s="2"/>
      <c r="E87" s="2"/>
      <c r="K87" s="1"/>
      <c r="L87" s="1"/>
      <c r="M87" s="1"/>
      <c r="N87" s="5"/>
      <c r="O87" s="1"/>
      <c r="P87" s="1"/>
      <c r="Q87"/>
      <c r="R87"/>
      <c r="S87" s="93"/>
      <c r="T87" s="98"/>
      <c r="U87"/>
      <c r="V87"/>
      <c r="W87"/>
      <c r="X87"/>
      <c r="Y87"/>
      <c r="Z87"/>
      <c r="AA87"/>
      <c r="AB87"/>
      <c r="AC87"/>
      <c r="AD87"/>
      <c r="AE87"/>
      <c r="AF87"/>
    </row>
  </sheetData>
  <mergeCells count="142">
    <mergeCell ref="A2:S2"/>
    <mergeCell ref="Q3:S3"/>
    <mergeCell ref="B4:E4"/>
    <mergeCell ref="O4:P4"/>
    <mergeCell ref="Q4:R4"/>
    <mergeCell ref="O5:P5"/>
    <mergeCell ref="Q5:R5"/>
    <mergeCell ref="O8:P8"/>
    <mergeCell ref="Q8:R8"/>
    <mergeCell ref="O9:P9"/>
    <mergeCell ref="Q9:R9"/>
    <mergeCell ref="O10:P10"/>
    <mergeCell ref="Q10:R10"/>
    <mergeCell ref="O6:P6"/>
    <mergeCell ref="Q6:R6"/>
    <mergeCell ref="O7:P7"/>
    <mergeCell ref="Q7:R7"/>
    <mergeCell ref="O23:P23"/>
    <mergeCell ref="O12:P12"/>
    <mergeCell ref="Q12:R12"/>
    <mergeCell ref="Q23:R24"/>
    <mergeCell ref="O24:P24"/>
    <mergeCell ref="O14:P14"/>
    <mergeCell ref="Q14:R14"/>
    <mergeCell ref="O13:P13"/>
    <mergeCell ref="Q13:R13"/>
    <mergeCell ref="Q25:R25"/>
    <mergeCell ref="O26:P26"/>
    <mergeCell ref="Q26:R26"/>
    <mergeCell ref="Q21:R22"/>
    <mergeCell ref="O11:P11"/>
    <mergeCell ref="Q11:R11"/>
    <mergeCell ref="O15:P15"/>
    <mergeCell ref="Q15:R15"/>
    <mergeCell ref="O16:P16"/>
    <mergeCell ref="Q16:R16"/>
    <mergeCell ref="O17:P17"/>
    <mergeCell ref="Q17:R18"/>
    <mergeCell ref="O18:P18"/>
    <mergeCell ref="O19:P19"/>
    <mergeCell ref="Q19:R20"/>
    <mergeCell ref="O20:P20"/>
    <mergeCell ref="O30:P30"/>
    <mergeCell ref="Q30:R30"/>
    <mergeCell ref="O32:P32"/>
    <mergeCell ref="Q32:R32"/>
    <mergeCell ref="O33:P33"/>
    <mergeCell ref="Q33:R33"/>
    <mergeCell ref="O27:P27"/>
    <mergeCell ref="Q27:R27"/>
    <mergeCell ref="O28:P28"/>
    <mergeCell ref="Q28:R28"/>
    <mergeCell ref="O29:P29"/>
    <mergeCell ref="Q29:R29"/>
    <mergeCell ref="O38:P38"/>
    <mergeCell ref="Q38:R38"/>
    <mergeCell ref="O39:P39"/>
    <mergeCell ref="O40:P40"/>
    <mergeCell ref="O41:P41"/>
    <mergeCell ref="Q41:R41"/>
    <mergeCell ref="O34:P34"/>
    <mergeCell ref="O35:P35"/>
    <mergeCell ref="Q35:R35"/>
    <mergeCell ref="O36:P36"/>
    <mergeCell ref="O37:P37"/>
    <mergeCell ref="Q37:R37"/>
    <mergeCell ref="B49:L49"/>
    <mergeCell ref="O49:P49"/>
    <mergeCell ref="Q49:R49"/>
    <mergeCell ref="O42:P42"/>
    <mergeCell ref="Q42:R42"/>
    <mergeCell ref="O43:P43"/>
    <mergeCell ref="Q43:R43"/>
    <mergeCell ref="O44:P44"/>
    <mergeCell ref="Q44:R44"/>
    <mergeCell ref="O50:P50"/>
    <mergeCell ref="Q50:R50"/>
    <mergeCell ref="O51:P51"/>
    <mergeCell ref="Q51:R51"/>
    <mergeCell ref="O52:P52"/>
    <mergeCell ref="Q52:R52"/>
    <mergeCell ref="O45:P45"/>
    <mergeCell ref="Q45:R45"/>
    <mergeCell ref="O47:P47"/>
    <mergeCell ref="O46:P46"/>
    <mergeCell ref="Q46:R46"/>
    <mergeCell ref="O60:P60"/>
    <mergeCell ref="O61:P61"/>
    <mergeCell ref="B62:L62"/>
    <mergeCell ref="O62:P62"/>
    <mergeCell ref="Q62:S62"/>
    <mergeCell ref="B63:L63"/>
    <mergeCell ref="O63:P63"/>
    <mergeCell ref="Q63:S63"/>
    <mergeCell ref="O53:P53"/>
    <mergeCell ref="Q53:R53"/>
    <mergeCell ref="O54:P54"/>
    <mergeCell ref="Q54:R54"/>
    <mergeCell ref="O55:P55"/>
    <mergeCell ref="Q55:R61"/>
    <mergeCell ref="O56:P56"/>
    <mergeCell ref="O57:P57"/>
    <mergeCell ref="O58:P58"/>
    <mergeCell ref="O59:P59"/>
    <mergeCell ref="B66:L66"/>
    <mergeCell ref="O66:P66"/>
    <mergeCell ref="Q66:S66"/>
    <mergeCell ref="B68:E68"/>
    <mergeCell ref="O68:P68"/>
    <mergeCell ref="Q68:R68"/>
    <mergeCell ref="B64:L64"/>
    <mergeCell ref="O64:P64"/>
    <mergeCell ref="Q64:S64"/>
    <mergeCell ref="B65:L65"/>
    <mergeCell ref="O65:P65"/>
    <mergeCell ref="Q65:S65"/>
    <mergeCell ref="C71:J71"/>
    <mergeCell ref="O71:P71"/>
    <mergeCell ref="Q71:R71"/>
    <mergeCell ref="C72:J72"/>
    <mergeCell ref="O72:P72"/>
    <mergeCell ref="Q72:R72"/>
    <mergeCell ref="C69:J69"/>
    <mergeCell ref="O69:P69"/>
    <mergeCell ref="Q69:R69"/>
    <mergeCell ref="C70:J70"/>
    <mergeCell ref="O70:P70"/>
    <mergeCell ref="Q70:R70"/>
    <mergeCell ref="C76:J76"/>
    <mergeCell ref="N76:O79"/>
    <mergeCell ref="P76:Q79"/>
    <mergeCell ref="R76:S79"/>
    <mergeCell ref="C77:J77"/>
    <mergeCell ref="C78:J78"/>
    <mergeCell ref="C79:J79"/>
    <mergeCell ref="C73:J73"/>
    <mergeCell ref="O73:P73"/>
    <mergeCell ref="Q73:R73"/>
    <mergeCell ref="C74:J74"/>
    <mergeCell ref="N75:O75"/>
    <mergeCell ref="P75:Q75"/>
    <mergeCell ref="R75:S75"/>
  </mergeCells>
  <phoneticPr fontId="2" type="noConversion"/>
  <pageMargins left="0.25" right="0.25" top="0.75" bottom="0.75" header="0.3" footer="0.3"/>
  <pageSetup paperSize="9" scale="35" fitToWidth="0" orientation="landscape" horizontalDpi="300" r:id="rId1"/>
  <headerFooter>
    <oddFooter>&amp;R&amp;D</oddFooter>
  </headerFooter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0C2F-0ADE-47E7-AA3E-CD11B1DA1092}">
  <sheetPr>
    <pageSetUpPr fitToPage="1"/>
  </sheetPr>
  <dimension ref="A1:AH76"/>
  <sheetViews>
    <sheetView view="pageBreakPreview" topLeftCell="D1" zoomScale="85" zoomScaleNormal="70" zoomScaleSheetLayoutView="85" zoomScalePageLayoutView="85" workbookViewId="0">
      <selection activeCell="F13" sqref="F13:R13"/>
    </sheetView>
  </sheetViews>
  <sheetFormatPr defaultRowHeight="16.5" x14ac:dyDescent="0.3"/>
  <cols>
    <col min="1" max="1" width="1.625" customWidth="1"/>
    <col min="2" max="5" width="3.375" style="2" customWidth="1"/>
    <col min="6" max="6" width="57.25" style="3" customWidth="1"/>
    <col min="7" max="7" width="25.625" style="3" bestFit="1" customWidth="1"/>
    <col min="8" max="9" width="16.625" style="3" customWidth="1"/>
    <col min="10" max="10" width="6.625" style="3" customWidth="1"/>
    <col min="11" max="13" width="16.625" style="1" customWidth="1"/>
    <col min="14" max="14" width="12.625" style="5" customWidth="1"/>
    <col min="15" max="15" width="9.625" style="1" customWidth="1"/>
    <col min="16" max="16" width="12.625" style="1" customWidth="1"/>
    <col min="17" max="18" width="22.375" customWidth="1"/>
    <col min="19" max="19" width="21.875" style="93" customWidth="1"/>
    <col min="20" max="20" width="2" style="70" customWidth="1"/>
  </cols>
  <sheetData>
    <row r="1" spans="1:34" ht="9.9499999999999993" customHeight="1" x14ac:dyDescent="0.3"/>
    <row r="2" spans="1:34" ht="26.25" x14ac:dyDescent="0.3">
      <c r="A2" s="1445" t="s">
        <v>244</v>
      </c>
      <c r="B2" s="1445"/>
      <c r="C2" s="1445"/>
      <c r="D2" s="1445"/>
      <c r="E2" s="1445"/>
      <c r="F2" s="1445"/>
      <c r="G2" s="1445"/>
      <c r="H2" s="1445"/>
      <c r="I2" s="1445"/>
      <c r="J2" s="1445"/>
      <c r="K2" s="1445"/>
      <c r="L2" s="1445"/>
      <c r="M2" s="1445"/>
      <c r="N2" s="1445"/>
      <c r="O2" s="1445"/>
      <c r="P2" s="1445"/>
      <c r="Q2" s="1445"/>
      <c r="R2" s="1445"/>
      <c r="S2" s="1445"/>
      <c r="T2" s="72"/>
    </row>
    <row r="3" spans="1:34" ht="17.25" thickBot="1" x14ac:dyDescent="0.35">
      <c r="Q3" s="1446">
        <v>45407</v>
      </c>
      <c r="R3" s="1446"/>
      <c r="S3" s="1446"/>
      <c r="T3" s="75"/>
      <c r="U3" s="75"/>
    </row>
    <row r="4" spans="1:34" ht="18" thickBot="1" x14ac:dyDescent="0.35">
      <c r="B4" s="1318" t="s">
        <v>1</v>
      </c>
      <c r="C4" s="1319"/>
      <c r="D4" s="1319"/>
      <c r="E4" s="1320"/>
      <c r="F4" s="6" t="s">
        <v>56</v>
      </c>
      <c r="G4" s="6" t="s">
        <v>55</v>
      </c>
      <c r="H4" s="6" t="s">
        <v>0</v>
      </c>
      <c r="I4" s="6" t="s">
        <v>43</v>
      </c>
      <c r="J4" s="6" t="s">
        <v>4</v>
      </c>
      <c r="K4" s="7" t="s">
        <v>12</v>
      </c>
      <c r="L4" s="8" t="s">
        <v>39</v>
      </c>
      <c r="M4" s="8" t="s">
        <v>5</v>
      </c>
      <c r="N4" s="141" t="s">
        <v>13</v>
      </c>
      <c r="O4" s="1321" t="s">
        <v>6</v>
      </c>
      <c r="P4" s="1322"/>
      <c r="Q4" s="1319" t="s">
        <v>3</v>
      </c>
      <c r="R4" s="1323"/>
      <c r="S4" s="71" t="s">
        <v>59</v>
      </c>
      <c r="T4" s="75"/>
      <c r="U4" s="75"/>
    </row>
    <row r="5" spans="1:34" s="82" customFormat="1" ht="17.25" thickBot="1" x14ac:dyDescent="0.35">
      <c r="B5" s="122" t="s">
        <v>2</v>
      </c>
      <c r="C5" s="116"/>
      <c r="D5" s="116"/>
      <c r="E5" s="117"/>
      <c r="F5" s="118" t="s">
        <v>265</v>
      </c>
      <c r="G5" s="119"/>
      <c r="H5" s="119"/>
      <c r="I5" s="119"/>
      <c r="J5" s="119"/>
      <c r="K5" s="272"/>
      <c r="L5" s="120"/>
      <c r="M5" s="121"/>
      <c r="N5" s="135"/>
      <c r="O5" s="1447"/>
      <c r="P5" s="1448"/>
      <c r="Q5" s="1326"/>
      <c r="R5" s="1327"/>
      <c r="S5" s="115"/>
      <c r="T5" s="73"/>
      <c r="U5" s="79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82" customFormat="1" x14ac:dyDescent="0.3">
      <c r="B6" s="401"/>
      <c r="C6" s="402"/>
      <c r="D6" s="403"/>
      <c r="E6" s="402" t="s">
        <v>73</v>
      </c>
      <c r="F6" s="404" t="s">
        <v>256</v>
      </c>
      <c r="G6" s="403" t="s">
        <v>336</v>
      </c>
      <c r="H6" s="403" t="s">
        <v>337</v>
      </c>
      <c r="I6" s="405"/>
      <c r="J6" s="403">
        <v>0</v>
      </c>
      <c r="K6" s="406"/>
      <c r="L6" s="406">
        <v>11140000</v>
      </c>
      <c r="M6" s="407">
        <f>J6*K6</f>
        <v>0</v>
      </c>
      <c r="N6" s="408">
        <v>0</v>
      </c>
      <c r="O6" s="1576">
        <f t="shared" ref="O6:O8" si="0">J6*L6/(1-N6)</f>
        <v>0</v>
      </c>
      <c r="P6" s="1577"/>
      <c r="Q6" s="1644" t="s">
        <v>341</v>
      </c>
      <c r="R6" s="1645"/>
      <c r="S6" s="412"/>
      <c r="T6" s="73"/>
      <c r="U6"/>
      <c r="V6"/>
      <c r="W6"/>
      <c r="X6"/>
      <c r="Y6"/>
      <c r="Z6"/>
      <c r="AA6"/>
      <c r="AB6"/>
      <c r="AC6"/>
      <c r="AD6"/>
      <c r="AE6"/>
      <c r="AF6"/>
    </row>
    <row r="7" spans="1:34" s="413" customFormat="1" x14ac:dyDescent="0.3">
      <c r="B7" s="414"/>
      <c r="C7" s="415" t="s">
        <v>73</v>
      </c>
      <c r="D7" s="416"/>
      <c r="E7" s="415"/>
      <c r="F7" s="417" t="s">
        <v>256</v>
      </c>
      <c r="G7" s="416" t="s">
        <v>395</v>
      </c>
      <c r="H7" s="416" t="s">
        <v>257</v>
      </c>
      <c r="I7" s="56"/>
      <c r="J7" s="416">
        <v>6</v>
      </c>
      <c r="K7" s="55">
        <f t="shared" ref="K7:K17" si="1">L7*0.75</f>
        <v>7717500</v>
      </c>
      <c r="L7" s="169">
        <v>10290000</v>
      </c>
      <c r="M7" s="418">
        <f>J7*K7</f>
        <v>46305000</v>
      </c>
      <c r="N7" s="419">
        <v>0</v>
      </c>
      <c r="O7" s="1578">
        <f t="shared" si="0"/>
        <v>61740000</v>
      </c>
      <c r="P7" s="1579"/>
      <c r="Q7" s="1490" t="s">
        <v>365</v>
      </c>
      <c r="R7" s="1491"/>
      <c r="S7" s="420"/>
      <c r="T7" s="73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</row>
    <row r="8" spans="1:34" s="369" customFormat="1" x14ac:dyDescent="0.3">
      <c r="B8" s="290"/>
      <c r="C8" s="291" t="s">
        <v>2</v>
      </c>
      <c r="D8" s="291"/>
      <c r="E8" s="292"/>
      <c r="F8" s="269" t="s">
        <v>307</v>
      </c>
      <c r="G8" s="184" t="s">
        <v>366</v>
      </c>
      <c r="H8" s="185" t="s">
        <v>131</v>
      </c>
      <c r="I8" s="185"/>
      <c r="J8" s="186">
        <v>1</v>
      </c>
      <c r="K8" s="55">
        <f t="shared" si="1"/>
        <v>18567000</v>
      </c>
      <c r="L8" s="55">
        <v>24756000</v>
      </c>
      <c r="M8" s="164">
        <f>J8*K8</f>
        <v>18567000</v>
      </c>
      <c r="N8" s="158">
        <v>0</v>
      </c>
      <c r="O8" s="1365">
        <f t="shared" si="0"/>
        <v>24756000</v>
      </c>
      <c r="P8" s="1366"/>
      <c r="Q8" s="1488" t="s">
        <v>261</v>
      </c>
      <c r="R8" s="1489"/>
      <c r="S8" s="168"/>
      <c r="T8" s="368"/>
      <c r="V8" s="370"/>
      <c r="W8" s="370"/>
      <c r="X8" s="370"/>
      <c r="Y8" s="370"/>
      <c r="Z8" s="370"/>
      <c r="AA8" s="370"/>
      <c r="AB8" s="370"/>
      <c r="AC8" s="370"/>
      <c r="AD8" s="370"/>
      <c r="AE8" s="370"/>
      <c r="AF8" s="370"/>
      <c r="AG8" s="370"/>
      <c r="AH8" s="370"/>
    </row>
    <row r="9" spans="1:34" s="394" customFormat="1" x14ac:dyDescent="0.3">
      <c r="B9" s="208"/>
      <c r="C9" s="396"/>
      <c r="D9" s="397" t="s">
        <v>73</v>
      </c>
      <c r="E9" s="398"/>
      <c r="F9" s="442" t="s">
        <v>280</v>
      </c>
      <c r="G9" s="443">
        <v>720268</v>
      </c>
      <c r="H9" s="444" t="s">
        <v>131</v>
      </c>
      <c r="I9" s="444"/>
      <c r="J9" s="445">
        <v>4</v>
      </c>
      <c r="K9" s="446">
        <f t="shared" si="1"/>
        <v>1354500</v>
      </c>
      <c r="L9" s="446">
        <v>1806000</v>
      </c>
      <c r="M9" s="447">
        <f t="shared" ref="M9" si="2">J9*K9</f>
        <v>5418000</v>
      </c>
      <c r="N9" s="448">
        <v>0</v>
      </c>
      <c r="O9" s="1640">
        <f t="shared" ref="O9:O15" si="3">J9*L9/(1-N9)</f>
        <v>7224000</v>
      </c>
      <c r="P9" s="1641"/>
      <c r="Q9" s="1642" t="s">
        <v>342</v>
      </c>
      <c r="R9" s="1643"/>
      <c r="S9" s="399"/>
      <c r="T9" s="368"/>
      <c r="U9" s="394" t="s">
        <v>288</v>
      </c>
      <c r="V9" s="400"/>
      <c r="W9" s="400"/>
      <c r="X9" s="400"/>
      <c r="Y9" s="400"/>
      <c r="Z9" s="400"/>
      <c r="AA9" s="400"/>
      <c r="AB9" s="400"/>
      <c r="AC9" s="400"/>
      <c r="AD9" s="400"/>
      <c r="AE9" s="400"/>
      <c r="AF9" s="400"/>
      <c r="AG9" s="400"/>
      <c r="AH9" s="400"/>
    </row>
    <row r="10" spans="1:34" ht="16.149999999999999" customHeight="1" x14ac:dyDescent="0.3">
      <c r="B10" s="365"/>
      <c r="C10" s="366"/>
      <c r="D10" s="366" t="s">
        <v>73</v>
      </c>
      <c r="E10" s="367"/>
      <c r="F10" s="391" t="s">
        <v>281</v>
      </c>
      <c r="G10" s="366">
        <v>758933</v>
      </c>
      <c r="H10" s="185" t="s">
        <v>131</v>
      </c>
      <c r="I10" s="184"/>
      <c r="J10" s="184">
        <v>3</v>
      </c>
      <c r="K10" s="55">
        <f t="shared" si="1"/>
        <v>46500</v>
      </c>
      <c r="L10" s="392">
        <v>62000</v>
      </c>
      <c r="M10" s="390">
        <f t="shared" ref="M10:M15" si="4">J10*K10</f>
        <v>139500</v>
      </c>
      <c r="N10" s="158">
        <v>0</v>
      </c>
      <c r="O10" s="1365">
        <f t="shared" si="3"/>
        <v>186000</v>
      </c>
      <c r="P10" s="1366"/>
      <c r="Q10" s="1488"/>
      <c r="R10" s="1489"/>
      <c r="S10" s="204"/>
      <c r="T10"/>
      <c r="U10" t="s">
        <v>289</v>
      </c>
    </row>
    <row r="11" spans="1:34" ht="16.149999999999999" customHeight="1" x14ac:dyDescent="0.3">
      <c r="B11" s="365"/>
      <c r="C11" s="366"/>
      <c r="D11" s="366" t="s">
        <v>73</v>
      </c>
      <c r="E11" s="367"/>
      <c r="F11" s="391" t="s">
        <v>282</v>
      </c>
      <c r="G11" s="366">
        <v>701904</v>
      </c>
      <c r="H11" s="185" t="s">
        <v>131</v>
      </c>
      <c r="I11" s="184"/>
      <c r="J11" s="184">
        <v>3</v>
      </c>
      <c r="K11" s="55">
        <f t="shared" si="1"/>
        <v>118500</v>
      </c>
      <c r="L11" s="392">
        <v>158000</v>
      </c>
      <c r="M11" s="390">
        <f t="shared" si="4"/>
        <v>355500</v>
      </c>
      <c r="N11" s="158">
        <v>0</v>
      </c>
      <c r="O11" s="1365">
        <f t="shared" si="3"/>
        <v>474000</v>
      </c>
      <c r="P11" s="1366"/>
      <c r="Q11" s="1488"/>
      <c r="R11" s="1489"/>
      <c r="S11" s="204"/>
      <c r="T11"/>
    </row>
    <row r="12" spans="1:34" ht="16.149999999999999" customHeight="1" x14ac:dyDescent="0.3">
      <c r="B12" s="365"/>
      <c r="C12" s="366"/>
      <c r="D12" s="366" t="s">
        <v>73</v>
      </c>
      <c r="E12" s="367"/>
      <c r="F12" s="391" t="s">
        <v>283</v>
      </c>
      <c r="G12" s="366">
        <v>758921</v>
      </c>
      <c r="H12" s="185" t="s">
        <v>131</v>
      </c>
      <c r="I12" s="184"/>
      <c r="J12" s="184">
        <v>6</v>
      </c>
      <c r="K12" s="55">
        <f t="shared" si="1"/>
        <v>40500</v>
      </c>
      <c r="L12" s="392">
        <v>54000</v>
      </c>
      <c r="M12" s="390">
        <f t="shared" si="4"/>
        <v>243000</v>
      </c>
      <c r="N12" s="158">
        <v>0</v>
      </c>
      <c r="O12" s="1365">
        <f t="shared" si="3"/>
        <v>324000</v>
      </c>
      <c r="P12" s="1366"/>
      <c r="Q12" s="1488"/>
      <c r="R12" s="1489"/>
      <c r="S12" s="204"/>
      <c r="T12"/>
    </row>
    <row r="13" spans="1:34" s="394" customFormat="1" x14ac:dyDescent="0.3">
      <c r="B13" s="208"/>
      <c r="C13" s="396"/>
      <c r="D13" s="397" t="s">
        <v>73</v>
      </c>
      <c r="E13" s="398"/>
      <c r="F13" s="442" t="s">
        <v>310</v>
      </c>
      <c r="G13" s="443">
        <v>701251</v>
      </c>
      <c r="H13" s="444" t="s">
        <v>131</v>
      </c>
      <c r="I13" s="444"/>
      <c r="J13" s="445">
        <v>1</v>
      </c>
      <c r="K13" s="446">
        <f t="shared" si="1"/>
        <v>1354500</v>
      </c>
      <c r="L13" s="446">
        <v>1806000</v>
      </c>
      <c r="M13" s="447">
        <f t="shared" si="4"/>
        <v>1354500</v>
      </c>
      <c r="N13" s="448">
        <v>0</v>
      </c>
      <c r="O13" s="1640">
        <f t="shared" si="3"/>
        <v>1806000</v>
      </c>
      <c r="P13" s="1641"/>
      <c r="Q13" s="1642" t="s">
        <v>374</v>
      </c>
      <c r="R13" s="1643"/>
      <c r="S13" s="399"/>
      <c r="T13" s="368"/>
      <c r="U13" s="400" t="s">
        <v>301</v>
      </c>
      <c r="V13" s="400"/>
      <c r="W13" s="400"/>
      <c r="X13" s="400"/>
      <c r="Y13" s="400"/>
      <c r="Z13" s="400"/>
      <c r="AA13" s="400"/>
      <c r="AB13" s="400"/>
      <c r="AC13" s="400"/>
      <c r="AD13" s="400"/>
      <c r="AE13" s="400"/>
      <c r="AF13" s="400"/>
    </row>
    <row r="14" spans="1:34" s="394" customFormat="1" x14ac:dyDescent="0.3">
      <c r="B14" s="208"/>
      <c r="C14" s="396"/>
      <c r="D14" s="397" t="s">
        <v>73</v>
      </c>
      <c r="E14" s="398"/>
      <c r="F14" s="449" t="s">
        <v>368</v>
      </c>
      <c r="G14" s="443" t="s">
        <v>331</v>
      </c>
      <c r="H14" s="444" t="s">
        <v>131</v>
      </c>
      <c r="I14" s="444"/>
      <c r="J14" s="445">
        <v>3</v>
      </c>
      <c r="K14" s="446">
        <f t="shared" si="1"/>
        <v>1292250</v>
      </c>
      <c r="L14" s="446">
        <v>1723000</v>
      </c>
      <c r="M14" s="447">
        <f t="shared" si="4"/>
        <v>3876750</v>
      </c>
      <c r="N14" s="448">
        <v>0</v>
      </c>
      <c r="O14" s="1640">
        <f t="shared" si="3"/>
        <v>5169000</v>
      </c>
      <c r="P14" s="1641"/>
      <c r="Q14" s="1642" t="s">
        <v>375</v>
      </c>
      <c r="R14" s="1643"/>
      <c r="S14" s="399"/>
      <c r="T14" s="368"/>
      <c r="U14" s="394" t="s">
        <v>305</v>
      </c>
      <c r="V14" s="400"/>
      <c r="W14" s="400"/>
      <c r="X14" s="400"/>
      <c r="Y14" s="400"/>
      <c r="Z14" s="400"/>
      <c r="AA14" s="400"/>
      <c r="AB14" s="400"/>
      <c r="AC14" s="400"/>
      <c r="AD14" s="400"/>
      <c r="AE14" s="400"/>
      <c r="AF14" s="400"/>
      <c r="AG14" s="400"/>
      <c r="AH14" s="400"/>
    </row>
    <row r="15" spans="1:34" s="369" customFormat="1" x14ac:dyDescent="0.3">
      <c r="B15" s="290"/>
      <c r="C15" s="291"/>
      <c r="D15" s="291" t="s">
        <v>2</v>
      </c>
      <c r="E15" s="292"/>
      <c r="F15" s="269" t="s">
        <v>367</v>
      </c>
      <c r="G15" s="184">
        <v>702916</v>
      </c>
      <c r="H15" s="185" t="s">
        <v>131</v>
      </c>
      <c r="I15" s="185"/>
      <c r="J15" s="186">
        <v>2</v>
      </c>
      <c r="K15" s="55">
        <f t="shared" si="1"/>
        <v>6534000</v>
      </c>
      <c r="L15" s="55">
        <v>8712000</v>
      </c>
      <c r="M15" s="164">
        <f t="shared" si="4"/>
        <v>13068000</v>
      </c>
      <c r="N15" s="158">
        <v>0</v>
      </c>
      <c r="O15" s="1365">
        <f t="shared" si="3"/>
        <v>17424000</v>
      </c>
      <c r="P15" s="1366"/>
      <c r="Q15" s="1488" t="s">
        <v>358</v>
      </c>
      <c r="R15" s="1489"/>
      <c r="S15" s="204"/>
      <c r="T15" s="368"/>
      <c r="U15" s="394" t="s">
        <v>306</v>
      </c>
      <c r="V15" s="370"/>
      <c r="W15" s="370"/>
      <c r="X15" s="370"/>
      <c r="Y15" s="370"/>
      <c r="Z15" s="370"/>
      <c r="AA15" s="370"/>
      <c r="AB15" s="370"/>
      <c r="AC15" s="370"/>
      <c r="AD15" s="370"/>
      <c r="AE15" s="370"/>
      <c r="AF15" s="370"/>
      <c r="AG15" s="370"/>
      <c r="AH15" s="370"/>
    </row>
    <row r="16" spans="1:34" s="369" customFormat="1" x14ac:dyDescent="0.3">
      <c r="B16" s="149"/>
      <c r="C16" s="150" t="s">
        <v>73</v>
      </c>
      <c r="D16" s="150"/>
      <c r="E16" s="151"/>
      <c r="F16" s="156" t="s">
        <v>332</v>
      </c>
      <c r="G16" s="155" t="s">
        <v>273</v>
      </c>
      <c r="H16" s="155" t="s">
        <v>255</v>
      </c>
      <c r="I16" s="155"/>
      <c r="J16" s="155">
        <v>1</v>
      </c>
      <c r="K16" s="55">
        <f t="shared" si="1"/>
        <v>27652500</v>
      </c>
      <c r="L16" s="55">
        <v>36870000</v>
      </c>
      <c r="M16" s="164">
        <f t="shared" ref="M16:M17" si="5">J16*K16</f>
        <v>27652500</v>
      </c>
      <c r="N16" s="158">
        <v>0</v>
      </c>
      <c r="O16" s="1365">
        <f t="shared" ref="O16:O17" si="6">J16*L16/(1-N16)</f>
        <v>36870000</v>
      </c>
      <c r="P16" s="1366"/>
      <c r="Q16" s="1488" t="s">
        <v>401</v>
      </c>
      <c r="R16" s="1489"/>
      <c r="S16" s="204"/>
      <c r="T16" s="368"/>
      <c r="U16" s="370" t="s">
        <v>303</v>
      </c>
      <c r="V16" s="370"/>
      <c r="W16" s="370"/>
      <c r="X16" s="370"/>
      <c r="Y16" s="370"/>
      <c r="Z16" s="370"/>
      <c r="AA16" s="370"/>
      <c r="AB16" s="370"/>
      <c r="AC16" s="370"/>
      <c r="AD16" s="370"/>
      <c r="AE16" s="370"/>
      <c r="AF16" s="370"/>
    </row>
    <row r="17" spans="2:34" s="84" customFormat="1" x14ac:dyDescent="0.3">
      <c r="B17" s="149"/>
      <c r="C17" s="150"/>
      <c r="D17" s="150" t="s">
        <v>73</v>
      </c>
      <c r="E17" s="151"/>
      <c r="F17" s="156" t="s">
        <v>333</v>
      </c>
      <c r="G17" s="155" t="s">
        <v>274</v>
      </c>
      <c r="H17" s="155" t="s">
        <v>255</v>
      </c>
      <c r="I17" s="155"/>
      <c r="J17" s="155">
        <v>4</v>
      </c>
      <c r="K17" s="55">
        <f t="shared" si="1"/>
        <v>23730000</v>
      </c>
      <c r="L17" s="55">
        <v>31640000</v>
      </c>
      <c r="M17" s="164">
        <f t="shared" si="5"/>
        <v>94920000</v>
      </c>
      <c r="N17" s="158">
        <v>0</v>
      </c>
      <c r="O17" s="1365">
        <f t="shared" si="6"/>
        <v>126560000</v>
      </c>
      <c r="P17" s="1366"/>
      <c r="Q17" s="1488" t="s">
        <v>401</v>
      </c>
      <c r="R17" s="1489"/>
      <c r="S17" s="204"/>
      <c r="T17" s="78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2:34" s="84" customFormat="1" ht="17.25" thickBot="1" x14ac:dyDescent="0.35">
      <c r="B18" s="365"/>
      <c r="C18" s="366"/>
      <c r="D18" s="366"/>
      <c r="E18" s="367"/>
      <c r="F18" s="156"/>
      <c r="G18" s="155"/>
      <c r="H18" s="155"/>
      <c r="I18" s="155"/>
      <c r="J18" s="186"/>
      <c r="K18" s="199"/>
      <c r="L18" s="55"/>
      <c r="M18" s="164"/>
      <c r="N18" s="158"/>
      <c r="O18" s="378"/>
      <c r="P18" s="379"/>
      <c r="Q18" s="376"/>
      <c r="R18" s="377"/>
      <c r="S18" s="204"/>
      <c r="T18" s="78"/>
      <c r="U18" s="83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2:34" s="84" customFormat="1" ht="17.25" thickBot="1" x14ac:dyDescent="0.35">
      <c r="B19" s="122" t="s">
        <v>2</v>
      </c>
      <c r="C19" s="116"/>
      <c r="D19" s="116"/>
      <c r="E19" s="117"/>
      <c r="F19" s="118" t="s">
        <v>266</v>
      </c>
      <c r="G19" s="383"/>
      <c r="H19" s="383"/>
      <c r="I19" s="383"/>
      <c r="J19" s="383"/>
      <c r="K19" s="383"/>
      <c r="L19" s="384"/>
      <c r="M19" s="121"/>
      <c r="N19" s="135"/>
      <c r="O19" s="1447"/>
      <c r="P19" s="1448"/>
      <c r="Q19" s="1586"/>
      <c r="R19" s="1587"/>
      <c r="S19" s="115"/>
      <c r="T19" s="78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2:34" s="82" customFormat="1" x14ac:dyDescent="0.3">
      <c r="B20" s="142"/>
      <c r="C20" s="143" t="s">
        <v>2</v>
      </c>
      <c r="D20" s="144"/>
      <c r="E20" s="145"/>
      <c r="F20" s="146" t="s">
        <v>339</v>
      </c>
      <c r="G20" s="144" t="s">
        <v>340</v>
      </c>
      <c r="H20" s="144" t="s">
        <v>80</v>
      </c>
      <c r="I20" s="144"/>
      <c r="J20" s="144">
        <v>1</v>
      </c>
      <c r="K20" s="147">
        <f>L20*0.95</f>
        <v>3505500</v>
      </c>
      <c r="L20" s="147">
        <v>3690000</v>
      </c>
      <c r="M20" s="163">
        <f>J20*K20</f>
        <v>3505500</v>
      </c>
      <c r="N20" s="148">
        <v>0</v>
      </c>
      <c r="O20" s="1365">
        <f t="shared" ref="O20:O23" si="7">J20*L20/(1-N20)</f>
        <v>3690000</v>
      </c>
      <c r="P20" s="1366"/>
      <c r="Q20" s="1646"/>
      <c r="R20" s="1608"/>
      <c r="S20" s="287"/>
      <c r="T20" s="273"/>
      <c r="U20" s="84"/>
      <c r="V20"/>
      <c r="W20" s="79"/>
    </row>
    <row r="21" spans="2:34" x14ac:dyDescent="0.3">
      <c r="B21" s="149"/>
      <c r="C21" s="150"/>
      <c r="D21" s="150" t="s">
        <v>2</v>
      </c>
      <c r="E21" s="151"/>
      <c r="F21" s="156" t="s">
        <v>315</v>
      </c>
      <c r="G21" s="155" t="s">
        <v>311</v>
      </c>
      <c r="H21" s="155" t="s">
        <v>80</v>
      </c>
      <c r="I21" s="155"/>
      <c r="J21" s="155">
        <v>3</v>
      </c>
      <c r="K21" s="157">
        <f t="shared" ref="K21:K23" si="8">L21*0.95</f>
        <v>2242000</v>
      </c>
      <c r="L21" s="157">
        <v>2360000</v>
      </c>
      <c r="M21" s="164">
        <f t="shared" ref="M21:M23" si="9">J21*K21</f>
        <v>6726000</v>
      </c>
      <c r="N21" s="158">
        <v>0</v>
      </c>
      <c r="O21" s="1365">
        <f t="shared" si="7"/>
        <v>7080000</v>
      </c>
      <c r="P21" s="1366"/>
      <c r="Q21" s="1488" t="s">
        <v>352</v>
      </c>
      <c r="R21" s="1489"/>
      <c r="S21" s="152"/>
      <c r="T21" s="76"/>
      <c r="U21" s="84"/>
      <c r="W21" s="79"/>
    </row>
    <row r="22" spans="2:34" x14ac:dyDescent="0.3">
      <c r="B22" s="149"/>
      <c r="C22" s="150"/>
      <c r="D22" s="150" t="s">
        <v>2</v>
      </c>
      <c r="E22" s="151"/>
      <c r="F22" s="156" t="s">
        <v>317</v>
      </c>
      <c r="G22" s="155" t="s">
        <v>316</v>
      </c>
      <c r="H22" s="155" t="s">
        <v>80</v>
      </c>
      <c r="I22" s="155"/>
      <c r="J22" s="155">
        <v>1</v>
      </c>
      <c r="K22" s="157">
        <f t="shared" si="8"/>
        <v>836000</v>
      </c>
      <c r="L22" s="157">
        <v>880000</v>
      </c>
      <c r="M22" s="164">
        <f t="shared" si="9"/>
        <v>836000</v>
      </c>
      <c r="N22" s="158">
        <v>0</v>
      </c>
      <c r="O22" s="1365">
        <f t="shared" si="7"/>
        <v>880000</v>
      </c>
      <c r="P22" s="1366"/>
      <c r="Q22" s="1488"/>
      <c r="R22" s="1489"/>
      <c r="S22" s="204"/>
      <c r="T22" s="76"/>
      <c r="U22" s="84"/>
      <c r="W22" s="79"/>
    </row>
    <row r="23" spans="2:34" s="84" customFormat="1" x14ac:dyDescent="0.3">
      <c r="B23" s="365"/>
      <c r="C23" s="150"/>
      <c r="D23" s="150" t="s">
        <v>2</v>
      </c>
      <c r="E23" s="367"/>
      <c r="F23" s="156" t="s">
        <v>324</v>
      </c>
      <c r="G23" s="155" t="s">
        <v>359</v>
      </c>
      <c r="H23" s="155" t="s">
        <v>80</v>
      </c>
      <c r="I23" s="155"/>
      <c r="J23" s="186">
        <v>1</v>
      </c>
      <c r="K23" s="55">
        <f t="shared" si="8"/>
        <v>1624500</v>
      </c>
      <c r="L23" s="55">
        <v>1710000</v>
      </c>
      <c r="M23" s="164">
        <f t="shared" si="9"/>
        <v>1624500</v>
      </c>
      <c r="N23" s="158">
        <v>0</v>
      </c>
      <c r="O23" s="1365">
        <f t="shared" si="7"/>
        <v>1710000</v>
      </c>
      <c r="P23" s="1366"/>
      <c r="Q23" s="1488" t="s">
        <v>406</v>
      </c>
      <c r="R23" s="1489"/>
      <c r="S23" s="204"/>
      <c r="T23" s="78"/>
      <c r="U23"/>
      <c r="V23"/>
      <c r="W23"/>
      <c r="X23"/>
      <c r="Y23"/>
      <c r="Z23"/>
      <c r="AA23"/>
      <c r="AB23"/>
      <c r="AC23"/>
      <c r="AD23"/>
      <c r="AE23"/>
      <c r="AF23"/>
    </row>
    <row r="24" spans="2:34" s="84" customFormat="1" ht="17.25" thickBot="1" x14ac:dyDescent="0.35">
      <c r="B24" s="365"/>
      <c r="C24" s="366"/>
      <c r="D24" s="366"/>
      <c r="E24" s="367"/>
      <c r="F24" s="156"/>
      <c r="G24" s="155"/>
      <c r="H24" s="155"/>
      <c r="I24" s="155"/>
      <c r="J24" s="186"/>
      <c r="K24" s="199"/>
      <c r="L24" s="55"/>
      <c r="M24" s="164"/>
      <c r="N24" s="158"/>
      <c r="O24" s="378"/>
      <c r="P24" s="379"/>
      <c r="Q24" s="376"/>
      <c r="R24" s="377"/>
      <c r="S24" s="204"/>
      <c r="T24" s="78"/>
      <c r="U24" s="83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2:34" s="84" customFormat="1" ht="17.25" thickBot="1" x14ac:dyDescent="0.35">
      <c r="B25" s="122" t="s">
        <v>2</v>
      </c>
      <c r="C25" s="116"/>
      <c r="D25" s="116"/>
      <c r="E25" s="117"/>
      <c r="F25" s="118" t="s">
        <v>267</v>
      </c>
      <c r="G25" s="383"/>
      <c r="H25" s="383"/>
      <c r="I25" s="383"/>
      <c r="J25" s="383"/>
      <c r="K25" s="383"/>
      <c r="L25" s="384"/>
      <c r="M25" s="121"/>
      <c r="N25" s="135"/>
      <c r="O25" s="1447"/>
      <c r="P25" s="1448"/>
      <c r="Q25" s="1586"/>
      <c r="R25" s="1587"/>
      <c r="S25" s="115"/>
      <c r="T25" s="78"/>
      <c r="U25" s="83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2:34" s="82" customFormat="1" x14ac:dyDescent="0.3">
      <c r="B26" s="142"/>
      <c r="C26" s="143" t="s">
        <v>2</v>
      </c>
      <c r="D26" s="144"/>
      <c r="E26" s="145"/>
      <c r="F26" s="146" t="s">
        <v>58</v>
      </c>
      <c r="G26" s="144"/>
      <c r="H26" s="144"/>
      <c r="I26" s="144"/>
      <c r="J26" s="144">
        <v>1</v>
      </c>
      <c r="K26" s="157">
        <v>5000000</v>
      </c>
      <c r="L26" s="157">
        <v>5000000</v>
      </c>
      <c r="M26" s="163">
        <f>J26*K26</f>
        <v>5000000</v>
      </c>
      <c r="N26" s="148">
        <v>0.3</v>
      </c>
      <c r="O26" s="1574">
        <f t="shared" ref="O26" si="10">J26*L26*(1+N26)</f>
        <v>6500000</v>
      </c>
      <c r="P26" s="1575"/>
      <c r="Q26" s="1646"/>
      <c r="R26" s="1608"/>
      <c r="S26" s="287"/>
      <c r="T26" s="273"/>
      <c r="U26"/>
      <c r="V26"/>
      <c r="W26" s="79"/>
    </row>
    <row r="27" spans="2:34" s="82" customFormat="1" x14ac:dyDescent="0.3">
      <c r="B27" s="149"/>
      <c r="C27" s="150"/>
      <c r="D27" s="155" t="s">
        <v>2</v>
      </c>
      <c r="E27" s="151"/>
      <c r="F27" s="156" t="s">
        <v>247</v>
      </c>
      <c r="G27" s="155" t="s">
        <v>248</v>
      </c>
      <c r="H27" s="155" t="s">
        <v>249</v>
      </c>
      <c r="I27" s="155" t="s">
        <v>249</v>
      </c>
      <c r="J27" s="155">
        <v>1</v>
      </c>
      <c r="K27" s="157">
        <v>500000</v>
      </c>
      <c r="L27" s="157">
        <v>500000</v>
      </c>
      <c r="M27" s="164">
        <f>J27*K27</f>
        <v>500000</v>
      </c>
      <c r="N27" s="158">
        <v>0.3</v>
      </c>
      <c r="O27" s="1365">
        <f t="shared" ref="O27:O39" si="11">J27*L27*(1+N27)</f>
        <v>650000</v>
      </c>
      <c r="P27" s="1366"/>
      <c r="Q27" s="376"/>
      <c r="R27" s="377"/>
      <c r="S27" s="152"/>
      <c r="T27" s="273"/>
      <c r="U27"/>
      <c r="V27"/>
      <c r="W27" s="79"/>
    </row>
    <row r="28" spans="2:34" s="82" customFormat="1" x14ac:dyDescent="0.3">
      <c r="B28" s="149"/>
      <c r="C28" s="150"/>
      <c r="D28" s="155" t="s">
        <v>2</v>
      </c>
      <c r="E28" s="151"/>
      <c r="F28" s="156" t="s">
        <v>250</v>
      </c>
      <c r="G28" s="155" t="s">
        <v>329</v>
      </c>
      <c r="H28" s="155" t="s">
        <v>330</v>
      </c>
      <c r="I28" s="155" t="s">
        <v>251</v>
      </c>
      <c r="J28" s="155">
        <v>1</v>
      </c>
      <c r="K28" s="157">
        <v>200000</v>
      </c>
      <c r="L28" s="157">
        <v>200000</v>
      </c>
      <c r="M28" s="164">
        <f>J28*K28</f>
        <v>200000</v>
      </c>
      <c r="N28" s="158">
        <v>0.3</v>
      </c>
      <c r="O28" s="1365">
        <f t="shared" si="11"/>
        <v>260000</v>
      </c>
      <c r="P28" s="1366"/>
      <c r="Q28" s="1488"/>
      <c r="R28" s="1489"/>
      <c r="S28" s="152"/>
      <c r="T28" s="273"/>
      <c r="U28"/>
      <c r="V28"/>
      <c r="W28" s="79"/>
    </row>
    <row r="29" spans="2:34" s="82" customFormat="1" x14ac:dyDescent="0.3">
      <c r="B29" s="149"/>
      <c r="C29" s="150"/>
      <c r="D29" s="155" t="s">
        <v>2</v>
      </c>
      <c r="E29" s="151"/>
      <c r="F29" s="156" t="s">
        <v>252</v>
      </c>
      <c r="G29" s="155" t="s">
        <v>253</v>
      </c>
      <c r="H29" s="155" t="s">
        <v>254</v>
      </c>
      <c r="I29" s="155" t="s">
        <v>254</v>
      </c>
      <c r="J29" s="186">
        <v>1</v>
      </c>
      <c r="K29" s="387">
        <v>3000000</v>
      </c>
      <c r="L29" s="387">
        <v>3000000</v>
      </c>
      <c r="M29" s="164">
        <f>J29*K29</f>
        <v>3000000</v>
      </c>
      <c r="N29" s="158">
        <v>0.3</v>
      </c>
      <c r="O29" s="1365">
        <f t="shared" si="11"/>
        <v>3900000</v>
      </c>
      <c r="P29" s="1366"/>
      <c r="Q29" s="376"/>
      <c r="R29" s="377"/>
      <c r="S29" s="204"/>
      <c r="T29" s="273"/>
      <c r="U29"/>
      <c r="V29"/>
      <c r="W29" s="79"/>
    </row>
    <row r="30" spans="2:34" s="82" customFormat="1" x14ac:dyDescent="0.3">
      <c r="B30" s="149"/>
      <c r="C30" s="150"/>
      <c r="D30" s="155" t="s">
        <v>2</v>
      </c>
      <c r="E30" s="151"/>
      <c r="F30" s="156" t="s">
        <v>245</v>
      </c>
      <c r="G30" s="155" t="s">
        <v>246</v>
      </c>
      <c r="H30" s="155" t="s">
        <v>183</v>
      </c>
      <c r="I30" s="155"/>
      <c r="J30" s="155">
        <v>1</v>
      </c>
      <c r="K30" s="157">
        <v>200000</v>
      </c>
      <c r="L30" s="157">
        <v>200000</v>
      </c>
      <c r="M30" s="164">
        <f t="shared" ref="M30" si="12">J30*K30</f>
        <v>200000</v>
      </c>
      <c r="N30" s="158">
        <v>0.3</v>
      </c>
      <c r="O30" s="1365">
        <f t="shared" si="11"/>
        <v>260000</v>
      </c>
      <c r="P30" s="1366"/>
      <c r="Q30" s="1488"/>
      <c r="R30" s="1489"/>
      <c r="S30" s="152"/>
      <c r="T30" s="273"/>
      <c r="U30" s="79"/>
    </row>
    <row r="31" spans="2:34" s="84" customFormat="1" x14ac:dyDescent="0.3">
      <c r="B31" s="365"/>
      <c r="C31" s="366" t="s">
        <v>2</v>
      </c>
      <c r="D31" s="366"/>
      <c r="E31" s="367"/>
      <c r="F31" s="156" t="s">
        <v>343</v>
      </c>
      <c r="G31" s="155" t="s">
        <v>334</v>
      </c>
      <c r="H31" s="155" t="s">
        <v>328</v>
      </c>
      <c r="I31" s="155"/>
      <c r="J31" s="186">
        <v>1</v>
      </c>
      <c r="K31" s="169">
        <v>450000</v>
      </c>
      <c r="L31" s="169">
        <v>500000</v>
      </c>
      <c r="M31" s="164">
        <f>J31*K31</f>
        <v>450000</v>
      </c>
      <c r="N31" s="158">
        <v>0</v>
      </c>
      <c r="O31" s="1365">
        <f t="shared" si="11"/>
        <v>500000</v>
      </c>
      <c r="P31" s="1366"/>
      <c r="Q31" s="1488" t="s">
        <v>327</v>
      </c>
      <c r="R31" s="1489"/>
      <c r="S31" s="204"/>
      <c r="T31" s="78"/>
      <c r="U31"/>
      <c r="V31"/>
      <c r="W31"/>
      <c r="X31"/>
      <c r="Y31"/>
      <c r="Z31"/>
      <c r="AA31"/>
      <c r="AB31"/>
      <c r="AC31"/>
      <c r="AD31"/>
      <c r="AE31"/>
      <c r="AF31"/>
    </row>
    <row r="32" spans="2:34" s="82" customFormat="1" x14ac:dyDescent="0.3">
      <c r="B32" s="181"/>
      <c r="C32" s="366" t="s">
        <v>2</v>
      </c>
      <c r="D32" s="366"/>
      <c r="E32" s="183"/>
      <c r="F32" s="388" t="s">
        <v>268</v>
      </c>
      <c r="G32" s="182"/>
      <c r="H32" s="182"/>
      <c r="I32" s="155"/>
      <c r="J32" s="155">
        <v>1</v>
      </c>
      <c r="K32" s="157"/>
      <c r="L32" s="157"/>
      <c r="M32" s="164">
        <f t="shared" ref="M32" si="13">J32*K32</f>
        <v>0</v>
      </c>
      <c r="N32" s="158">
        <v>0.3</v>
      </c>
      <c r="O32" s="410">
        <f t="shared" si="11"/>
        <v>0</v>
      </c>
      <c r="P32" s="411"/>
      <c r="Q32" s="376"/>
      <c r="R32" s="377"/>
      <c r="S32" s="152"/>
      <c r="T32" s="273"/>
      <c r="U32"/>
      <c r="V32"/>
      <c r="W32" s="79"/>
    </row>
    <row r="33" spans="2:34" s="82" customFormat="1" x14ac:dyDescent="0.3">
      <c r="B33" s="181"/>
      <c r="C33" s="182"/>
      <c r="D33" s="366" t="s">
        <v>2</v>
      </c>
      <c r="E33" s="183"/>
      <c r="F33" s="388" t="s">
        <v>269</v>
      </c>
      <c r="G33" s="182" t="s">
        <v>270</v>
      </c>
      <c r="H33" s="182" t="s">
        <v>271</v>
      </c>
      <c r="I33" s="155"/>
      <c r="J33" s="155">
        <f>2*6*2</f>
        <v>24</v>
      </c>
      <c r="K33" s="157">
        <v>120000</v>
      </c>
      <c r="L33" s="157">
        <v>120000</v>
      </c>
      <c r="M33" s="164">
        <f t="shared" ref="M33:M34" si="14">J33*K33</f>
        <v>2880000</v>
      </c>
      <c r="N33" s="158">
        <v>0.3</v>
      </c>
      <c r="O33" s="1365">
        <f t="shared" si="11"/>
        <v>3744000</v>
      </c>
      <c r="P33" s="1366"/>
      <c r="Q33" s="376"/>
      <c r="R33" s="377"/>
      <c r="S33" s="152"/>
      <c r="T33" s="273"/>
      <c r="U33">
        <v>12</v>
      </c>
      <c r="V33">
        <v>12</v>
      </c>
      <c r="W33" s="79">
        <v>12</v>
      </c>
    </row>
    <row r="34" spans="2:34" s="82" customFormat="1" x14ac:dyDescent="0.3">
      <c r="B34" s="181"/>
      <c r="C34" s="182"/>
      <c r="D34" s="366" t="s">
        <v>2</v>
      </c>
      <c r="E34" s="183"/>
      <c r="F34" s="388" t="s">
        <v>272</v>
      </c>
      <c r="G34" s="366" t="s">
        <v>286</v>
      </c>
      <c r="H34" s="366" t="s">
        <v>287</v>
      </c>
      <c r="I34" s="155"/>
      <c r="J34" s="155">
        <v>1</v>
      </c>
      <c r="K34" s="157">
        <v>230000</v>
      </c>
      <c r="L34" s="157">
        <v>230000</v>
      </c>
      <c r="M34" s="164">
        <f t="shared" si="14"/>
        <v>230000</v>
      </c>
      <c r="N34" s="158">
        <v>0.3</v>
      </c>
      <c r="O34" s="1365">
        <f t="shared" si="11"/>
        <v>299000</v>
      </c>
      <c r="P34" s="1366"/>
      <c r="Q34" s="1488" t="s">
        <v>363</v>
      </c>
      <c r="R34" s="1489"/>
      <c r="S34" s="152"/>
      <c r="T34" s="273"/>
      <c r="U34"/>
      <c r="V34">
        <v>6</v>
      </c>
      <c r="W34" s="79">
        <v>6</v>
      </c>
    </row>
    <row r="35" spans="2:34" s="82" customFormat="1" x14ac:dyDescent="0.3">
      <c r="B35" s="181"/>
      <c r="C35" s="182"/>
      <c r="D35" s="366" t="s">
        <v>2</v>
      </c>
      <c r="E35" s="183"/>
      <c r="F35" s="389" t="s">
        <v>355</v>
      </c>
      <c r="G35" s="366" t="s">
        <v>285</v>
      </c>
      <c r="H35" s="366" t="s">
        <v>277</v>
      </c>
      <c r="I35" s="155"/>
      <c r="J35" s="155">
        <v>1</v>
      </c>
      <c r="K35" s="157">
        <v>70000</v>
      </c>
      <c r="L35" s="157">
        <v>70000</v>
      </c>
      <c r="M35" s="164">
        <f>J35*K35</f>
        <v>70000</v>
      </c>
      <c r="N35" s="158">
        <v>0.3</v>
      </c>
      <c r="O35" s="1365">
        <f t="shared" si="11"/>
        <v>91000</v>
      </c>
      <c r="P35" s="1366"/>
      <c r="Q35" s="1488" t="s">
        <v>362</v>
      </c>
      <c r="R35" s="1489"/>
      <c r="S35" s="152"/>
      <c r="T35" s="273"/>
      <c r="U35"/>
      <c r="V35">
        <v>1</v>
      </c>
      <c r="W35" s="79">
        <v>1</v>
      </c>
    </row>
    <row r="36" spans="2:34" s="82" customFormat="1" x14ac:dyDescent="0.3">
      <c r="B36" s="181"/>
      <c r="C36" s="182"/>
      <c r="D36" s="366" t="s">
        <v>2</v>
      </c>
      <c r="E36" s="183"/>
      <c r="F36" s="388" t="s">
        <v>356</v>
      </c>
      <c r="G36" s="366" t="s">
        <v>408</v>
      </c>
      <c r="H36" s="366" t="s">
        <v>277</v>
      </c>
      <c r="I36" s="155"/>
      <c r="J36" s="155">
        <v>1</v>
      </c>
      <c r="K36" s="157">
        <v>70000</v>
      </c>
      <c r="L36" s="157">
        <v>70000</v>
      </c>
      <c r="M36" s="164">
        <f t="shared" ref="M36:M37" si="15">J36*K36</f>
        <v>70000</v>
      </c>
      <c r="N36" s="158">
        <v>0.3</v>
      </c>
      <c r="O36" s="1365">
        <f t="shared" si="11"/>
        <v>91000</v>
      </c>
      <c r="P36" s="1366"/>
      <c r="Q36" s="1488" t="s">
        <v>308</v>
      </c>
      <c r="R36" s="1489"/>
      <c r="S36" s="152"/>
      <c r="T36" s="273"/>
      <c r="U36"/>
      <c r="V36"/>
      <c r="W36" s="79"/>
    </row>
    <row r="37" spans="2:34" s="82" customFormat="1" x14ac:dyDescent="0.3">
      <c r="B37" s="181"/>
      <c r="C37" s="182"/>
      <c r="D37" s="366" t="s">
        <v>2</v>
      </c>
      <c r="E37" s="183"/>
      <c r="F37" s="388" t="s">
        <v>364</v>
      </c>
      <c r="G37" s="366" t="s">
        <v>407</v>
      </c>
      <c r="H37" s="366" t="s">
        <v>277</v>
      </c>
      <c r="I37" s="155"/>
      <c r="J37" s="155">
        <v>1</v>
      </c>
      <c r="K37" s="157">
        <v>70000</v>
      </c>
      <c r="L37" s="157">
        <v>70000</v>
      </c>
      <c r="M37" s="164">
        <f t="shared" si="15"/>
        <v>70000</v>
      </c>
      <c r="N37" s="158">
        <v>0.3</v>
      </c>
      <c r="O37" s="1365">
        <f t="shared" si="11"/>
        <v>91000</v>
      </c>
      <c r="P37" s="1366"/>
      <c r="Q37" s="1488" t="s">
        <v>309</v>
      </c>
      <c r="R37" s="1489"/>
      <c r="S37" s="152"/>
      <c r="T37" s="273"/>
      <c r="U37"/>
      <c r="V37"/>
      <c r="W37" s="79"/>
    </row>
    <row r="38" spans="2:34" s="82" customFormat="1" x14ac:dyDescent="0.3">
      <c r="B38" s="181"/>
      <c r="C38" s="182"/>
      <c r="D38" s="182" t="s">
        <v>2</v>
      </c>
      <c r="E38" s="183"/>
      <c r="F38" s="388" t="s">
        <v>357</v>
      </c>
      <c r="G38" s="366" t="s">
        <v>285</v>
      </c>
      <c r="H38" s="182" t="s">
        <v>277</v>
      </c>
      <c r="I38" s="155"/>
      <c r="J38" s="155">
        <v>1</v>
      </c>
      <c r="K38" s="157">
        <v>70000</v>
      </c>
      <c r="L38" s="157">
        <v>70000</v>
      </c>
      <c r="M38" s="157">
        <v>70000</v>
      </c>
      <c r="N38" s="158">
        <v>0.3</v>
      </c>
      <c r="O38" s="1365">
        <f t="shared" si="11"/>
        <v>91000</v>
      </c>
      <c r="P38" s="1366"/>
      <c r="Q38" s="1488" t="s">
        <v>361</v>
      </c>
      <c r="R38" s="1489"/>
      <c r="S38" s="152"/>
      <c r="T38" s="273"/>
      <c r="U38"/>
      <c r="V38"/>
      <c r="W38" s="79"/>
    </row>
    <row r="39" spans="2:34" s="82" customFormat="1" x14ac:dyDescent="0.3">
      <c r="B39" s="181"/>
      <c r="C39" s="182" t="s">
        <v>2</v>
      </c>
      <c r="D39" s="366"/>
      <c r="E39" s="183"/>
      <c r="F39" s="388" t="s">
        <v>338</v>
      </c>
      <c r="G39" s="182"/>
      <c r="H39" s="182"/>
      <c r="I39" s="155"/>
      <c r="J39" s="155">
        <v>1</v>
      </c>
      <c r="K39" s="157">
        <v>3000000</v>
      </c>
      <c r="L39" s="157">
        <v>3000000</v>
      </c>
      <c r="M39" s="164">
        <f>J39*K39</f>
        <v>3000000</v>
      </c>
      <c r="N39" s="158">
        <v>0.3</v>
      </c>
      <c r="O39" s="1365">
        <f t="shared" si="11"/>
        <v>3900000</v>
      </c>
      <c r="P39" s="1366"/>
      <c r="Q39" s="376"/>
      <c r="R39" s="377"/>
      <c r="S39" s="152"/>
      <c r="T39" s="273"/>
      <c r="U39"/>
      <c r="V39"/>
      <c r="W39" s="79"/>
    </row>
    <row r="40" spans="2:34" s="84" customFormat="1" ht="17.25" thickBot="1" x14ac:dyDescent="0.35">
      <c r="B40" s="365"/>
      <c r="C40" s="366"/>
      <c r="D40" s="366"/>
      <c r="E40" s="367"/>
      <c r="F40" s="156"/>
      <c r="G40" s="155"/>
      <c r="H40" s="155"/>
      <c r="I40" s="155"/>
      <c r="J40" s="186"/>
      <c r="K40" s="199"/>
      <c r="L40" s="55"/>
      <c r="M40" s="164"/>
      <c r="N40" s="158"/>
      <c r="O40" s="378"/>
      <c r="P40" s="379"/>
      <c r="Q40" s="376"/>
      <c r="R40" s="377"/>
      <c r="S40" s="204"/>
      <c r="T40" s="78"/>
      <c r="U40" s="83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 spans="2:34" s="82" customFormat="1" ht="18" thickBot="1" x14ac:dyDescent="0.35">
      <c r="B41" s="1338" t="s">
        <v>53</v>
      </c>
      <c r="C41" s="1339"/>
      <c r="D41" s="1339"/>
      <c r="E41" s="1339"/>
      <c r="F41" s="1339"/>
      <c r="G41" s="1339"/>
      <c r="H41" s="1339"/>
      <c r="I41" s="1339"/>
      <c r="J41" s="1339"/>
      <c r="K41" s="1339"/>
      <c r="L41" s="1340"/>
      <c r="M41" s="123">
        <f>SUM(M5:M40)</f>
        <v>240331750</v>
      </c>
      <c r="N41" s="136"/>
      <c r="O41" s="1341">
        <f>SUM(O5:P40)</f>
        <v>316270000</v>
      </c>
      <c r="P41" s="1342"/>
      <c r="Q41" s="1343"/>
      <c r="R41" s="1344"/>
      <c r="S41" s="130"/>
      <c r="T41" s="73"/>
      <c r="U41" s="79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 spans="2:34" s="84" customFormat="1" ht="17.25" thickBot="1" x14ac:dyDescent="0.35">
      <c r="B42" s="122" t="s">
        <v>2</v>
      </c>
      <c r="C42" s="116"/>
      <c r="D42" s="116"/>
      <c r="E42" s="117"/>
      <c r="F42" s="118" t="s">
        <v>321</v>
      </c>
      <c r="G42" s="119"/>
      <c r="H42" s="119"/>
      <c r="I42" s="119"/>
      <c r="J42" s="119"/>
      <c r="K42" s="119"/>
      <c r="L42" s="120"/>
      <c r="M42" s="121"/>
      <c r="N42" s="135"/>
      <c r="O42" s="1447"/>
      <c r="P42" s="1448"/>
      <c r="Q42" s="1326"/>
      <c r="R42" s="1327"/>
      <c r="S42" s="115"/>
      <c r="T42" s="78"/>
      <c r="U42"/>
      <c r="V42"/>
      <c r="W42"/>
      <c r="X42"/>
      <c r="Y42"/>
      <c r="Z42"/>
      <c r="AA42"/>
      <c r="AB42"/>
      <c r="AC42"/>
      <c r="AD42"/>
      <c r="AE42"/>
      <c r="AF42"/>
    </row>
    <row r="43" spans="2:34" s="84" customFormat="1" x14ac:dyDescent="0.3">
      <c r="B43" s="131"/>
      <c r="C43" s="132" t="s">
        <v>73</v>
      </c>
      <c r="D43" s="133"/>
      <c r="E43" s="165"/>
      <c r="F43" s="227" t="s">
        <v>319</v>
      </c>
      <c r="G43" s="222" t="s">
        <v>94</v>
      </c>
      <c r="H43" s="222" t="s">
        <v>130</v>
      </c>
      <c r="I43" s="222" t="s">
        <v>131</v>
      </c>
      <c r="J43" s="371">
        <v>10</v>
      </c>
      <c r="K43" s="55">
        <v>307000</v>
      </c>
      <c r="L43" s="55">
        <v>307000</v>
      </c>
      <c r="M43" s="230">
        <f t="shared" ref="M43:M44" si="16">J43*K43</f>
        <v>3070000</v>
      </c>
      <c r="N43" s="148"/>
      <c r="O43" s="1365">
        <f t="shared" ref="O43:O44" si="17">L43*J43</f>
        <v>3070000</v>
      </c>
      <c r="P43" s="1366"/>
      <c r="Q43" s="1492"/>
      <c r="R43" s="1493"/>
      <c r="S43" s="207"/>
      <c r="T43" s="78"/>
      <c r="U43"/>
      <c r="V43"/>
      <c r="W43"/>
      <c r="X43"/>
      <c r="Y43"/>
      <c r="Z43"/>
      <c r="AA43"/>
      <c r="AB43"/>
      <c r="AC43"/>
      <c r="AD43"/>
      <c r="AE43"/>
      <c r="AF43"/>
    </row>
    <row r="44" spans="2:34" s="84" customFormat="1" x14ac:dyDescent="0.3">
      <c r="B44" s="208"/>
      <c r="C44" s="209" t="s">
        <v>73</v>
      </c>
      <c r="D44" s="210"/>
      <c r="E44" s="211"/>
      <c r="F44" s="228" t="s">
        <v>320</v>
      </c>
      <c r="G44" s="223" t="s">
        <v>94</v>
      </c>
      <c r="H44" s="223" t="s">
        <v>130</v>
      </c>
      <c r="I44" s="223" t="s">
        <v>131</v>
      </c>
      <c r="J44" s="372">
        <v>35</v>
      </c>
      <c r="K44" s="55">
        <v>307000</v>
      </c>
      <c r="L44" s="55">
        <v>307000</v>
      </c>
      <c r="M44" s="231">
        <f t="shared" si="16"/>
        <v>10745000</v>
      </c>
      <c r="N44" s="158"/>
      <c r="O44" s="1365">
        <f t="shared" si="17"/>
        <v>10745000</v>
      </c>
      <c r="P44" s="1366"/>
      <c r="Q44" s="1494"/>
      <c r="R44" s="1495"/>
      <c r="S44" s="212"/>
      <c r="T44" s="78"/>
      <c r="U44"/>
      <c r="V44"/>
      <c r="W44"/>
      <c r="X44"/>
      <c r="Y44"/>
      <c r="Z44"/>
      <c r="AA44"/>
      <c r="AB44"/>
      <c r="AC44"/>
      <c r="AD44"/>
      <c r="AE44"/>
      <c r="AF44"/>
    </row>
    <row r="45" spans="2:34" s="84" customFormat="1" ht="17.25" thickBot="1" x14ac:dyDescent="0.35">
      <c r="B45" s="213"/>
      <c r="C45" s="214"/>
      <c r="D45" s="215"/>
      <c r="E45" s="216"/>
      <c r="F45" s="229"/>
      <c r="G45" s="224"/>
      <c r="H45" s="224"/>
      <c r="I45" s="224"/>
      <c r="J45" s="373"/>
      <c r="K45" s="225"/>
      <c r="L45" s="225"/>
      <c r="M45" s="226"/>
      <c r="N45" s="162"/>
      <c r="O45" s="1365">
        <f t="shared" ref="O45" si="18">L45</f>
        <v>0</v>
      </c>
      <c r="P45" s="1366"/>
      <c r="Q45" s="1453"/>
      <c r="R45" s="1454"/>
      <c r="S45" s="217"/>
      <c r="T45" s="78"/>
      <c r="U45"/>
      <c r="V45"/>
      <c r="W45"/>
      <c r="X45"/>
      <c r="Y45"/>
      <c r="Z45"/>
      <c r="AA45"/>
      <c r="AB45"/>
      <c r="AC45"/>
      <c r="AD45"/>
      <c r="AE45"/>
      <c r="AF45"/>
    </row>
    <row r="46" spans="2:34" s="84" customFormat="1" ht="17.25" thickBot="1" x14ac:dyDescent="0.35">
      <c r="B46" s="122" t="s">
        <v>2</v>
      </c>
      <c r="C46" s="116"/>
      <c r="D46" s="116"/>
      <c r="E46" s="117"/>
      <c r="F46" s="218" t="s">
        <v>243</v>
      </c>
      <c r="G46" s="219"/>
      <c r="H46" s="219"/>
      <c r="I46" s="219"/>
      <c r="J46" s="219"/>
      <c r="K46" s="220"/>
      <c r="L46" s="220"/>
      <c r="M46" s="221"/>
      <c r="N46" s="135"/>
      <c r="O46" s="1447"/>
      <c r="P46" s="1448"/>
      <c r="Q46" s="1447"/>
      <c r="R46" s="1448"/>
      <c r="S46" s="115"/>
      <c r="T46" s="78"/>
      <c r="U46" s="83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 spans="2:34" x14ac:dyDescent="0.3">
      <c r="B47" s="64"/>
      <c r="C47" s="65" t="s">
        <v>2</v>
      </c>
      <c r="D47" s="65"/>
      <c r="E47" s="66"/>
      <c r="F47" s="88" t="s">
        <v>7</v>
      </c>
      <c r="G47" s="85"/>
      <c r="H47" s="223" t="s">
        <v>130</v>
      </c>
      <c r="I47" s="223" t="s">
        <v>131</v>
      </c>
      <c r="J47" s="80">
        <v>5</v>
      </c>
      <c r="K47" s="55">
        <v>307000</v>
      </c>
      <c r="L47" s="55">
        <v>307000</v>
      </c>
      <c r="M47" s="112">
        <f>K47*J47</f>
        <v>1535000</v>
      </c>
      <c r="N47" s="137"/>
      <c r="O47" s="1365">
        <f t="shared" ref="O47:O53" si="19">L47*J47</f>
        <v>1535000</v>
      </c>
      <c r="P47" s="1366"/>
      <c r="Q47" s="1359" t="s">
        <v>62</v>
      </c>
      <c r="R47" s="1360"/>
      <c r="S47" s="94"/>
      <c r="T47" s="73"/>
      <c r="U47" s="4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</row>
    <row r="48" spans="2:34" x14ac:dyDescent="0.3">
      <c r="B48" s="62"/>
      <c r="C48" s="63" t="s">
        <v>2</v>
      </c>
      <c r="D48" s="63"/>
      <c r="E48" s="61"/>
      <c r="F48" s="89" t="s">
        <v>11</v>
      </c>
      <c r="G48" s="86"/>
      <c r="H48" s="223" t="s">
        <v>130</v>
      </c>
      <c r="I48" s="223" t="s">
        <v>131</v>
      </c>
      <c r="J48" s="56">
        <v>3</v>
      </c>
      <c r="K48" s="55">
        <v>307000</v>
      </c>
      <c r="L48" s="55">
        <v>307000</v>
      </c>
      <c r="M48" s="113">
        <f t="shared" ref="M48:M53" si="20">K48*J48</f>
        <v>921000</v>
      </c>
      <c r="N48" s="138"/>
      <c r="O48" s="1365">
        <f t="shared" si="19"/>
        <v>921000</v>
      </c>
      <c r="P48" s="1366"/>
      <c r="Q48" s="1361"/>
      <c r="R48" s="1362"/>
      <c r="S48" s="95"/>
      <c r="T48" s="73"/>
      <c r="U48" s="4"/>
    </row>
    <row r="49" spans="2:34" x14ac:dyDescent="0.3">
      <c r="B49" s="62"/>
      <c r="C49" s="63" t="s">
        <v>2</v>
      </c>
      <c r="D49" s="63"/>
      <c r="E49" s="61"/>
      <c r="F49" s="89" t="s">
        <v>41</v>
      </c>
      <c r="G49" s="86"/>
      <c r="H49" s="223" t="s">
        <v>130</v>
      </c>
      <c r="I49" s="223" t="s">
        <v>131</v>
      </c>
      <c r="J49" s="56">
        <v>5</v>
      </c>
      <c r="K49" s="55">
        <v>307000</v>
      </c>
      <c r="L49" s="55">
        <v>307000</v>
      </c>
      <c r="M49" s="113">
        <f t="shared" si="20"/>
        <v>1535000</v>
      </c>
      <c r="N49" s="138"/>
      <c r="O49" s="1365">
        <f t="shared" si="19"/>
        <v>1535000</v>
      </c>
      <c r="P49" s="1366"/>
      <c r="Q49" s="1361"/>
      <c r="R49" s="1362"/>
      <c r="S49" s="95"/>
      <c r="T49" s="73"/>
      <c r="U49" s="4"/>
    </row>
    <row r="50" spans="2:34" x14ac:dyDescent="0.3">
      <c r="B50" s="62"/>
      <c r="C50" s="63" t="s">
        <v>2</v>
      </c>
      <c r="D50" s="63"/>
      <c r="E50" s="61"/>
      <c r="F50" s="89" t="s">
        <v>10</v>
      </c>
      <c r="G50" s="86"/>
      <c r="H50" s="223" t="s">
        <v>130</v>
      </c>
      <c r="I50" s="223" t="s">
        <v>131</v>
      </c>
      <c r="J50" s="56">
        <v>3</v>
      </c>
      <c r="K50" s="55">
        <v>307000</v>
      </c>
      <c r="L50" s="55">
        <v>307000</v>
      </c>
      <c r="M50" s="113">
        <f t="shared" si="20"/>
        <v>921000</v>
      </c>
      <c r="N50" s="138"/>
      <c r="O50" s="1365">
        <f t="shared" si="19"/>
        <v>921000</v>
      </c>
      <c r="P50" s="1366"/>
      <c r="Q50" s="1361"/>
      <c r="R50" s="1362"/>
      <c r="S50" s="95"/>
      <c r="T50" s="73"/>
    </row>
    <row r="51" spans="2:34" x14ac:dyDescent="0.3">
      <c r="B51" s="62"/>
      <c r="C51" s="63" t="s">
        <v>2</v>
      </c>
      <c r="D51" s="63"/>
      <c r="E51" s="61"/>
      <c r="F51" s="89" t="s">
        <v>61</v>
      </c>
      <c r="G51" s="86"/>
      <c r="H51" s="223" t="s">
        <v>130</v>
      </c>
      <c r="I51" s="223" t="s">
        <v>131</v>
      </c>
      <c r="J51" s="56">
        <v>2</v>
      </c>
      <c r="K51" s="55">
        <v>307000</v>
      </c>
      <c r="L51" s="55">
        <v>307000</v>
      </c>
      <c r="M51" s="113">
        <f t="shared" si="20"/>
        <v>614000</v>
      </c>
      <c r="N51" s="138"/>
      <c r="O51" s="1365">
        <f t="shared" si="19"/>
        <v>614000</v>
      </c>
      <c r="P51" s="1366"/>
      <c r="Q51" s="1361"/>
      <c r="R51" s="1362"/>
      <c r="S51" s="95"/>
      <c r="T51" s="74"/>
    </row>
    <row r="52" spans="2:34" x14ac:dyDescent="0.3">
      <c r="B52" s="67"/>
      <c r="C52" s="63" t="s">
        <v>2</v>
      </c>
      <c r="D52" s="68"/>
      <c r="E52" s="69"/>
      <c r="F52" s="90" t="s">
        <v>9</v>
      </c>
      <c r="G52" s="86"/>
      <c r="H52" s="223" t="s">
        <v>130</v>
      </c>
      <c r="I52" s="223" t="s">
        <v>131</v>
      </c>
      <c r="J52" s="56">
        <v>5</v>
      </c>
      <c r="K52" s="55">
        <v>307000</v>
      </c>
      <c r="L52" s="55">
        <v>307000</v>
      </c>
      <c r="M52" s="113">
        <f t="shared" si="20"/>
        <v>1535000</v>
      </c>
      <c r="N52" s="138"/>
      <c r="O52" s="1365">
        <f t="shared" si="19"/>
        <v>1535000</v>
      </c>
      <c r="P52" s="1366"/>
      <c r="Q52" s="1361"/>
      <c r="R52" s="1362"/>
      <c r="S52" s="95"/>
    </row>
    <row r="53" spans="2:34" ht="17.25" thickBot="1" x14ac:dyDescent="0.35">
      <c r="B53" s="57"/>
      <c r="C53" s="58" t="s">
        <v>2</v>
      </c>
      <c r="D53" s="58"/>
      <c r="E53" s="60"/>
      <c r="F53" s="91" t="s">
        <v>8</v>
      </c>
      <c r="G53" s="87"/>
      <c r="H53" s="223" t="s">
        <v>130</v>
      </c>
      <c r="I53" s="223" t="s">
        <v>131</v>
      </c>
      <c r="J53" s="59">
        <v>2</v>
      </c>
      <c r="K53" s="55">
        <v>307000</v>
      </c>
      <c r="L53" s="55">
        <v>307000</v>
      </c>
      <c r="M53" s="114">
        <f t="shared" si="20"/>
        <v>614000</v>
      </c>
      <c r="N53" s="139"/>
      <c r="O53" s="1365">
        <f t="shared" si="19"/>
        <v>614000</v>
      </c>
      <c r="P53" s="1366"/>
      <c r="Q53" s="1363"/>
      <c r="R53" s="1364"/>
      <c r="S53" s="96"/>
    </row>
    <row r="54" spans="2:34" ht="18" thickBot="1" x14ac:dyDescent="0.35">
      <c r="B54" s="1345" t="s">
        <v>46</v>
      </c>
      <c r="C54" s="1346"/>
      <c r="D54" s="1346"/>
      <c r="E54" s="1346"/>
      <c r="F54" s="1346"/>
      <c r="G54" s="1346"/>
      <c r="H54" s="1346"/>
      <c r="I54" s="1346"/>
      <c r="J54" s="1346"/>
      <c r="K54" s="1346"/>
      <c r="L54" s="1347"/>
      <c r="M54" s="124">
        <f>SUM(M42:M53)</f>
        <v>21490000</v>
      </c>
      <c r="N54" s="140"/>
      <c r="O54" s="1348">
        <f>SUM(O42:P53)</f>
        <v>21490000</v>
      </c>
      <c r="P54" s="1349"/>
      <c r="Q54" s="1350"/>
      <c r="R54" s="1350"/>
      <c r="S54" s="1351"/>
    </row>
    <row r="55" spans="2:34" ht="20.25" thickBot="1" x14ac:dyDescent="0.35">
      <c r="B55" s="1352" t="s">
        <v>52</v>
      </c>
      <c r="C55" s="1353"/>
      <c r="D55" s="1353"/>
      <c r="E55" s="1353"/>
      <c r="F55" s="1353"/>
      <c r="G55" s="1353"/>
      <c r="H55" s="1353"/>
      <c r="I55" s="1353"/>
      <c r="J55" s="1353"/>
      <c r="K55" s="1353"/>
      <c r="L55" s="1353"/>
      <c r="M55" s="125"/>
      <c r="N55" s="134">
        <v>0.03</v>
      </c>
      <c r="O55" s="1354">
        <f>ROUNDDOWN(O41*N55,-3)</f>
        <v>9488000</v>
      </c>
      <c r="P55" s="1355"/>
      <c r="Q55" s="1356"/>
      <c r="R55" s="1357"/>
      <c r="S55" s="1358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2:34" ht="20.25" thickBot="1" x14ac:dyDescent="0.35">
      <c r="B56" s="1352" t="s">
        <v>54</v>
      </c>
      <c r="C56" s="1353"/>
      <c r="D56" s="1353"/>
      <c r="E56" s="1353"/>
      <c r="F56" s="1353"/>
      <c r="G56" s="1353"/>
      <c r="H56" s="1353"/>
      <c r="I56" s="1353"/>
      <c r="J56" s="1353"/>
      <c r="K56" s="1353"/>
      <c r="L56" s="1353"/>
      <c r="M56" s="127"/>
      <c r="N56" s="128"/>
      <c r="O56" s="1354">
        <f>SUM(O55,O54,O41)</f>
        <v>347248000</v>
      </c>
      <c r="P56" s="1355"/>
      <c r="Q56" s="1374"/>
      <c r="R56" s="1375"/>
      <c r="S56" s="1376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2:34" ht="20.25" thickBot="1" x14ac:dyDescent="0.35">
      <c r="B57" s="1352" t="s">
        <v>51</v>
      </c>
      <c r="C57" s="1353"/>
      <c r="D57" s="1353"/>
      <c r="E57" s="1353"/>
      <c r="F57" s="1353"/>
      <c r="G57" s="1353"/>
      <c r="H57" s="1353"/>
      <c r="I57" s="1353"/>
      <c r="J57" s="1353"/>
      <c r="K57" s="1353"/>
      <c r="L57" s="1353"/>
      <c r="M57" s="129"/>
      <c r="N57" s="126">
        <v>0.1</v>
      </c>
      <c r="O57" s="1381">
        <f>ROUNDDOWN(O56*N57,-3)</f>
        <v>34724000</v>
      </c>
      <c r="P57" s="1382"/>
      <c r="Q57" s="1383"/>
      <c r="R57" s="1384"/>
      <c r="S57" s="1385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2:34" ht="21" thickBot="1" x14ac:dyDescent="0.35">
      <c r="B58" s="1367" t="s">
        <v>44</v>
      </c>
      <c r="C58" s="1368"/>
      <c r="D58" s="1368"/>
      <c r="E58" s="1368"/>
      <c r="F58" s="1368"/>
      <c r="G58" s="1368"/>
      <c r="H58" s="1368"/>
      <c r="I58" s="1368"/>
      <c r="J58" s="1368"/>
      <c r="K58" s="1368"/>
      <c r="L58" s="1368"/>
      <c r="M58" s="92"/>
      <c r="N58" s="111"/>
      <c r="O58" s="1369">
        <f>ROUNDDOWN(SUM(O56:P57), -6)</f>
        <v>381000000</v>
      </c>
      <c r="P58" s="1370"/>
      <c r="Q58" s="1371"/>
      <c r="R58" s="1372"/>
      <c r="S58" s="137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2:34" ht="21" thickBot="1" x14ac:dyDescent="0.35">
      <c r="B59" s="104"/>
      <c r="C59" s="104"/>
      <c r="D59" s="104"/>
      <c r="E59" s="104"/>
      <c r="F59" s="105"/>
      <c r="G59" s="105"/>
      <c r="H59" s="105"/>
      <c r="I59" s="105"/>
      <c r="J59" s="105"/>
      <c r="K59" s="105"/>
      <c r="L59" s="105"/>
      <c r="M59" s="106"/>
      <c r="N59" s="107"/>
      <c r="O59" s="107"/>
      <c r="P59" s="107"/>
      <c r="Q59" s="108"/>
      <c r="R59" s="108"/>
      <c r="S59" s="108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2:34" ht="18" thickBot="1" x14ac:dyDescent="0.35">
      <c r="B60" s="1374" t="s">
        <v>50</v>
      </c>
      <c r="C60" s="1375"/>
      <c r="D60" s="1375"/>
      <c r="E60" s="1376"/>
      <c r="F60" s="109"/>
      <c r="G60" s="109"/>
      <c r="H60" s="109"/>
      <c r="I60" s="109"/>
      <c r="J60" s="109"/>
      <c r="K60" s="110"/>
      <c r="L60" s="110"/>
      <c r="M60" s="110"/>
      <c r="N60" s="77" t="s">
        <v>14</v>
      </c>
      <c r="O60" s="1377" t="s">
        <v>15</v>
      </c>
      <c r="P60" s="1378"/>
      <c r="Q60" s="1379" t="s">
        <v>17</v>
      </c>
      <c r="R60" s="1380"/>
      <c r="S60" s="166" t="s">
        <v>16</v>
      </c>
    </row>
    <row r="61" spans="2:34" ht="18" customHeight="1" x14ac:dyDescent="0.3">
      <c r="B61" s="102">
        <v>1</v>
      </c>
      <c r="C61" s="1400"/>
      <c r="D61" s="1401"/>
      <c r="E61" s="1401"/>
      <c r="F61" s="1401"/>
      <c r="G61" s="1401"/>
      <c r="H61" s="1401"/>
      <c r="I61" s="1401"/>
      <c r="J61" s="1402"/>
      <c r="N61" s="11">
        <v>0</v>
      </c>
      <c r="O61" s="1403">
        <f>$O$58/(1+N61)</f>
        <v>381000000</v>
      </c>
      <c r="P61" s="1404"/>
      <c r="Q61" s="1405">
        <f>O61-$M$41</f>
        <v>140668250</v>
      </c>
      <c r="R61" s="1406"/>
      <c r="S61" s="160">
        <f>Q61/O61</f>
        <v>0.36920800524934383</v>
      </c>
    </row>
    <row r="62" spans="2:34" ht="18" customHeight="1" x14ac:dyDescent="0.3">
      <c r="B62" s="100">
        <v>2</v>
      </c>
      <c r="C62" s="1458"/>
      <c r="D62" s="1456"/>
      <c r="E62" s="1456"/>
      <c r="F62" s="1456"/>
      <c r="G62" s="1456"/>
      <c r="H62" s="1456"/>
      <c r="I62" s="1456"/>
      <c r="J62" s="1457"/>
      <c r="N62" s="9">
        <v>0.1</v>
      </c>
      <c r="O62" s="1389">
        <f>$O$58/(1+N62)</f>
        <v>346363636.36363631</v>
      </c>
      <c r="P62" s="1390"/>
      <c r="Q62" s="1391">
        <f t="shared" ref="Q62:Q65" si="21">O62-$M$41</f>
        <v>106031886.36363631</v>
      </c>
      <c r="R62" s="1392"/>
      <c r="S62" s="161">
        <f t="shared" ref="S62:S65" si="22">Q62/O62</f>
        <v>0.30612880577427809</v>
      </c>
    </row>
    <row r="63" spans="2:34" ht="18" customHeight="1" x14ac:dyDescent="0.3">
      <c r="B63" s="100">
        <v>3</v>
      </c>
      <c r="C63" s="1455"/>
      <c r="D63" s="1456"/>
      <c r="E63" s="1456"/>
      <c r="F63" s="1456"/>
      <c r="G63" s="1456"/>
      <c r="H63" s="1456"/>
      <c r="I63" s="1456"/>
      <c r="J63" s="1457"/>
      <c r="N63" s="10">
        <v>0.15</v>
      </c>
      <c r="O63" s="1389">
        <f t="shared" ref="O63:O64" si="23">$O$58/(1+N63)</f>
        <v>331304347.826087</v>
      </c>
      <c r="P63" s="1390"/>
      <c r="Q63" s="1391">
        <f t="shared" si="21"/>
        <v>90972597.826086998</v>
      </c>
      <c r="R63" s="1392"/>
      <c r="S63" s="161">
        <f t="shared" si="22"/>
        <v>0.27458920603674547</v>
      </c>
      <c r="U63" s="103"/>
    </row>
    <row r="64" spans="2:34" s="103" customFormat="1" ht="18" customHeight="1" x14ac:dyDescent="0.3">
      <c r="B64" s="100">
        <v>4</v>
      </c>
      <c r="C64" s="1455"/>
      <c r="D64" s="1456"/>
      <c r="E64" s="1456"/>
      <c r="F64" s="1456"/>
      <c r="G64" s="1456"/>
      <c r="H64" s="1456"/>
      <c r="I64" s="1456"/>
      <c r="J64" s="1457"/>
      <c r="K64" s="1"/>
      <c r="L64" s="1"/>
      <c r="M64" s="1"/>
      <c r="N64" s="10">
        <v>0.2</v>
      </c>
      <c r="O64" s="1389">
        <f t="shared" si="23"/>
        <v>317500000</v>
      </c>
      <c r="P64" s="1390"/>
      <c r="Q64" s="1391">
        <f t="shared" si="21"/>
        <v>77168250</v>
      </c>
      <c r="R64" s="1392"/>
      <c r="S64" s="161">
        <f t="shared" si="22"/>
        <v>0.2430496062992126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 spans="1:34" ht="18" customHeight="1" thickBot="1" x14ac:dyDescent="0.35">
      <c r="B65" s="100">
        <v>5</v>
      </c>
      <c r="C65" s="1393"/>
      <c r="D65" s="1394"/>
      <c r="E65" s="1394"/>
      <c r="F65" s="1394"/>
      <c r="G65" s="1394"/>
      <c r="H65" s="1394"/>
      <c r="I65" s="1394"/>
      <c r="J65" s="1395"/>
      <c r="N65" s="12" t="s">
        <v>45</v>
      </c>
      <c r="O65" s="1396">
        <v>0</v>
      </c>
      <c r="P65" s="1397"/>
      <c r="Q65" s="1398">
        <f t="shared" si="21"/>
        <v>-240331750</v>
      </c>
      <c r="R65" s="1399"/>
      <c r="S65" s="99" t="e">
        <f t="shared" si="22"/>
        <v>#DIV/0!</v>
      </c>
    </row>
    <row r="66" spans="1:34" ht="18" customHeight="1" thickBot="1" x14ac:dyDescent="0.35">
      <c r="B66" s="100">
        <v>6</v>
      </c>
      <c r="C66" s="1393"/>
      <c r="D66" s="1394"/>
      <c r="E66" s="1394"/>
      <c r="F66" s="1394"/>
      <c r="G66" s="1394"/>
      <c r="H66" s="1394"/>
      <c r="I66" s="1394"/>
      <c r="J66" s="1395"/>
    </row>
    <row r="67" spans="1:34" ht="18" customHeight="1" thickBot="1" x14ac:dyDescent="0.35">
      <c r="B67" s="100">
        <v>7</v>
      </c>
      <c r="C67" s="380"/>
      <c r="D67" s="381"/>
      <c r="E67" s="381"/>
      <c r="F67" s="381"/>
      <c r="G67" s="381"/>
      <c r="H67" s="381"/>
      <c r="I67" s="381"/>
      <c r="J67" s="382"/>
      <c r="N67" s="1410" t="s">
        <v>47</v>
      </c>
      <c r="O67" s="1411"/>
      <c r="P67" s="1412" t="s">
        <v>48</v>
      </c>
      <c r="Q67" s="1413"/>
      <c r="R67" s="1414" t="s">
        <v>49</v>
      </c>
      <c r="S67" s="1415"/>
    </row>
    <row r="68" spans="1:34" ht="18" customHeight="1" x14ac:dyDescent="0.3">
      <c r="B68" s="100">
        <v>8</v>
      </c>
      <c r="C68" s="1393"/>
      <c r="D68" s="1394"/>
      <c r="E68" s="1394"/>
      <c r="F68" s="1394"/>
      <c r="G68" s="1394"/>
      <c r="H68" s="1394"/>
      <c r="I68" s="1394"/>
      <c r="J68" s="1395"/>
      <c r="N68" s="1416"/>
      <c r="O68" s="1417"/>
      <c r="P68" s="1422"/>
      <c r="Q68" s="1423"/>
      <c r="R68" s="1428"/>
      <c r="S68" s="1429"/>
    </row>
    <row r="69" spans="1:34" ht="18" customHeight="1" x14ac:dyDescent="0.3">
      <c r="B69" s="100"/>
      <c r="C69" s="1434"/>
      <c r="D69" s="1435"/>
      <c r="E69" s="1435"/>
      <c r="F69" s="1435"/>
      <c r="G69" s="1435"/>
      <c r="H69" s="1435"/>
      <c r="I69" s="1435"/>
      <c r="J69" s="1436"/>
      <c r="N69" s="1418"/>
      <c r="O69" s="1419"/>
      <c r="P69" s="1424"/>
      <c r="Q69" s="1425"/>
      <c r="R69" s="1430"/>
      <c r="S69" s="1431"/>
    </row>
    <row r="70" spans="1:34" ht="18" customHeight="1" x14ac:dyDescent="0.3">
      <c r="B70" s="100"/>
      <c r="C70" s="1434"/>
      <c r="D70" s="1435"/>
      <c r="E70" s="1435"/>
      <c r="F70" s="1435"/>
      <c r="G70" s="1435"/>
      <c r="H70" s="1435"/>
      <c r="I70" s="1435"/>
      <c r="J70" s="1436"/>
      <c r="N70" s="1418"/>
      <c r="O70" s="1419"/>
      <c r="P70" s="1424"/>
      <c r="Q70" s="1425"/>
      <c r="R70" s="1430"/>
      <c r="S70" s="1431"/>
    </row>
    <row r="71" spans="1:34" ht="18" customHeight="1" thickBot="1" x14ac:dyDescent="0.35">
      <c r="B71" s="101"/>
      <c r="C71" s="1407"/>
      <c r="D71" s="1408"/>
      <c r="E71" s="1408"/>
      <c r="F71" s="1408"/>
      <c r="G71" s="1408"/>
      <c r="H71" s="1408"/>
      <c r="I71" s="1408"/>
      <c r="J71" s="1409"/>
      <c r="N71" s="1420"/>
      <c r="O71" s="1421"/>
      <c r="P71" s="1426"/>
      <c r="Q71" s="1427"/>
      <c r="R71" s="1432"/>
      <c r="S71" s="1433"/>
    </row>
    <row r="72" spans="1:34" s="3" customFormat="1" ht="17.25" x14ac:dyDescent="0.3">
      <c r="A72"/>
      <c r="B72" s="2"/>
      <c r="C72" s="2"/>
      <c r="D72" s="2"/>
      <c r="E72" s="2"/>
      <c r="K72" s="1"/>
      <c r="L72" s="1"/>
      <c r="M72" s="1"/>
      <c r="N72" s="5"/>
      <c r="O72" s="1"/>
      <c r="P72" s="1"/>
      <c r="Q72"/>
      <c r="R72"/>
      <c r="S72" s="93"/>
      <c r="T72" s="97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 spans="1:34" s="3" customFormat="1" x14ac:dyDescent="0.3">
      <c r="A73"/>
      <c r="B73" s="2"/>
      <c r="C73" s="2"/>
      <c r="D73" s="2"/>
      <c r="E73" s="2"/>
      <c r="K73" s="1"/>
      <c r="L73" s="1"/>
      <c r="M73" s="1"/>
      <c r="N73" s="5"/>
      <c r="O73" s="1"/>
      <c r="P73" s="1"/>
      <c r="Q73"/>
      <c r="R73"/>
      <c r="S73" s="93"/>
      <c r="T73" s="98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 spans="1:34" s="3" customFormat="1" x14ac:dyDescent="0.3">
      <c r="A74"/>
      <c r="B74" s="2"/>
      <c r="C74" s="2"/>
      <c r="D74" s="2"/>
      <c r="E74" s="2"/>
      <c r="K74" s="1"/>
      <c r="L74" s="1"/>
      <c r="M74" s="1"/>
      <c r="N74" s="5"/>
      <c r="O74" s="1"/>
      <c r="P74" s="1"/>
      <c r="Q74"/>
      <c r="R74"/>
      <c r="S74" s="93"/>
      <c r="T74" s="98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r="75" spans="1:34" s="3" customFormat="1" x14ac:dyDescent="0.3">
      <c r="A75"/>
      <c r="B75" s="2"/>
      <c r="C75" s="2"/>
      <c r="D75" s="2"/>
      <c r="E75" s="2"/>
      <c r="K75" s="1"/>
      <c r="L75" s="1"/>
      <c r="M75" s="1"/>
      <c r="N75" s="5"/>
      <c r="O75" s="1"/>
      <c r="P75" s="1"/>
      <c r="Q75"/>
      <c r="R75"/>
      <c r="S75" s="93"/>
      <c r="T75" s="98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r="76" spans="1:34" s="3" customFormat="1" x14ac:dyDescent="0.3">
      <c r="A76"/>
      <c r="B76" s="2"/>
      <c r="C76" s="2"/>
      <c r="D76" s="2"/>
      <c r="E76" s="2"/>
      <c r="K76" s="1"/>
      <c r="L76" s="1"/>
      <c r="M76" s="1"/>
      <c r="N76" s="5"/>
      <c r="O76" s="1"/>
      <c r="P76" s="1"/>
      <c r="Q76"/>
      <c r="R76"/>
      <c r="S76" s="93"/>
      <c r="T76" s="98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</sheetData>
  <mergeCells count="130">
    <mergeCell ref="C68:J68"/>
    <mergeCell ref="N68:O71"/>
    <mergeCell ref="P68:Q71"/>
    <mergeCell ref="R68:S71"/>
    <mergeCell ref="C69:J69"/>
    <mergeCell ref="C70:J70"/>
    <mergeCell ref="C71:J71"/>
    <mergeCell ref="C65:J65"/>
    <mergeCell ref="O65:P65"/>
    <mergeCell ref="Q65:R65"/>
    <mergeCell ref="C66:J66"/>
    <mergeCell ref="N67:O67"/>
    <mergeCell ref="P67:Q67"/>
    <mergeCell ref="R67:S67"/>
    <mergeCell ref="C63:J63"/>
    <mergeCell ref="O63:P63"/>
    <mergeCell ref="Q63:R63"/>
    <mergeCell ref="C64:J64"/>
    <mergeCell ref="O64:P64"/>
    <mergeCell ref="Q64:R64"/>
    <mergeCell ref="C61:J61"/>
    <mergeCell ref="O61:P61"/>
    <mergeCell ref="Q61:R61"/>
    <mergeCell ref="C62:J62"/>
    <mergeCell ref="O62:P62"/>
    <mergeCell ref="Q62:R62"/>
    <mergeCell ref="B58:L58"/>
    <mergeCell ref="O58:P58"/>
    <mergeCell ref="Q58:S58"/>
    <mergeCell ref="B60:E60"/>
    <mergeCell ref="O60:P60"/>
    <mergeCell ref="Q60:R60"/>
    <mergeCell ref="B56:L56"/>
    <mergeCell ref="O56:P56"/>
    <mergeCell ref="Q56:S56"/>
    <mergeCell ref="B57:L57"/>
    <mergeCell ref="O57:P57"/>
    <mergeCell ref="Q57:S57"/>
    <mergeCell ref="O52:P52"/>
    <mergeCell ref="O53:P53"/>
    <mergeCell ref="B54:L54"/>
    <mergeCell ref="O54:P54"/>
    <mergeCell ref="Q54:S54"/>
    <mergeCell ref="B55:L55"/>
    <mergeCell ref="O55:P55"/>
    <mergeCell ref="Q55:S55"/>
    <mergeCell ref="O46:P46"/>
    <mergeCell ref="Q46:R46"/>
    <mergeCell ref="O47:P47"/>
    <mergeCell ref="Q47:R53"/>
    <mergeCell ref="O48:P48"/>
    <mergeCell ref="O49:P49"/>
    <mergeCell ref="O50:P50"/>
    <mergeCell ref="O51:P51"/>
    <mergeCell ref="B41:L41"/>
    <mergeCell ref="O41:P41"/>
    <mergeCell ref="Q41:R41"/>
    <mergeCell ref="O42:P42"/>
    <mergeCell ref="Q42:R42"/>
    <mergeCell ref="O28:P28"/>
    <mergeCell ref="Q28:R28"/>
    <mergeCell ref="O29:P29"/>
    <mergeCell ref="O27:P27"/>
    <mergeCell ref="O37:P37"/>
    <mergeCell ref="O38:P38"/>
    <mergeCell ref="Q37:R37"/>
    <mergeCell ref="O35:P35"/>
    <mergeCell ref="Q35:R35"/>
    <mergeCell ref="O34:P34"/>
    <mergeCell ref="Q34:R34"/>
    <mergeCell ref="O33:P33"/>
    <mergeCell ref="O36:P36"/>
    <mergeCell ref="Q36:R36"/>
    <mergeCell ref="Q21:R21"/>
    <mergeCell ref="Q38:R38"/>
    <mergeCell ref="O43:P43"/>
    <mergeCell ref="Q43:R43"/>
    <mergeCell ref="O44:P44"/>
    <mergeCell ref="Q44:R44"/>
    <mergeCell ref="O45:P45"/>
    <mergeCell ref="Q45:R45"/>
    <mergeCell ref="O39:P39"/>
    <mergeCell ref="O23:P23"/>
    <mergeCell ref="O22:P22"/>
    <mergeCell ref="O26:P26"/>
    <mergeCell ref="O21:P21"/>
    <mergeCell ref="O31:P31"/>
    <mergeCell ref="Q31:R31"/>
    <mergeCell ref="O25:P25"/>
    <mergeCell ref="Q25:R25"/>
    <mergeCell ref="Q26:R26"/>
    <mergeCell ref="O30:P30"/>
    <mergeCell ref="Q30:R30"/>
    <mergeCell ref="Q19:R19"/>
    <mergeCell ref="O20:P20"/>
    <mergeCell ref="O6:P6"/>
    <mergeCell ref="Q6:R6"/>
    <mergeCell ref="O8:P8"/>
    <mergeCell ref="Q8:R8"/>
    <mergeCell ref="Q11:R11"/>
    <mergeCell ref="O16:P16"/>
    <mergeCell ref="Q16:R16"/>
    <mergeCell ref="O17:P17"/>
    <mergeCell ref="Q17:R17"/>
    <mergeCell ref="Q13:R13"/>
    <mergeCell ref="O7:P7"/>
    <mergeCell ref="A2:S2"/>
    <mergeCell ref="Q3:S3"/>
    <mergeCell ref="B4:E4"/>
    <mergeCell ref="O4:P4"/>
    <mergeCell ref="Q4:R4"/>
    <mergeCell ref="O5:P5"/>
    <mergeCell ref="Q5:R5"/>
    <mergeCell ref="Q23:R23"/>
    <mergeCell ref="Q22:R22"/>
    <mergeCell ref="Q7:R7"/>
    <mergeCell ref="Q9:R9"/>
    <mergeCell ref="O10:P10"/>
    <mergeCell ref="Q10:R10"/>
    <mergeCell ref="O11:P11"/>
    <mergeCell ref="O12:P12"/>
    <mergeCell ref="Q12:R12"/>
    <mergeCell ref="O13:P13"/>
    <mergeCell ref="O14:P14"/>
    <mergeCell ref="O9:P9"/>
    <mergeCell ref="O15:P15"/>
    <mergeCell ref="Q14:R14"/>
    <mergeCell ref="Q15:R15"/>
    <mergeCell ref="Q20:R20"/>
    <mergeCell ref="O19:P19"/>
  </mergeCells>
  <phoneticPr fontId="2" type="noConversion"/>
  <pageMargins left="0.25" right="0.25" top="0.75" bottom="0.75" header="0.3" footer="0.3"/>
  <pageSetup paperSize="9" scale="38" fitToWidth="0" orientation="landscape" horizontalDpi="300" r:id="rId1"/>
  <headerFooter>
    <oddFooter>&amp;R&amp;D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CB63-1055-4916-876D-8BFE8675FCBD}">
  <sheetPr>
    <tabColor rgb="FFC00000"/>
    <pageSetUpPr fitToPage="1"/>
  </sheetPr>
  <dimension ref="A1:AC89"/>
  <sheetViews>
    <sheetView topLeftCell="M1" zoomScale="85" zoomScaleNormal="85" zoomScaleSheetLayoutView="100" zoomScalePageLayoutView="85" workbookViewId="0">
      <selection activeCell="Y4" sqref="Y4:AG9"/>
    </sheetView>
  </sheetViews>
  <sheetFormatPr defaultRowHeight="16.5" x14ac:dyDescent="0.3"/>
  <cols>
    <col min="1" max="1" width="1.625" customWidth="1"/>
    <col min="2" max="5" width="3.375" style="2" customWidth="1"/>
    <col min="6" max="6" width="57.25" style="3" customWidth="1"/>
    <col min="7" max="7" width="25.625" style="3" bestFit="1" customWidth="1"/>
    <col min="8" max="9" width="16.625" style="3" customWidth="1"/>
    <col min="10" max="10" width="6.625" style="3" customWidth="1"/>
    <col min="11" max="13" width="16.625" style="1" customWidth="1"/>
    <col min="14" max="14" width="12.625" style="5" customWidth="1"/>
    <col min="15" max="15" width="9.625" style="1" customWidth="1"/>
    <col min="16" max="16" width="12.625" style="1" customWidth="1"/>
    <col min="17" max="18" width="22.375" customWidth="1"/>
    <col min="19" max="19" width="21.875" style="93" customWidth="1"/>
    <col min="20" max="16384" width="9" style="70"/>
  </cols>
  <sheetData>
    <row r="1" spans="1:28" ht="9.9499999999999993" customHeight="1" x14ac:dyDescent="0.3"/>
    <row r="2" spans="1:28" ht="26.25" x14ac:dyDescent="0.3">
      <c r="A2" s="1445" t="s">
        <v>244</v>
      </c>
      <c r="B2" s="1445"/>
      <c r="C2" s="1445"/>
      <c r="D2" s="1445"/>
      <c r="E2" s="1445"/>
      <c r="F2" s="1445"/>
      <c r="G2" s="1445"/>
      <c r="H2" s="1445"/>
      <c r="I2" s="1445"/>
      <c r="J2" s="1445"/>
      <c r="K2" s="1445"/>
      <c r="L2" s="1445"/>
      <c r="M2" s="1445"/>
      <c r="N2" s="1445"/>
      <c r="O2" s="1445"/>
      <c r="P2" s="1445"/>
      <c r="Q2" s="1445"/>
      <c r="R2" s="1445"/>
      <c r="S2" s="1445"/>
    </row>
    <row r="3" spans="1:28" ht="17.25" thickBot="1" x14ac:dyDescent="0.35">
      <c r="Q3" s="1446">
        <v>45415</v>
      </c>
      <c r="R3" s="1446"/>
      <c r="S3" s="1446"/>
    </row>
    <row r="4" spans="1:28" ht="18" thickBot="1" x14ac:dyDescent="0.35">
      <c r="B4" s="1318" t="s">
        <v>1</v>
      </c>
      <c r="C4" s="1319"/>
      <c r="D4" s="1319"/>
      <c r="E4" s="1320"/>
      <c r="F4" s="6" t="s">
        <v>56</v>
      </c>
      <c r="G4" s="6" t="s">
        <v>55</v>
      </c>
      <c r="H4" s="6" t="s">
        <v>0</v>
      </c>
      <c r="I4" s="6" t="s">
        <v>43</v>
      </c>
      <c r="J4" s="6" t="s">
        <v>4</v>
      </c>
      <c r="K4" s="7" t="s">
        <v>12</v>
      </c>
      <c r="L4" s="8" t="s">
        <v>39</v>
      </c>
      <c r="M4" s="8" t="s">
        <v>5</v>
      </c>
      <c r="N4" s="141" t="s">
        <v>13</v>
      </c>
      <c r="O4" s="1321" t="s">
        <v>6</v>
      </c>
      <c r="P4" s="1322"/>
      <c r="Q4" s="1319" t="s">
        <v>3</v>
      </c>
      <c r="R4" s="1323"/>
      <c r="S4" s="71" t="s">
        <v>59</v>
      </c>
    </row>
    <row r="5" spans="1:28" s="413" customFormat="1" ht="17.25" thickBot="1" x14ac:dyDescent="0.35">
      <c r="A5" s="82"/>
      <c r="B5" s="122" t="s">
        <v>2</v>
      </c>
      <c r="C5" s="116"/>
      <c r="D5" s="116"/>
      <c r="E5" s="117"/>
      <c r="F5" s="118" t="s">
        <v>265</v>
      </c>
      <c r="G5" s="119"/>
      <c r="H5" s="119"/>
      <c r="I5" s="119"/>
      <c r="J5" s="119"/>
      <c r="K5" s="272"/>
      <c r="L5" s="120"/>
      <c r="M5" s="121"/>
      <c r="N5" s="135"/>
      <c r="O5" s="1447"/>
      <c r="P5" s="1448"/>
      <c r="Q5" s="1326"/>
      <c r="R5" s="1327"/>
      <c r="S5" s="115"/>
      <c r="T5" s="70"/>
      <c r="U5" s="70"/>
      <c r="V5" s="70"/>
      <c r="W5" s="70"/>
      <c r="X5" s="70"/>
    </row>
    <row r="6" spans="1:28" s="394" customFormat="1" x14ac:dyDescent="0.3">
      <c r="A6" s="369"/>
      <c r="B6" s="208"/>
      <c r="C6" s="396" t="s">
        <v>2</v>
      </c>
      <c r="D6" s="396"/>
      <c r="E6" s="398"/>
      <c r="F6" s="269" t="s">
        <v>307</v>
      </c>
      <c r="G6" s="184" t="s">
        <v>433</v>
      </c>
      <c r="H6" s="185" t="s">
        <v>131</v>
      </c>
      <c r="I6" s="185" t="s">
        <v>131</v>
      </c>
      <c r="J6" s="186">
        <v>1</v>
      </c>
      <c r="K6" s="169">
        <f>(8210+3030+1140+2160+440)*0.6*1.071*1400</f>
        <v>13476607.199999999</v>
      </c>
      <c r="L6" s="55">
        <v>24756000</v>
      </c>
      <c r="M6" s="164">
        <f>J6*K6</f>
        <v>13476607.199999999</v>
      </c>
      <c r="N6" s="503">
        <v>0</v>
      </c>
      <c r="O6" s="1578">
        <f t="shared" ref="O6:O10" si="0">J6*L6/(1-N6)</f>
        <v>24756000</v>
      </c>
      <c r="P6" s="1579"/>
      <c r="Q6" s="1330" t="s">
        <v>437</v>
      </c>
      <c r="R6" s="1331"/>
      <c r="S6" s="505"/>
      <c r="T6" s="400"/>
      <c r="U6" s="400"/>
      <c r="V6" s="400"/>
      <c r="W6" s="400"/>
      <c r="X6" s="400"/>
    </row>
    <row r="7" spans="1:28" s="394" customFormat="1" x14ac:dyDescent="0.3">
      <c r="B7" s="208"/>
      <c r="C7" s="396"/>
      <c r="D7" s="397" t="s">
        <v>73</v>
      </c>
      <c r="E7" s="398"/>
      <c r="F7" s="174" t="s">
        <v>372</v>
      </c>
      <c r="G7" s="56">
        <v>720268</v>
      </c>
      <c r="H7" s="482" t="s">
        <v>131</v>
      </c>
      <c r="I7" s="482" t="s">
        <v>131</v>
      </c>
      <c r="J7" s="502">
        <v>4</v>
      </c>
      <c r="K7" s="169">
        <f>(1190)*0.606*1.071*1400</f>
        <v>1081277.3159999999</v>
      </c>
      <c r="L7" s="55">
        <v>1806000</v>
      </c>
      <c r="M7" s="390">
        <f t="shared" ref="M7:M22" si="1">J7*K7</f>
        <v>4325109.2639999995</v>
      </c>
      <c r="N7" s="503">
        <v>0</v>
      </c>
      <c r="O7" s="1578">
        <f t="shared" si="0"/>
        <v>7224000</v>
      </c>
      <c r="P7" s="1579"/>
      <c r="Q7" s="1474" t="s">
        <v>488</v>
      </c>
      <c r="R7" s="1475"/>
      <c r="S7" s="399"/>
      <c r="T7" s="400"/>
      <c r="U7" s="400"/>
      <c r="V7" s="400"/>
      <c r="W7" s="400"/>
      <c r="X7" s="400"/>
    </row>
    <row r="8" spans="1:28" ht="16.149999999999999" customHeight="1" x14ac:dyDescent="0.3">
      <c r="B8" s="208"/>
      <c r="C8" s="396"/>
      <c r="D8" s="396"/>
      <c r="E8" s="398" t="s">
        <v>73</v>
      </c>
      <c r="F8" s="174" t="s">
        <v>281</v>
      </c>
      <c r="G8" s="396">
        <v>758933</v>
      </c>
      <c r="H8" s="482" t="s">
        <v>131</v>
      </c>
      <c r="I8" s="482" t="s">
        <v>131</v>
      </c>
      <c r="J8" s="56">
        <v>6</v>
      </c>
      <c r="K8" s="169">
        <f>(35)*0.643*1.071*1400</f>
        <v>33743.996999999996</v>
      </c>
      <c r="L8" s="392">
        <v>62000</v>
      </c>
      <c r="M8" s="390">
        <f t="shared" si="1"/>
        <v>202463.98199999996</v>
      </c>
      <c r="N8" s="503">
        <v>0</v>
      </c>
      <c r="O8" s="1578">
        <f t="shared" si="0"/>
        <v>372000</v>
      </c>
      <c r="P8" s="1579"/>
      <c r="Q8" s="1474" t="s">
        <v>463</v>
      </c>
      <c r="R8" s="1475"/>
      <c r="S8" s="212"/>
    </row>
    <row r="9" spans="1:28" ht="16.149999999999999" customHeight="1" x14ac:dyDescent="0.3">
      <c r="B9" s="208"/>
      <c r="C9" s="396"/>
      <c r="D9" s="396"/>
      <c r="E9" s="398" t="s">
        <v>73</v>
      </c>
      <c r="F9" s="174" t="s">
        <v>283</v>
      </c>
      <c r="G9" s="396">
        <v>758921</v>
      </c>
      <c r="H9" s="482" t="s">
        <v>131</v>
      </c>
      <c r="I9" s="482" t="s">
        <v>131</v>
      </c>
      <c r="J9" s="56">
        <v>6</v>
      </c>
      <c r="K9" s="169">
        <f>(30)*0.643*1.071*1400</f>
        <v>28923.425999999996</v>
      </c>
      <c r="L9" s="392">
        <v>54000</v>
      </c>
      <c r="M9" s="390">
        <f t="shared" si="1"/>
        <v>173540.55599999998</v>
      </c>
      <c r="N9" s="503">
        <v>0</v>
      </c>
      <c r="O9" s="1578">
        <f t="shared" si="0"/>
        <v>324000</v>
      </c>
      <c r="P9" s="1579"/>
      <c r="Q9" s="1474" t="s">
        <v>446</v>
      </c>
      <c r="R9" s="1475"/>
      <c r="S9" s="212"/>
    </row>
    <row r="10" spans="1:28" ht="16.149999999999999" customHeight="1" x14ac:dyDescent="0.3">
      <c r="B10" s="208"/>
      <c r="C10" s="396"/>
      <c r="D10" s="396"/>
      <c r="E10" s="398" t="s">
        <v>73</v>
      </c>
      <c r="F10" s="174" t="s">
        <v>377</v>
      </c>
      <c r="G10" s="56">
        <v>758924</v>
      </c>
      <c r="H10" s="482" t="s">
        <v>131</v>
      </c>
      <c r="I10" s="482" t="s">
        <v>131</v>
      </c>
      <c r="J10" s="56">
        <v>1</v>
      </c>
      <c r="K10" s="169">
        <f>(60)*0.643*1.071*1400</f>
        <v>57846.851999999992</v>
      </c>
      <c r="L10" s="392">
        <v>143000</v>
      </c>
      <c r="M10" s="475">
        <f t="shared" si="1"/>
        <v>57846.851999999992</v>
      </c>
      <c r="N10" s="503">
        <v>0</v>
      </c>
      <c r="O10" s="1472">
        <f t="shared" si="0"/>
        <v>143000</v>
      </c>
      <c r="P10" s="1473"/>
      <c r="Q10" s="1474" t="s">
        <v>447</v>
      </c>
      <c r="R10" s="1475"/>
      <c r="S10" s="212"/>
    </row>
    <row r="11" spans="1:28" s="394" customFormat="1" x14ac:dyDescent="0.3">
      <c r="A11" s="369"/>
      <c r="B11" s="208"/>
      <c r="C11" s="396"/>
      <c r="D11" s="397"/>
      <c r="E11" s="398" t="s">
        <v>73</v>
      </c>
      <c r="F11" s="504" t="s">
        <v>489</v>
      </c>
      <c r="G11" s="56">
        <v>702916</v>
      </c>
      <c r="H11" s="482" t="s">
        <v>131</v>
      </c>
      <c r="I11" s="482" t="s">
        <v>131</v>
      </c>
      <c r="J11" s="56">
        <v>1</v>
      </c>
      <c r="K11" s="169">
        <f>(6450)*0.6*1.071*1400</f>
        <v>5802677.9999999991</v>
      </c>
      <c r="L11" s="55">
        <v>8712000</v>
      </c>
      <c r="M11" s="418">
        <f>J11*K11</f>
        <v>5802677.9999999991</v>
      </c>
      <c r="N11" s="503">
        <v>0</v>
      </c>
      <c r="O11" s="1472">
        <f>J11*L11/(1-N11)</f>
        <v>8712000</v>
      </c>
      <c r="P11" s="1473"/>
      <c r="Q11" s="1474" t="s">
        <v>490</v>
      </c>
      <c r="R11" s="1475"/>
      <c r="S11" s="212"/>
      <c r="T11" s="400"/>
      <c r="U11" s="400"/>
      <c r="V11" s="400"/>
      <c r="W11" s="400"/>
      <c r="X11" s="400"/>
      <c r="Y11" s="400"/>
      <c r="Z11" s="400"/>
      <c r="AA11" s="400"/>
      <c r="AB11" s="400"/>
    </row>
    <row r="12" spans="1:28" s="394" customFormat="1" x14ac:dyDescent="0.3">
      <c r="A12" s="369"/>
      <c r="B12" s="537"/>
      <c r="C12" s="538"/>
      <c r="D12" s="514"/>
      <c r="E12" s="539" t="s">
        <v>73</v>
      </c>
      <c r="F12" s="547" t="s">
        <v>487</v>
      </c>
      <c r="G12" s="312">
        <v>701930</v>
      </c>
      <c r="H12" s="535" t="s">
        <v>40</v>
      </c>
      <c r="I12" s="535" t="s">
        <v>40</v>
      </c>
      <c r="J12" s="312">
        <v>1</v>
      </c>
      <c r="K12" s="536">
        <f>(3630)*0.704*1.071*1400</f>
        <v>3831746.6879999996</v>
      </c>
      <c r="L12" s="313">
        <v>5748000</v>
      </c>
      <c r="M12" s="511">
        <f>J12*K12</f>
        <v>3831746.6879999996</v>
      </c>
      <c r="N12" s="310">
        <v>0</v>
      </c>
      <c r="O12" s="1653">
        <f>J12*L12/(1-N12)</f>
        <v>5748000</v>
      </c>
      <c r="P12" s="1654"/>
      <c r="Q12" s="1647" t="s">
        <v>486</v>
      </c>
      <c r="R12" s="1648"/>
      <c r="S12" s="212"/>
      <c r="T12" s="400"/>
      <c r="U12" s="400"/>
      <c r="V12" s="400"/>
      <c r="W12" s="400"/>
      <c r="X12" s="400"/>
      <c r="Y12" s="400"/>
      <c r="Z12" s="400"/>
      <c r="AA12" s="400"/>
      <c r="AB12" s="400"/>
    </row>
    <row r="13" spans="1:28" s="528" customFormat="1" x14ac:dyDescent="0.3">
      <c r="A13" s="512"/>
      <c r="B13" s="513"/>
      <c r="C13" s="514"/>
      <c r="D13" s="514" t="s">
        <v>73</v>
      </c>
      <c r="E13" s="510"/>
      <c r="F13" s="311" t="s">
        <v>435</v>
      </c>
      <c r="G13" s="312">
        <v>720254</v>
      </c>
      <c r="H13" s="312" t="s">
        <v>40</v>
      </c>
      <c r="I13" s="312" t="s">
        <v>40</v>
      </c>
      <c r="J13" s="312">
        <v>2</v>
      </c>
      <c r="K13" s="313">
        <f>(1950)*0.57*1.071*1400</f>
        <v>1666583.1</v>
      </c>
      <c r="L13" s="313">
        <v>2737000</v>
      </c>
      <c r="M13" s="511">
        <f t="shared" ref="M13:M15" si="2">J13*K13</f>
        <v>3333166.2</v>
      </c>
      <c r="N13" s="310">
        <v>0</v>
      </c>
      <c r="O13" s="1584">
        <f t="shared" ref="O13:O15" si="3">J13*L13/(1-N13)</f>
        <v>5474000</v>
      </c>
      <c r="P13" s="1585"/>
      <c r="Q13" s="1647" t="s">
        <v>448</v>
      </c>
      <c r="R13" s="1648"/>
      <c r="S13" s="212"/>
      <c r="T13" s="70"/>
      <c r="U13" s="70"/>
      <c r="V13" s="70"/>
      <c r="W13" s="70"/>
      <c r="X13" s="70"/>
      <c r="Y13" s="70"/>
      <c r="Z13" s="70"/>
      <c r="AA13" s="70"/>
      <c r="AB13" s="70"/>
    </row>
    <row r="14" spans="1:28" s="528" customFormat="1" x14ac:dyDescent="0.3">
      <c r="A14" s="512"/>
      <c r="B14" s="513"/>
      <c r="C14" s="514"/>
      <c r="D14" s="514"/>
      <c r="E14" s="539" t="s">
        <v>73</v>
      </c>
      <c r="F14" s="311" t="s">
        <v>466</v>
      </c>
      <c r="G14" s="312">
        <v>701901</v>
      </c>
      <c r="H14" s="312" t="s">
        <v>40</v>
      </c>
      <c r="I14" s="312" t="s">
        <v>40</v>
      </c>
      <c r="J14" s="312">
        <v>6</v>
      </c>
      <c r="K14" s="536">
        <f>(50)*0.642*1.071*1400</f>
        <v>48130.74</v>
      </c>
      <c r="L14" s="313">
        <v>104000</v>
      </c>
      <c r="M14" s="511">
        <f t="shared" si="2"/>
        <v>288784.44</v>
      </c>
      <c r="N14" s="310">
        <v>0</v>
      </c>
      <c r="O14" s="1584">
        <f t="shared" si="3"/>
        <v>624000</v>
      </c>
      <c r="P14" s="1585"/>
      <c r="Q14" s="1647" t="s">
        <v>468</v>
      </c>
      <c r="R14" s="1648"/>
      <c r="S14" s="470"/>
      <c r="T14" s="70">
        <v>6</v>
      </c>
      <c r="U14" s="70"/>
      <c r="V14" s="70"/>
      <c r="W14" s="70"/>
      <c r="X14" s="70"/>
      <c r="Y14" s="70"/>
      <c r="Z14" s="70"/>
      <c r="AA14" s="70"/>
      <c r="AB14" s="70"/>
    </row>
    <row r="15" spans="1:28" customFormat="1" ht="16.149999999999999" customHeight="1" x14ac:dyDescent="0.3">
      <c r="B15" s="537"/>
      <c r="C15" s="538"/>
      <c r="D15" s="538"/>
      <c r="E15" s="539" t="s">
        <v>73</v>
      </c>
      <c r="F15" s="311" t="s">
        <v>283</v>
      </c>
      <c r="G15" s="538">
        <v>758921</v>
      </c>
      <c r="H15" s="535" t="s">
        <v>131</v>
      </c>
      <c r="I15" s="535" t="s">
        <v>131</v>
      </c>
      <c r="J15" s="312">
        <v>6</v>
      </c>
      <c r="K15" s="536">
        <f>(30)*0.643*1.071*1400</f>
        <v>28923.425999999996</v>
      </c>
      <c r="L15" s="540">
        <v>54000</v>
      </c>
      <c r="M15" s="541">
        <f t="shared" si="2"/>
        <v>173540.55599999998</v>
      </c>
      <c r="N15" s="310">
        <v>0</v>
      </c>
      <c r="O15" s="1584">
        <f t="shared" si="3"/>
        <v>324000</v>
      </c>
      <c r="P15" s="1585"/>
      <c r="Q15" s="1647" t="s">
        <v>469</v>
      </c>
      <c r="R15" s="1648"/>
      <c r="S15" s="470"/>
      <c r="T15">
        <v>6</v>
      </c>
      <c r="U15" t="s">
        <v>276</v>
      </c>
      <c r="V15" t="s">
        <v>292</v>
      </c>
    </row>
    <row r="16" spans="1:28" s="528" customFormat="1" x14ac:dyDescent="0.3">
      <c r="A16" s="512"/>
      <c r="B16" s="513"/>
      <c r="C16" s="514" t="s">
        <v>2</v>
      </c>
      <c r="D16" s="514"/>
      <c r="E16" s="510"/>
      <c r="F16" s="311" t="s">
        <v>452</v>
      </c>
      <c r="G16" s="515" t="s">
        <v>453</v>
      </c>
      <c r="H16" s="312" t="s">
        <v>40</v>
      </c>
      <c r="I16" s="312" t="s">
        <v>40</v>
      </c>
      <c r="J16" s="312">
        <v>1</v>
      </c>
      <c r="K16" s="313">
        <f>1347*0.4*1.071*1400</f>
        <v>807876.72</v>
      </c>
      <c r="L16" s="313">
        <v>1584000</v>
      </c>
      <c r="M16" s="511">
        <f t="shared" si="1"/>
        <v>807876.72</v>
      </c>
      <c r="N16" s="310">
        <v>0</v>
      </c>
      <c r="O16" s="1584">
        <f t="shared" ref="O16:O20" si="4">J16*L16/(1-N16)</f>
        <v>1584000</v>
      </c>
      <c r="P16" s="1585"/>
      <c r="Q16" s="1580" t="s">
        <v>375</v>
      </c>
      <c r="R16" s="1581"/>
      <c r="S16" s="212"/>
      <c r="T16" s="70"/>
      <c r="U16" s="70"/>
      <c r="V16" s="70"/>
      <c r="W16" s="70"/>
      <c r="X16" s="70"/>
      <c r="Y16" s="70"/>
      <c r="Z16" s="70"/>
      <c r="AA16" s="70"/>
      <c r="AB16" s="70"/>
    </row>
    <row r="17" spans="1:29" s="528" customFormat="1" x14ac:dyDescent="0.3">
      <c r="A17" s="512"/>
      <c r="B17" s="513"/>
      <c r="C17" s="514"/>
      <c r="D17" s="514" t="s">
        <v>2</v>
      </c>
      <c r="E17" s="510"/>
      <c r="F17" s="311" t="s">
        <v>454</v>
      </c>
      <c r="G17" s="515" t="s">
        <v>455</v>
      </c>
      <c r="H17" s="312" t="s">
        <v>40</v>
      </c>
      <c r="I17" s="312" t="s">
        <v>40</v>
      </c>
      <c r="J17" s="312">
        <v>1</v>
      </c>
      <c r="K17" s="313">
        <f>287*0.4*1.071*1400</f>
        <v>172131.12</v>
      </c>
      <c r="L17" s="313">
        <v>338000</v>
      </c>
      <c r="M17" s="511">
        <f t="shared" si="1"/>
        <v>172131.12</v>
      </c>
      <c r="N17" s="310">
        <v>0</v>
      </c>
      <c r="O17" s="1584">
        <f t="shared" si="4"/>
        <v>338000</v>
      </c>
      <c r="P17" s="1585"/>
      <c r="Q17" s="1651"/>
      <c r="R17" s="1652"/>
      <c r="S17" s="212"/>
      <c r="T17" s="70"/>
      <c r="U17" s="70"/>
      <c r="V17" s="70"/>
      <c r="W17" s="70"/>
      <c r="X17" s="70"/>
      <c r="Y17" s="70"/>
      <c r="Z17" s="70"/>
      <c r="AA17" s="70"/>
      <c r="AB17" s="70"/>
    </row>
    <row r="18" spans="1:29" s="528" customFormat="1" x14ac:dyDescent="0.3">
      <c r="A18" s="512"/>
      <c r="B18" s="513"/>
      <c r="C18" s="514"/>
      <c r="D18" s="514" t="s">
        <v>2</v>
      </c>
      <c r="E18" s="510"/>
      <c r="F18" s="311" t="s">
        <v>456</v>
      </c>
      <c r="G18" s="515" t="s">
        <v>222</v>
      </c>
      <c r="H18" s="312" t="s">
        <v>40</v>
      </c>
      <c r="I18" s="312" t="s">
        <v>40</v>
      </c>
      <c r="J18" s="312">
        <v>1</v>
      </c>
      <c r="K18" s="313">
        <f>934*0.4*1.071*1400</f>
        <v>560175.84000000008</v>
      </c>
      <c r="L18" s="313">
        <v>1114000</v>
      </c>
      <c r="M18" s="511">
        <f t="shared" si="1"/>
        <v>560175.84000000008</v>
      </c>
      <c r="N18" s="310">
        <v>0</v>
      </c>
      <c r="O18" s="1584">
        <f t="shared" si="4"/>
        <v>1114000</v>
      </c>
      <c r="P18" s="1585"/>
      <c r="Q18" s="1651"/>
      <c r="R18" s="1652"/>
      <c r="S18" s="212"/>
      <c r="T18" s="70"/>
      <c r="U18" s="70"/>
      <c r="V18" s="70"/>
      <c r="W18" s="70"/>
      <c r="X18" s="70"/>
      <c r="Y18" s="70"/>
      <c r="Z18" s="70"/>
      <c r="AA18" s="70"/>
      <c r="AB18" s="70"/>
    </row>
    <row r="19" spans="1:29" s="528" customFormat="1" x14ac:dyDescent="0.3">
      <c r="A19" s="512"/>
      <c r="B19" s="513"/>
      <c r="C19" s="514"/>
      <c r="D19" s="514" t="s">
        <v>2</v>
      </c>
      <c r="E19" s="510"/>
      <c r="F19" s="311" t="s">
        <v>457</v>
      </c>
      <c r="G19" s="515" t="s">
        <v>458</v>
      </c>
      <c r="H19" s="312" t="s">
        <v>40</v>
      </c>
      <c r="I19" s="312" t="s">
        <v>40</v>
      </c>
      <c r="J19" s="312">
        <v>2</v>
      </c>
      <c r="K19" s="313">
        <f>59*0.4*1.071*1400</f>
        <v>35385.840000000004</v>
      </c>
      <c r="L19" s="313">
        <v>97000</v>
      </c>
      <c r="M19" s="511">
        <f t="shared" si="1"/>
        <v>70771.680000000008</v>
      </c>
      <c r="N19" s="310">
        <v>0</v>
      </c>
      <c r="O19" s="1584">
        <f t="shared" si="4"/>
        <v>194000</v>
      </c>
      <c r="P19" s="1585"/>
      <c r="Q19" s="1582"/>
      <c r="R19" s="1583"/>
      <c r="S19" s="212"/>
      <c r="T19" s="70"/>
      <c r="U19" s="70"/>
      <c r="V19" s="70"/>
      <c r="W19" s="70"/>
      <c r="X19" s="70"/>
      <c r="Y19" s="70"/>
      <c r="Z19" s="70"/>
      <c r="AA19" s="70"/>
      <c r="AB19" s="70"/>
    </row>
    <row r="20" spans="1:29" s="528" customFormat="1" x14ac:dyDescent="0.3">
      <c r="A20" s="84"/>
      <c r="B20" s="506"/>
      <c r="C20" s="397" t="s">
        <v>73</v>
      </c>
      <c r="D20" s="397"/>
      <c r="E20" s="61"/>
      <c r="F20" s="156" t="s">
        <v>434</v>
      </c>
      <c r="G20" s="507" t="s">
        <v>409</v>
      </c>
      <c r="H20" s="56" t="s">
        <v>142</v>
      </c>
      <c r="I20" s="56" t="s">
        <v>64</v>
      </c>
      <c r="J20" s="56">
        <v>6</v>
      </c>
      <c r="K20" s="55">
        <f>L20*0.75</f>
        <v>1731750</v>
      </c>
      <c r="L20" s="55">
        <v>2309000</v>
      </c>
      <c r="M20" s="418">
        <f>J20*K20</f>
        <v>10390500</v>
      </c>
      <c r="N20" s="503">
        <v>0</v>
      </c>
      <c r="O20" s="1578">
        <f t="shared" si="4"/>
        <v>13854000</v>
      </c>
      <c r="P20" s="1579"/>
      <c r="Q20" s="1474" t="s">
        <v>484</v>
      </c>
      <c r="R20" s="1475"/>
      <c r="S20" s="212"/>
      <c r="T20" s="70"/>
      <c r="U20" s="70"/>
      <c r="V20" s="70"/>
      <c r="W20" s="70"/>
      <c r="X20" s="70"/>
      <c r="Y20" s="70"/>
      <c r="Z20" s="70"/>
      <c r="AA20" s="70"/>
      <c r="AB20" s="70"/>
    </row>
    <row r="21" spans="1:29" s="528" customFormat="1" x14ac:dyDescent="0.3">
      <c r="A21" s="512"/>
      <c r="B21" s="513"/>
      <c r="C21" s="514" t="s">
        <v>2</v>
      </c>
      <c r="D21" s="514"/>
      <c r="E21" s="510"/>
      <c r="F21" s="311" t="s">
        <v>459</v>
      </c>
      <c r="G21" s="515" t="s">
        <v>195</v>
      </c>
      <c r="H21" s="312" t="s">
        <v>142</v>
      </c>
      <c r="I21" s="312" t="s">
        <v>64</v>
      </c>
      <c r="J21" s="312">
        <v>1</v>
      </c>
      <c r="K21" s="313">
        <f>L21*0.75</f>
        <v>14394750</v>
      </c>
      <c r="L21" s="313">
        <f>19193000</f>
        <v>19193000</v>
      </c>
      <c r="M21" s="511">
        <f t="shared" si="1"/>
        <v>14394750</v>
      </c>
      <c r="N21" s="310">
        <v>0</v>
      </c>
      <c r="O21" s="1584">
        <f>L21*J21</f>
        <v>19193000</v>
      </c>
      <c r="P21" s="1585"/>
      <c r="Q21" s="1580" t="s">
        <v>410</v>
      </c>
      <c r="R21" s="1581"/>
      <c r="S21" s="212"/>
      <c r="T21" s="70"/>
      <c r="U21" s="70"/>
      <c r="V21" s="70"/>
      <c r="W21" s="70"/>
      <c r="X21" s="70"/>
      <c r="Y21" s="70"/>
      <c r="Z21" s="70"/>
      <c r="AA21" s="70"/>
      <c r="AB21" s="70"/>
    </row>
    <row r="22" spans="1:29" s="528" customFormat="1" x14ac:dyDescent="0.3">
      <c r="A22" s="512"/>
      <c r="B22" s="513"/>
      <c r="C22" s="514"/>
      <c r="D22" s="514" t="s">
        <v>2</v>
      </c>
      <c r="E22" s="510"/>
      <c r="F22" s="311" t="s">
        <v>460</v>
      </c>
      <c r="G22" s="515" t="s">
        <v>461</v>
      </c>
      <c r="H22" s="312" t="s">
        <v>142</v>
      </c>
      <c r="I22" s="312" t="s">
        <v>64</v>
      </c>
      <c r="J22" s="312">
        <f t="shared" ref="J22" si="5">1*2</f>
        <v>2</v>
      </c>
      <c r="K22" s="313">
        <f>L22*0.75</f>
        <v>14008500</v>
      </c>
      <c r="L22" s="313">
        <v>18678000</v>
      </c>
      <c r="M22" s="511">
        <f t="shared" si="1"/>
        <v>28017000</v>
      </c>
      <c r="N22" s="310">
        <v>0</v>
      </c>
      <c r="O22" s="1584">
        <f>L22*J22</f>
        <v>37356000</v>
      </c>
      <c r="P22" s="1585"/>
      <c r="Q22" s="1582"/>
      <c r="R22" s="1583"/>
      <c r="S22" s="212"/>
      <c r="T22" s="70"/>
      <c r="U22" s="70"/>
      <c r="V22" s="70"/>
      <c r="W22" s="70"/>
      <c r="X22" s="70"/>
      <c r="Y22" s="70"/>
      <c r="Z22" s="70"/>
      <c r="AA22" s="70"/>
      <c r="AB22" s="70"/>
    </row>
    <row r="23" spans="1:29" s="413" customFormat="1" x14ac:dyDescent="0.3">
      <c r="A23" s="82"/>
      <c r="B23" s="401"/>
      <c r="C23" s="402"/>
      <c r="D23" s="403"/>
      <c r="E23" s="402"/>
      <c r="F23" s="404" t="s">
        <v>256</v>
      </c>
      <c r="G23" s="403" t="s">
        <v>336</v>
      </c>
      <c r="H23" s="403" t="s">
        <v>337</v>
      </c>
      <c r="I23" s="405"/>
      <c r="J23" s="403">
        <v>0</v>
      </c>
      <c r="K23" s="406"/>
      <c r="L23" s="406">
        <v>11140000</v>
      </c>
      <c r="M23" s="407">
        <f t="shared" ref="M23:M28" si="6">J23*K23</f>
        <v>0</v>
      </c>
      <c r="N23" s="408">
        <v>0</v>
      </c>
      <c r="O23" s="423">
        <f t="shared" ref="O23:O28" si="7">J23*L23/(1-N23)</f>
        <v>0</v>
      </c>
      <c r="P23" s="424"/>
      <c r="Q23" s="1548" t="s">
        <v>481</v>
      </c>
      <c r="R23" s="1549"/>
      <c r="S23" s="212"/>
      <c r="T23" s="70"/>
      <c r="U23" s="70"/>
      <c r="V23" s="70"/>
      <c r="W23" s="70"/>
      <c r="X23" s="70"/>
      <c r="Y23" s="70"/>
      <c r="Z23" s="70"/>
      <c r="AA23" s="70"/>
    </row>
    <row r="24" spans="1:29" s="413" customFormat="1" x14ac:dyDescent="0.3">
      <c r="A24" s="82"/>
      <c r="B24" s="401"/>
      <c r="C24" s="402"/>
      <c r="D24" s="403"/>
      <c r="E24" s="402"/>
      <c r="F24" s="404" t="s">
        <v>399</v>
      </c>
      <c r="G24" s="403" t="s">
        <v>395</v>
      </c>
      <c r="H24" s="403" t="s">
        <v>394</v>
      </c>
      <c r="I24" s="405"/>
      <c r="J24" s="403">
        <v>0</v>
      </c>
      <c r="K24" s="406">
        <f>L24*0.75</f>
        <v>7717500</v>
      </c>
      <c r="L24" s="406">
        <v>10290000</v>
      </c>
      <c r="M24" s="407">
        <f t="shared" si="6"/>
        <v>0</v>
      </c>
      <c r="N24" s="408">
        <v>0</v>
      </c>
      <c r="O24" s="423">
        <f t="shared" si="7"/>
        <v>0</v>
      </c>
      <c r="P24" s="424"/>
      <c r="Q24" s="1550"/>
      <c r="R24" s="1551"/>
      <c r="S24" s="441"/>
      <c r="T24" s="70"/>
      <c r="U24" s="70"/>
      <c r="V24" s="70"/>
      <c r="W24" s="70"/>
      <c r="X24" s="70"/>
      <c r="Y24" s="70"/>
      <c r="Z24" s="70"/>
      <c r="AA24" s="70"/>
    </row>
    <row r="25" spans="1:29" s="394" customFormat="1" x14ac:dyDescent="0.3">
      <c r="A25" s="369"/>
      <c r="B25" s="516"/>
      <c r="C25" s="517"/>
      <c r="D25" s="517"/>
      <c r="E25" s="518"/>
      <c r="F25" s="519" t="s">
        <v>423</v>
      </c>
      <c r="G25" s="405" t="s">
        <v>273</v>
      </c>
      <c r="H25" s="405" t="s">
        <v>255</v>
      </c>
      <c r="I25" s="405"/>
      <c r="J25" s="405">
        <v>0</v>
      </c>
      <c r="K25" s="520">
        <f t="shared" ref="K25:K26" si="8">L25*0.75</f>
        <v>27652500</v>
      </c>
      <c r="L25" s="520">
        <v>36870000</v>
      </c>
      <c r="M25" s="407">
        <f t="shared" si="6"/>
        <v>0</v>
      </c>
      <c r="N25" s="521">
        <v>0</v>
      </c>
      <c r="O25" s="1576">
        <f t="shared" si="7"/>
        <v>0</v>
      </c>
      <c r="P25" s="1577"/>
      <c r="Q25" s="1548" t="s">
        <v>462</v>
      </c>
      <c r="R25" s="1549"/>
      <c r="S25" s="212"/>
      <c r="T25" s="400">
        <v>1</v>
      </c>
      <c r="U25" s="400"/>
      <c r="V25" s="400"/>
      <c r="W25" s="400"/>
      <c r="X25" s="400"/>
      <c r="Y25" s="400"/>
      <c r="Z25" s="400"/>
      <c r="AA25" s="400"/>
    </row>
    <row r="26" spans="1:29" s="528" customFormat="1" x14ac:dyDescent="0.3">
      <c r="A26" s="84"/>
      <c r="B26" s="516"/>
      <c r="C26" s="517"/>
      <c r="D26" s="517"/>
      <c r="E26" s="518"/>
      <c r="F26" s="519" t="s">
        <v>424</v>
      </c>
      <c r="G26" s="405" t="s">
        <v>274</v>
      </c>
      <c r="H26" s="405" t="s">
        <v>255</v>
      </c>
      <c r="I26" s="405"/>
      <c r="J26" s="405">
        <v>0</v>
      </c>
      <c r="K26" s="520">
        <f t="shared" si="8"/>
        <v>23730000</v>
      </c>
      <c r="L26" s="520">
        <v>31640000</v>
      </c>
      <c r="M26" s="407">
        <f t="shared" si="6"/>
        <v>0</v>
      </c>
      <c r="N26" s="521">
        <v>0</v>
      </c>
      <c r="O26" s="1576">
        <f t="shared" si="7"/>
        <v>0</v>
      </c>
      <c r="P26" s="1577"/>
      <c r="Q26" s="1550"/>
      <c r="R26" s="1551"/>
      <c r="S26" s="212"/>
      <c r="T26" s="70">
        <v>2</v>
      </c>
      <c r="U26" s="70"/>
      <c r="V26" s="70"/>
      <c r="W26" s="70"/>
      <c r="X26" s="70"/>
      <c r="Y26" s="70"/>
      <c r="Z26" s="70"/>
      <c r="AA26" s="70"/>
      <c r="AB26" s="70"/>
      <c r="AC26" s="70"/>
    </row>
    <row r="27" spans="1:29" s="394" customFormat="1" x14ac:dyDescent="0.3">
      <c r="B27" s="522"/>
      <c r="C27" s="523"/>
      <c r="D27" s="517"/>
      <c r="E27" s="524"/>
      <c r="F27" s="519" t="s">
        <v>368</v>
      </c>
      <c r="G27" s="405">
        <v>701265</v>
      </c>
      <c r="H27" s="525" t="s">
        <v>131</v>
      </c>
      <c r="I27" s="525" t="s">
        <v>131</v>
      </c>
      <c r="J27" s="526">
        <v>0</v>
      </c>
      <c r="K27" s="406">
        <f>(1140)*0.606*1.071*1400</f>
        <v>1035845.4959999999</v>
      </c>
      <c r="L27" s="520">
        <v>1723000</v>
      </c>
      <c r="M27" s="527">
        <f t="shared" si="6"/>
        <v>0</v>
      </c>
      <c r="N27" s="521">
        <v>0</v>
      </c>
      <c r="O27" s="1576">
        <f t="shared" si="7"/>
        <v>0</v>
      </c>
      <c r="P27" s="1577"/>
      <c r="Q27" s="1564" t="s">
        <v>451</v>
      </c>
      <c r="R27" s="1565"/>
      <c r="S27" s="212"/>
      <c r="T27" s="400">
        <v>3</v>
      </c>
      <c r="U27" s="400"/>
      <c r="V27" s="400"/>
      <c r="W27" s="400"/>
      <c r="X27" s="400"/>
      <c r="Y27" s="400"/>
      <c r="Z27" s="400"/>
      <c r="AA27" s="400"/>
      <c r="AB27" s="400"/>
      <c r="AC27" s="400"/>
    </row>
    <row r="28" spans="1:29" s="394" customFormat="1" x14ac:dyDescent="0.3">
      <c r="B28" s="522"/>
      <c r="C28" s="523"/>
      <c r="D28" s="517"/>
      <c r="E28" s="524"/>
      <c r="F28" s="519" t="s">
        <v>449</v>
      </c>
      <c r="G28" s="405" t="s">
        <v>450</v>
      </c>
      <c r="H28" s="525" t="s">
        <v>40</v>
      </c>
      <c r="I28" s="525" t="s">
        <v>40</v>
      </c>
      <c r="J28" s="526">
        <v>0</v>
      </c>
      <c r="K28" s="406">
        <f>1417*0.45*1.071*1400</f>
        <v>956092.40999999992</v>
      </c>
      <c r="L28" s="520">
        <v>1385000</v>
      </c>
      <c r="M28" s="527">
        <f t="shared" si="6"/>
        <v>0</v>
      </c>
      <c r="N28" s="521">
        <v>0</v>
      </c>
      <c r="O28" s="1576">
        <f t="shared" si="7"/>
        <v>0</v>
      </c>
      <c r="P28" s="1577"/>
      <c r="Q28" s="1564" t="s">
        <v>451</v>
      </c>
      <c r="R28" s="1565"/>
      <c r="S28" s="212"/>
      <c r="T28" s="400">
        <v>1</v>
      </c>
      <c r="U28" s="400"/>
      <c r="V28" s="400"/>
      <c r="W28" s="400"/>
      <c r="X28" s="400"/>
      <c r="Y28" s="400"/>
      <c r="Z28" s="400"/>
      <c r="AA28" s="400"/>
      <c r="AB28" s="400"/>
      <c r="AC28" s="400"/>
    </row>
    <row r="29" spans="1:29" s="528" customFormat="1" ht="17.25" thickBot="1" x14ac:dyDescent="0.35">
      <c r="A29" s="84"/>
      <c r="B29" s="365"/>
      <c r="C29" s="366"/>
      <c r="D29" s="366"/>
      <c r="E29" s="367"/>
      <c r="F29" s="156"/>
      <c r="G29" s="155"/>
      <c r="H29" s="155"/>
      <c r="I29" s="155"/>
      <c r="J29" s="186"/>
      <c r="K29" s="199"/>
      <c r="L29" s="55"/>
      <c r="M29" s="164"/>
      <c r="N29" s="158"/>
      <c r="O29" s="1556"/>
      <c r="P29" s="1557"/>
      <c r="Q29" s="427"/>
      <c r="R29" s="428"/>
      <c r="S29" s="204"/>
      <c r="T29" s="70"/>
      <c r="U29" s="70"/>
      <c r="V29" s="70"/>
      <c r="W29" s="70"/>
      <c r="X29" s="70"/>
      <c r="Y29" s="70"/>
      <c r="Z29" s="70"/>
      <c r="AA29" s="70"/>
      <c r="AB29" s="70"/>
      <c r="AC29" s="70"/>
    </row>
    <row r="30" spans="1:29" s="528" customFormat="1" ht="17.25" thickBot="1" x14ac:dyDescent="0.35">
      <c r="A30" s="84"/>
      <c r="B30" s="122" t="s">
        <v>2</v>
      </c>
      <c r="C30" s="116"/>
      <c r="D30" s="116"/>
      <c r="E30" s="117"/>
      <c r="F30" s="118" t="s">
        <v>266</v>
      </c>
      <c r="G30" s="383"/>
      <c r="H30" s="383"/>
      <c r="I30" s="383"/>
      <c r="J30" s="383"/>
      <c r="K30" s="383"/>
      <c r="L30" s="384"/>
      <c r="M30" s="121"/>
      <c r="N30" s="135"/>
      <c r="O30" s="1447"/>
      <c r="P30" s="1448"/>
      <c r="Q30" s="1586"/>
      <c r="R30" s="1587"/>
      <c r="S30" s="115"/>
      <c r="T30" s="70"/>
      <c r="U30" s="70"/>
      <c r="V30" s="70"/>
      <c r="W30" s="70"/>
      <c r="X30" s="70"/>
      <c r="Y30" s="70"/>
      <c r="Z30" s="70"/>
      <c r="AA30" s="70"/>
      <c r="AB30" s="70"/>
      <c r="AC30" s="70"/>
    </row>
    <row r="31" spans="1:29" s="413" customFormat="1" x14ac:dyDescent="0.3">
      <c r="A31" s="82"/>
      <c r="B31" s="142"/>
      <c r="C31" s="143" t="s">
        <v>2</v>
      </c>
      <c r="D31" s="144"/>
      <c r="E31" s="145"/>
      <c r="F31" s="146" t="s">
        <v>339</v>
      </c>
      <c r="G31" s="144" t="s">
        <v>340</v>
      </c>
      <c r="H31" s="144" t="s">
        <v>80</v>
      </c>
      <c r="I31" s="144" t="s">
        <v>240</v>
      </c>
      <c r="J31" s="144">
        <v>1</v>
      </c>
      <c r="K31" s="147">
        <f>L31*0.95</f>
        <v>3505500</v>
      </c>
      <c r="L31" s="147">
        <v>3690000</v>
      </c>
      <c r="M31" s="163">
        <f>J31*K31</f>
        <v>3505500</v>
      </c>
      <c r="N31" s="148">
        <v>0</v>
      </c>
      <c r="O31" s="1365">
        <f t="shared" ref="O31:O34" si="9">J31*L31/(1-N31)</f>
        <v>3690000</v>
      </c>
      <c r="P31" s="1366"/>
      <c r="Q31" s="1482"/>
      <c r="R31" s="1483"/>
      <c r="S31" s="287"/>
    </row>
    <row r="32" spans="1:29" x14ac:dyDescent="0.3">
      <c r="B32" s="149"/>
      <c r="C32" s="150"/>
      <c r="D32" s="150" t="s">
        <v>2</v>
      </c>
      <c r="E32" s="151"/>
      <c r="F32" s="156" t="s">
        <v>315</v>
      </c>
      <c r="G32" s="155" t="s">
        <v>311</v>
      </c>
      <c r="H32" s="155" t="s">
        <v>80</v>
      </c>
      <c r="I32" s="155" t="s">
        <v>430</v>
      </c>
      <c r="J32" s="155">
        <v>4</v>
      </c>
      <c r="K32" s="157">
        <f t="shared" ref="K32:K34" si="10">L32*0.95</f>
        <v>2242000</v>
      </c>
      <c r="L32" s="157">
        <v>2360000</v>
      </c>
      <c r="M32" s="164">
        <f t="shared" ref="M32:M34" si="11">J32*K32</f>
        <v>8968000</v>
      </c>
      <c r="N32" s="158">
        <v>0</v>
      </c>
      <c r="O32" s="1365">
        <f t="shared" si="9"/>
        <v>9440000</v>
      </c>
      <c r="P32" s="1366"/>
      <c r="Q32" s="1330" t="s">
        <v>352</v>
      </c>
      <c r="R32" s="1331"/>
      <c r="S32" s="152"/>
    </row>
    <row r="33" spans="1:29" x14ac:dyDescent="0.3">
      <c r="B33" s="149"/>
      <c r="C33" s="150"/>
      <c r="D33" s="150" t="s">
        <v>2</v>
      </c>
      <c r="E33" s="151"/>
      <c r="F33" s="156" t="s">
        <v>317</v>
      </c>
      <c r="G33" s="155" t="s">
        <v>316</v>
      </c>
      <c r="H33" s="155" t="s">
        <v>80</v>
      </c>
      <c r="I33" s="155" t="s">
        <v>430</v>
      </c>
      <c r="J33" s="155">
        <v>1</v>
      </c>
      <c r="K33" s="157">
        <f t="shared" si="10"/>
        <v>836000</v>
      </c>
      <c r="L33" s="157">
        <v>880000</v>
      </c>
      <c r="M33" s="164">
        <f t="shared" si="11"/>
        <v>836000</v>
      </c>
      <c r="N33" s="158">
        <v>0</v>
      </c>
      <c r="O33" s="1365">
        <f t="shared" si="9"/>
        <v>880000</v>
      </c>
      <c r="P33" s="1366"/>
      <c r="Q33" s="1330"/>
      <c r="R33" s="1331"/>
      <c r="S33" s="204"/>
      <c r="V33" s="70">
        <v>80</v>
      </c>
    </row>
    <row r="34" spans="1:29" s="528" customFormat="1" x14ac:dyDescent="0.3">
      <c r="A34" s="84"/>
      <c r="B34" s="365"/>
      <c r="C34" s="150"/>
      <c r="D34" s="150" t="s">
        <v>2</v>
      </c>
      <c r="E34" s="367"/>
      <c r="F34" s="156" t="s">
        <v>324</v>
      </c>
      <c r="G34" s="155" t="s">
        <v>359</v>
      </c>
      <c r="H34" s="155" t="s">
        <v>80</v>
      </c>
      <c r="I34" s="155" t="s">
        <v>430</v>
      </c>
      <c r="J34" s="186">
        <v>1</v>
      </c>
      <c r="K34" s="55">
        <f t="shared" si="10"/>
        <v>1624500</v>
      </c>
      <c r="L34" s="55">
        <v>1710000</v>
      </c>
      <c r="M34" s="164">
        <f t="shared" si="11"/>
        <v>1624500</v>
      </c>
      <c r="N34" s="158">
        <v>0</v>
      </c>
      <c r="O34" s="1365">
        <f t="shared" si="9"/>
        <v>1710000</v>
      </c>
      <c r="P34" s="1366"/>
      <c r="Q34" s="1330" t="s">
        <v>406</v>
      </c>
      <c r="R34" s="1331"/>
      <c r="S34" s="204"/>
      <c r="T34" s="70"/>
      <c r="U34" s="70" t="s">
        <v>346</v>
      </c>
      <c r="V34" s="70" t="s">
        <v>470</v>
      </c>
      <c r="W34" s="70" t="s">
        <v>347</v>
      </c>
      <c r="X34" s="70" t="s">
        <v>470</v>
      </c>
      <c r="Y34" s="70"/>
      <c r="Z34" s="70"/>
      <c r="AA34" s="70"/>
    </row>
    <row r="35" spans="1:29" s="528" customFormat="1" ht="17.25" thickBot="1" x14ac:dyDescent="0.35">
      <c r="A35" s="84"/>
      <c r="B35" s="365"/>
      <c r="C35" s="366"/>
      <c r="D35" s="366"/>
      <c r="E35" s="367"/>
      <c r="F35" s="156"/>
      <c r="G35" s="155"/>
      <c r="H35" s="155"/>
      <c r="I35" s="155"/>
      <c r="J35" s="186"/>
      <c r="K35" s="199"/>
      <c r="L35" s="55"/>
      <c r="M35" s="164"/>
      <c r="N35" s="158"/>
      <c r="O35" s="421"/>
      <c r="P35" s="422"/>
      <c r="Q35" s="508"/>
      <c r="R35" s="509"/>
      <c r="S35" s="204"/>
      <c r="T35" s="70"/>
      <c r="U35" s="70">
        <v>40</v>
      </c>
      <c r="V35" s="70">
        <v>80</v>
      </c>
      <c r="W35" s="70">
        <f>U35/V35</f>
        <v>0.5</v>
      </c>
      <c r="X35" s="70">
        <v>30</v>
      </c>
      <c r="Y35" s="70"/>
      <c r="Z35" s="70"/>
      <c r="AA35" s="70"/>
      <c r="AB35" s="70"/>
      <c r="AC35" s="70"/>
    </row>
    <row r="36" spans="1:29" s="528" customFormat="1" ht="17.25" thickBot="1" x14ac:dyDescent="0.35">
      <c r="A36" s="84"/>
      <c r="B36" s="122" t="s">
        <v>2</v>
      </c>
      <c r="C36" s="116"/>
      <c r="D36" s="116"/>
      <c r="E36" s="117"/>
      <c r="F36" s="118" t="s">
        <v>267</v>
      </c>
      <c r="G36" s="383"/>
      <c r="H36" s="383"/>
      <c r="I36" s="383"/>
      <c r="J36" s="383"/>
      <c r="K36" s="383"/>
      <c r="L36" s="384"/>
      <c r="M36" s="121"/>
      <c r="N36" s="135"/>
      <c r="O36" s="1447"/>
      <c r="P36" s="1448"/>
      <c r="Q36" s="1572"/>
      <c r="R36" s="1573"/>
      <c r="S36" s="115"/>
      <c r="T36" s="70"/>
      <c r="U36" s="70"/>
      <c r="V36" s="70"/>
      <c r="W36" s="70"/>
      <c r="X36" s="70"/>
      <c r="Y36" s="70"/>
      <c r="Z36" s="70"/>
      <c r="AA36" s="70"/>
      <c r="AB36" s="70"/>
      <c r="AC36" s="70"/>
    </row>
    <row r="37" spans="1:29" s="413" customFormat="1" x14ac:dyDescent="0.3">
      <c r="A37" s="82"/>
      <c r="B37" s="142"/>
      <c r="C37" s="143" t="s">
        <v>2</v>
      </c>
      <c r="D37" s="144"/>
      <c r="E37" s="145"/>
      <c r="F37" s="146" t="s">
        <v>418</v>
      </c>
      <c r="G37" s="144"/>
      <c r="H37" s="182" t="s">
        <v>60</v>
      </c>
      <c r="I37" s="144"/>
      <c r="J37" s="144">
        <v>1</v>
      </c>
      <c r="K37" s="157">
        <v>5000000</v>
      </c>
      <c r="L37" s="157">
        <v>5000000</v>
      </c>
      <c r="M37" s="163">
        <f>J37*K37</f>
        <v>5000000</v>
      </c>
      <c r="N37" s="148">
        <v>0.3</v>
      </c>
      <c r="O37" s="1574">
        <f t="shared" ref="O37:O52" si="12">J37*L37*(1+N37)</f>
        <v>6500000</v>
      </c>
      <c r="P37" s="1575"/>
      <c r="Q37" s="1482"/>
      <c r="R37" s="1483"/>
      <c r="S37" s="287"/>
    </row>
    <row r="38" spans="1:29" s="413" customFormat="1" x14ac:dyDescent="0.3">
      <c r="A38" s="82"/>
      <c r="B38" s="149"/>
      <c r="C38" s="150"/>
      <c r="D38" s="155" t="s">
        <v>2</v>
      </c>
      <c r="E38" s="151"/>
      <c r="F38" s="156" t="s">
        <v>247</v>
      </c>
      <c r="G38" s="155" t="s">
        <v>248</v>
      </c>
      <c r="H38" s="155" t="s">
        <v>249</v>
      </c>
      <c r="I38" s="155" t="s">
        <v>249</v>
      </c>
      <c r="J38" s="155">
        <v>1</v>
      </c>
      <c r="K38" s="157">
        <v>500000</v>
      </c>
      <c r="L38" s="157">
        <v>500000</v>
      </c>
      <c r="M38" s="164">
        <f>J38*K38</f>
        <v>500000</v>
      </c>
      <c r="N38" s="158">
        <v>0.3</v>
      </c>
      <c r="O38" s="1365">
        <f t="shared" si="12"/>
        <v>650000</v>
      </c>
      <c r="P38" s="1366"/>
      <c r="Q38" s="508"/>
      <c r="R38" s="509"/>
      <c r="S38" s="152"/>
    </row>
    <row r="39" spans="1:29" s="413" customFormat="1" x14ac:dyDescent="0.3">
      <c r="A39" s="82"/>
      <c r="B39" s="149"/>
      <c r="C39" s="150"/>
      <c r="D39" s="155" t="s">
        <v>2</v>
      </c>
      <c r="E39" s="151"/>
      <c r="F39" s="156" t="s">
        <v>250</v>
      </c>
      <c r="G39" s="155" t="s">
        <v>329</v>
      </c>
      <c r="H39" s="155" t="s">
        <v>330</v>
      </c>
      <c r="I39" s="155" t="s">
        <v>251</v>
      </c>
      <c r="J39" s="155">
        <v>1</v>
      </c>
      <c r="K39" s="157">
        <v>200000</v>
      </c>
      <c r="L39" s="157">
        <v>200000</v>
      </c>
      <c r="M39" s="164">
        <f>J39*K39</f>
        <v>200000</v>
      </c>
      <c r="N39" s="158">
        <v>0.3</v>
      </c>
      <c r="O39" s="1365">
        <f t="shared" si="12"/>
        <v>260000</v>
      </c>
      <c r="P39" s="1366"/>
      <c r="Q39" s="1330"/>
      <c r="R39" s="1331"/>
      <c r="S39" s="152"/>
    </row>
    <row r="40" spans="1:29" s="413" customFormat="1" x14ac:dyDescent="0.3">
      <c r="A40" s="82"/>
      <c r="B40" s="149"/>
      <c r="C40" s="150"/>
      <c r="D40" s="155" t="s">
        <v>2</v>
      </c>
      <c r="E40" s="151"/>
      <c r="F40" s="156" t="s">
        <v>252</v>
      </c>
      <c r="G40" s="155" t="s">
        <v>253</v>
      </c>
      <c r="H40" s="155" t="s">
        <v>254</v>
      </c>
      <c r="I40" s="155" t="s">
        <v>254</v>
      </c>
      <c r="J40" s="186">
        <v>1</v>
      </c>
      <c r="K40" s="387">
        <v>3000000</v>
      </c>
      <c r="L40" s="387">
        <v>3000000</v>
      </c>
      <c r="M40" s="164">
        <f>J40*K40</f>
        <v>3000000</v>
      </c>
      <c r="N40" s="158">
        <v>0.3</v>
      </c>
      <c r="O40" s="1365">
        <f t="shared" si="12"/>
        <v>3900000</v>
      </c>
      <c r="P40" s="1366"/>
      <c r="Q40" s="508"/>
      <c r="R40" s="509"/>
      <c r="S40" s="204"/>
    </row>
    <row r="41" spans="1:29" s="413" customFormat="1" x14ac:dyDescent="0.3">
      <c r="A41" s="82"/>
      <c r="B41" s="149"/>
      <c r="C41" s="150"/>
      <c r="D41" s="155" t="s">
        <v>2</v>
      </c>
      <c r="E41" s="151"/>
      <c r="F41" s="156" t="s">
        <v>245</v>
      </c>
      <c r="G41" s="155" t="s">
        <v>246</v>
      </c>
      <c r="H41" s="155" t="s">
        <v>183</v>
      </c>
      <c r="I41" s="155"/>
      <c r="J41" s="155">
        <v>1</v>
      </c>
      <c r="K41" s="157">
        <v>200000</v>
      </c>
      <c r="L41" s="157">
        <v>200000</v>
      </c>
      <c r="M41" s="164">
        <f t="shared" ref="M41" si="13">J41*K41</f>
        <v>200000</v>
      </c>
      <c r="N41" s="158">
        <v>0.3</v>
      </c>
      <c r="O41" s="1365">
        <f t="shared" si="12"/>
        <v>260000</v>
      </c>
      <c r="P41" s="1366"/>
      <c r="Q41" s="1330"/>
      <c r="R41" s="1331"/>
      <c r="S41" s="152"/>
    </row>
    <row r="42" spans="1:29" s="528" customFormat="1" x14ac:dyDescent="0.3">
      <c r="A42" s="84"/>
      <c r="B42" s="365"/>
      <c r="C42" s="366"/>
      <c r="D42" s="366" t="s">
        <v>2</v>
      </c>
      <c r="E42" s="367"/>
      <c r="F42" s="156" t="s">
        <v>343</v>
      </c>
      <c r="G42" s="155" t="s">
        <v>334</v>
      </c>
      <c r="H42" s="155" t="s">
        <v>328</v>
      </c>
      <c r="I42" s="155"/>
      <c r="J42" s="186">
        <v>1</v>
      </c>
      <c r="K42" s="169">
        <v>450000</v>
      </c>
      <c r="L42" s="169">
        <v>500000</v>
      </c>
      <c r="M42" s="164">
        <f>J42*K42</f>
        <v>450000</v>
      </c>
      <c r="N42" s="158">
        <v>0</v>
      </c>
      <c r="O42" s="1365">
        <f t="shared" si="12"/>
        <v>500000</v>
      </c>
      <c r="P42" s="1366"/>
      <c r="Q42" s="1330" t="s">
        <v>436</v>
      </c>
      <c r="R42" s="1331"/>
      <c r="S42" s="204"/>
      <c r="T42" s="70"/>
      <c r="U42" s="70"/>
      <c r="V42" s="70"/>
      <c r="W42" s="70"/>
      <c r="X42" s="70"/>
      <c r="Y42" s="70"/>
      <c r="Z42" s="70"/>
      <c r="AA42" s="70"/>
    </row>
    <row r="43" spans="1:29" s="413" customFormat="1" x14ac:dyDescent="0.3">
      <c r="A43" s="82"/>
      <c r="B43" s="181"/>
      <c r="C43" s="366" t="s">
        <v>2</v>
      </c>
      <c r="D43" s="366"/>
      <c r="E43" s="183"/>
      <c r="F43" s="388" t="s">
        <v>268</v>
      </c>
      <c r="G43" s="182"/>
      <c r="H43" s="182"/>
      <c r="I43" s="155"/>
      <c r="J43" s="155">
        <v>1</v>
      </c>
      <c r="K43" s="157"/>
      <c r="L43" s="157"/>
      <c r="M43" s="164">
        <f t="shared" ref="M43:M46" si="14">J43*K43</f>
        <v>0</v>
      </c>
      <c r="N43" s="158">
        <v>0.3</v>
      </c>
      <c r="O43" s="421">
        <f t="shared" si="12"/>
        <v>0</v>
      </c>
      <c r="P43" s="422"/>
      <c r="Q43" s="508"/>
      <c r="R43" s="509"/>
      <c r="S43" s="152"/>
    </row>
    <row r="44" spans="1:29" s="528" customFormat="1" x14ac:dyDescent="0.3">
      <c r="A44" s="84"/>
      <c r="B44" s="181"/>
      <c r="C44" s="182"/>
      <c r="D44" s="182" t="s">
        <v>2</v>
      </c>
      <c r="E44" s="183"/>
      <c r="F44" s="388" t="s">
        <v>284</v>
      </c>
      <c r="G44" s="182"/>
      <c r="H44" s="182" t="s">
        <v>60</v>
      </c>
      <c r="I44" s="155"/>
      <c r="J44" s="155">
        <v>1</v>
      </c>
      <c r="K44" s="157">
        <v>1000000</v>
      </c>
      <c r="L44" s="157">
        <v>1000000</v>
      </c>
      <c r="M44" s="164">
        <f>J44*K44</f>
        <v>1000000</v>
      </c>
      <c r="N44" s="158">
        <v>0.3</v>
      </c>
      <c r="O44" s="1365">
        <f t="shared" si="12"/>
        <v>1300000</v>
      </c>
      <c r="P44" s="1366"/>
      <c r="Q44" s="508"/>
      <c r="R44" s="509"/>
      <c r="S44" s="152"/>
      <c r="T44" s="70"/>
      <c r="U44" s="70"/>
      <c r="V44" s="70"/>
      <c r="W44" s="70"/>
      <c r="X44" s="70"/>
      <c r="Y44" s="70"/>
      <c r="Z44" s="70"/>
      <c r="AA44" s="70"/>
    </row>
    <row r="45" spans="1:29" s="413" customFormat="1" x14ac:dyDescent="0.3">
      <c r="A45" s="82"/>
      <c r="B45" s="181"/>
      <c r="C45" s="182"/>
      <c r="D45" s="366" t="s">
        <v>2</v>
      </c>
      <c r="E45" s="183"/>
      <c r="F45" s="388" t="s">
        <v>269</v>
      </c>
      <c r="G45" s="182" t="s">
        <v>270</v>
      </c>
      <c r="H45" s="182" t="s">
        <v>271</v>
      </c>
      <c r="I45" s="155"/>
      <c r="J45" s="155">
        <f>2*6*2</f>
        <v>24</v>
      </c>
      <c r="K45" s="157">
        <v>120000</v>
      </c>
      <c r="L45" s="157">
        <v>120000</v>
      </c>
      <c r="M45" s="164">
        <f t="shared" si="14"/>
        <v>2880000</v>
      </c>
      <c r="N45" s="158">
        <v>0.3</v>
      </c>
      <c r="O45" s="1365">
        <f t="shared" si="12"/>
        <v>3744000</v>
      </c>
      <c r="P45" s="1366"/>
      <c r="Q45" s="508"/>
      <c r="R45" s="509"/>
      <c r="S45" s="152"/>
    </row>
    <row r="46" spans="1:29" s="413" customFormat="1" x14ac:dyDescent="0.3">
      <c r="A46" s="82"/>
      <c r="B46" s="181"/>
      <c r="C46" s="182"/>
      <c r="D46" s="366" t="s">
        <v>2</v>
      </c>
      <c r="E46" s="183"/>
      <c r="F46" s="388" t="s">
        <v>272</v>
      </c>
      <c r="G46" s="366" t="s">
        <v>286</v>
      </c>
      <c r="H46" s="366" t="s">
        <v>287</v>
      </c>
      <c r="I46" s="155"/>
      <c r="J46" s="155">
        <v>1</v>
      </c>
      <c r="K46" s="157">
        <v>230000</v>
      </c>
      <c r="L46" s="157">
        <v>230000</v>
      </c>
      <c r="M46" s="164">
        <f t="shared" si="14"/>
        <v>230000</v>
      </c>
      <c r="N46" s="158">
        <v>0.3</v>
      </c>
      <c r="O46" s="1365">
        <f t="shared" si="12"/>
        <v>299000</v>
      </c>
      <c r="P46" s="1366"/>
      <c r="Q46" s="1330" t="s">
        <v>363</v>
      </c>
      <c r="R46" s="1331"/>
      <c r="S46" s="152"/>
    </row>
    <row r="47" spans="1:29" s="413" customFormat="1" x14ac:dyDescent="0.3">
      <c r="A47" s="82"/>
      <c r="B47" s="181"/>
      <c r="C47" s="182"/>
      <c r="D47" s="366" t="s">
        <v>2</v>
      </c>
      <c r="E47" s="183"/>
      <c r="F47" s="389" t="s">
        <v>355</v>
      </c>
      <c r="G47" s="366" t="s">
        <v>285</v>
      </c>
      <c r="H47" s="366" t="s">
        <v>277</v>
      </c>
      <c r="I47" s="155"/>
      <c r="J47" s="155">
        <v>1</v>
      </c>
      <c r="K47" s="157">
        <v>70000</v>
      </c>
      <c r="L47" s="157">
        <v>70000</v>
      </c>
      <c r="M47" s="164">
        <f>J47*K47</f>
        <v>70000</v>
      </c>
      <c r="N47" s="158">
        <v>0.3</v>
      </c>
      <c r="O47" s="1365">
        <f t="shared" si="12"/>
        <v>91000</v>
      </c>
      <c r="P47" s="1366"/>
      <c r="Q47" s="1330" t="s">
        <v>362</v>
      </c>
      <c r="R47" s="1331"/>
      <c r="S47" s="152"/>
    </row>
    <row r="48" spans="1:29" s="413" customFormat="1" x14ac:dyDescent="0.3">
      <c r="A48" s="82"/>
      <c r="B48" s="181"/>
      <c r="C48" s="182"/>
      <c r="D48" s="366" t="s">
        <v>2</v>
      </c>
      <c r="E48" s="183"/>
      <c r="F48" s="388" t="s">
        <v>413</v>
      </c>
      <c r="G48" s="366" t="s">
        <v>412</v>
      </c>
      <c r="H48" s="366" t="s">
        <v>415</v>
      </c>
      <c r="I48" s="155"/>
      <c r="J48" s="155">
        <v>1</v>
      </c>
      <c r="K48" s="157">
        <v>380000</v>
      </c>
      <c r="L48" s="157">
        <v>400000</v>
      </c>
      <c r="M48" s="164">
        <f t="shared" ref="M48:M49" si="15">J48*K48</f>
        <v>380000</v>
      </c>
      <c r="N48" s="158">
        <v>0.3</v>
      </c>
      <c r="O48" s="1365">
        <f t="shared" si="12"/>
        <v>520000</v>
      </c>
      <c r="P48" s="1366"/>
      <c r="Q48" s="1330" t="s">
        <v>308</v>
      </c>
      <c r="R48" s="1331"/>
      <c r="S48" s="152"/>
    </row>
    <row r="49" spans="1:29" s="413" customFormat="1" x14ac:dyDescent="0.3">
      <c r="A49" s="82"/>
      <c r="B49" s="181"/>
      <c r="C49" s="182"/>
      <c r="D49" s="366" t="s">
        <v>2</v>
      </c>
      <c r="E49" s="183"/>
      <c r="F49" s="388" t="s">
        <v>414</v>
      </c>
      <c r="G49" s="366" t="s">
        <v>411</v>
      </c>
      <c r="H49" s="366" t="s">
        <v>415</v>
      </c>
      <c r="I49" s="155"/>
      <c r="J49" s="155">
        <v>1</v>
      </c>
      <c r="K49" s="157">
        <v>440000</v>
      </c>
      <c r="L49" s="157">
        <v>500000</v>
      </c>
      <c r="M49" s="164">
        <f t="shared" si="15"/>
        <v>440000</v>
      </c>
      <c r="N49" s="158">
        <v>0.3</v>
      </c>
      <c r="O49" s="1365">
        <f t="shared" si="12"/>
        <v>650000</v>
      </c>
      <c r="P49" s="1366"/>
      <c r="Q49" s="1330" t="s">
        <v>309</v>
      </c>
      <c r="R49" s="1331"/>
      <c r="S49" s="152"/>
    </row>
    <row r="50" spans="1:29" s="413" customFormat="1" x14ac:dyDescent="0.3">
      <c r="A50" s="82"/>
      <c r="B50" s="181"/>
      <c r="C50" s="182"/>
      <c r="D50" s="182" t="s">
        <v>2</v>
      </c>
      <c r="E50" s="183"/>
      <c r="F50" s="388" t="s">
        <v>357</v>
      </c>
      <c r="G50" s="366" t="s">
        <v>285</v>
      </c>
      <c r="H50" s="182" t="s">
        <v>277</v>
      </c>
      <c r="I50" s="155"/>
      <c r="J50" s="155">
        <v>1</v>
      </c>
      <c r="K50" s="157">
        <v>70000</v>
      </c>
      <c r="L50" s="157">
        <v>70000</v>
      </c>
      <c r="M50" s="157">
        <v>70000</v>
      </c>
      <c r="N50" s="158">
        <v>0.3</v>
      </c>
      <c r="O50" s="1365">
        <f t="shared" si="12"/>
        <v>91000</v>
      </c>
      <c r="P50" s="1366"/>
      <c r="Q50" s="1330" t="s">
        <v>361</v>
      </c>
      <c r="R50" s="1331"/>
      <c r="S50" s="152"/>
    </row>
    <row r="51" spans="1:29" s="413" customFormat="1" x14ac:dyDescent="0.3">
      <c r="A51" s="82"/>
      <c r="B51" s="181"/>
      <c r="C51" s="182"/>
      <c r="D51" s="182" t="s">
        <v>2</v>
      </c>
      <c r="E51" s="183"/>
      <c r="F51" s="388" t="s">
        <v>471</v>
      </c>
      <c r="G51" s="366"/>
      <c r="H51" s="182"/>
      <c r="I51" s="155"/>
      <c r="J51" s="155">
        <v>6</v>
      </c>
      <c r="K51" s="157">
        <v>20000</v>
      </c>
      <c r="L51" s="157">
        <v>20000</v>
      </c>
      <c r="M51" s="157">
        <f t="shared" ref="M51" si="16">J51*K51</f>
        <v>120000</v>
      </c>
      <c r="N51" s="158">
        <v>0.3</v>
      </c>
      <c r="O51" s="1365">
        <f t="shared" ref="O51" si="17">J51*L51*(1+N51)</f>
        <v>156000</v>
      </c>
      <c r="P51" s="1366"/>
      <c r="Q51" s="1330" t="s">
        <v>472</v>
      </c>
      <c r="R51" s="1331"/>
      <c r="S51" s="152"/>
      <c r="T51" s="413">
        <v>6</v>
      </c>
    </row>
    <row r="52" spans="1:29" s="413" customFormat="1" x14ac:dyDescent="0.3">
      <c r="A52" s="82"/>
      <c r="B52" s="181"/>
      <c r="C52" s="182" t="s">
        <v>2</v>
      </c>
      <c r="D52" s="366"/>
      <c r="E52" s="183"/>
      <c r="F52" s="388" t="s">
        <v>419</v>
      </c>
      <c r="G52" s="182"/>
      <c r="H52" s="182" t="s">
        <v>60</v>
      </c>
      <c r="I52" s="155"/>
      <c r="J52" s="155">
        <v>1</v>
      </c>
      <c r="K52" s="157">
        <v>3000000</v>
      </c>
      <c r="L52" s="157">
        <v>3000000</v>
      </c>
      <c r="M52" s="164">
        <f>J52*K52</f>
        <v>3000000</v>
      </c>
      <c r="N52" s="158">
        <v>0.3</v>
      </c>
      <c r="O52" s="1365">
        <f t="shared" si="12"/>
        <v>3900000</v>
      </c>
      <c r="P52" s="1366"/>
      <c r="Q52" s="508"/>
      <c r="R52" s="509"/>
      <c r="S52" s="152"/>
    </row>
    <row r="53" spans="1:29" s="528" customFormat="1" ht="17.25" thickBot="1" x14ac:dyDescent="0.35">
      <c r="A53" s="84"/>
      <c r="B53" s="365"/>
      <c r="C53" s="366"/>
      <c r="D53" s="366"/>
      <c r="E53" s="367"/>
      <c r="F53" s="156"/>
      <c r="G53" s="155"/>
      <c r="H53" s="155"/>
      <c r="I53" s="155"/>
      <c r="J53" s="186"/>
      <c r="K53" s="199"/>
      <c r="L53" s="55"/>
      <c r="M53" s="164"/>
      <c r="N53" s="158"/>
      <c r="O53" s="421"/>
      <c r="P53" s="422"/>
      <c r="Q53" s="508"/>
      <c r="R53" s="509"/>
      <c r="S53" s="204"/>
      <c r="T53" s="70"/>
      <c r="U53" s="70"/>
      <c r="V53" s="70"/>
      <c r="W53" s="70"/>
      <c r="X53" s="70"/>
      <c r="Y53" s="70"/>
      <c r="Z53" s="70"/>
      <c r="AA53" s="70"/>
      <c r="AB53" s="70"/>
      <c r="AC53" s="70"/>
    </row>
    <row r="54" spans="1:29" s="413" customFormat="1" ht="18" thickBot="1" x14ac:dyDescent="0.35">
      <c r="A54" s="82"/>
      <c r="B54" s="1338" t="s">
        <v>53</v>
      </c>
      <c r="C54" s="1339"/>
      <c r="D54" s="1339"/>
      <c r="E54" s="1339"/>
      <c r="F54" s="1339"/>
      <c r="G54" s="1339"/>
      <c r="H54" s="1339"/>
      <c r="I54" s="1339"/>
      <c r="J54" s="1339"/>
      <c r="K54" s="1339"/>
      <c r="L54" s="1340"/>
      <c r="M54" s="123">
        <f>SUM(M5:M53)</f>
        <v>118552689.098</v>
      </c>
      <c r="N54" s="136"/>
      <c r="O54" s="1341">
        <f>SUM(O5:P53)</f>
        <v>165875000</v>
      </c>
      <c r="P54" s="1342"/>
      <c r="Q54" s="1343"/>
      <c r="R54" s="1344"/>
      <c r="S54" s="130"/>
      <c r="T54" s="70"/>
      <c r="U54" s="70"/>
      <c r="V54" s="70"/>
      <c r="W54" s="70"/>
      <c r="X54" s="70"/>
      <c r="Y54" s="70"/>
      <c r="Z54" s="70"/>
      <c r="AA54" s="70"/>
      <c r="AB54" s="70"/>
      <c r="AC54" s="70"/>
    </row>
    <row r="55" spans="1:29" s="528" customFormat="1" ht="17.25" thickBot="1" x14ac:dyDescent="0.35">
      <c r="A55" s="84"/>
      <c r="B55" s="122" t="s">
        <v>2</v>
      </c>
      <c r="C55" s="116"/>
      <c r="D55" s="116"/>
      <c r="E55" s="117"/>
      <c r="F55" s="118" t="s">
        <v>321</v>
      </c>
      <c r="G55" s="119"/>
      <c r="H55" s="119"/>
      <c r="I55" s="119"/>
      <c r="J55" s="119"/>
      <c r="K55" s="119"/>
      <c r="L55" s="120"/>
      <c r="M55" s="121"/>
      <c r="N55" s="135"/>
      <c r="O55" s="1447"/>
      <c r="P55" s="1448"/>
      <c r="Q55" s="1326"/>
      <c r="R55" s="1327"/>
      <c r="S55" s="115"/>
      <c r="T55" s="70"/>
      <c r="U55" s="70"/>
      <c r="V55" s="70"/>
      <c r="W55" s="70"/>
      <c r="X55" s="70"/>
      <c r="Y55" s="70"/>
      <c r="Z55" s="70"/>
      <c r="AA55" s="70"/>
    </row>
    <row r="56" spans="1:29" s="528" customFormat="1" x14ac:dyDescent="0.3">
      <c r="A56" s="84"/>
      <c r="B56" s="131"/>
      <c r="C56" s="132" t="s">
        <v>73</v>
      </c>
      <c r="D56" s="133"/>
      <c r="E56" s="165"/>
      <c r="F56" s="227" t="s">
        <v>319</v>
      </c>
      <c r="G56" s="222" t="s">
        <v>94</v>
      </c>
      <c r="H56" s="222" t="s">
        <v>130</v>
      </c>
      <c r="I56" s="222" t="s">
        <v>131</v>
      </c>
      <c r="J56" s="371">
        <v>10</v>
      </c>
      <c r="K56" s="55">
        <v>307000</v>
      </c>
      <c r="L56" s="55">
        <v>307000</v>
      </c>
      <c r="M56" s="230">
        <f t="shared" ref="M56:M57" si="18">J56*K56</f>
        <v>3070000</v>
      </c>
      <c r="N56" s="148"/>
      <c r="O56" s="1365">
        <f t="shared" ref="O56:O57" si="19">L56*J56</f>
        <v>3070000</v>
      </c>
      <c r="P56" s="1366"/>
      <c r="Q56" s="1492"/>
      <c r="R56" s="1493"/>
      <c r="S56" s="207"/>
      <c r="T56" s="70"/>
      <c r="U56" s="70"/>
      <c r="V56" s="70"/>
      <c r="W56" s="70"/>
      <c r="X56" s="70"/>
      <c r="Y56" s="70"/>
      <c r="Z56" s="70"/>
      <c r="AA56" s="70"/>
    </row>
    <row r="57" spans="1:29" s="528" customFormat="1" x14ac:dyDescent="0.3">
      <c r="A57" s="84"/>
      <c r="B57" s="208"/>
      <c r="C57" s="209" t="s">
        <v>73</v>
      </c>
      <c r="D57" s="210"/>
      <c r="E57" s="211"/>
      <c r="F57" s="228" t="s">
        <v>320</v>
      </c>
      <c r="G57" s="223" t="s">
        <v>94</v>
      </c>
      <c r="H57" s="223" t="s">
        <v>130</v>
      </c>
      <c r="I57" s="223" t="s">
        <v>131</v>
      </c>
      <c r="J57" s="372">
        <v>35</v>
      </c>
      <c r="K57" s="55">
        <v>307000</v>
      </c>
      <c r="L57" s="55">
        <v>307000</v>
      </c>
      <c r="M57" s="231">
        <f t="shared" si="18"/>
        <v>10745000</v>
      </c>
      <c r="N57" s="158"/>
      <c r="O57" s="1365">
        <f t="shared" si="19"/>
        <v>10745000</v>
      </c>
      <c r="P57" s="1366"/>
      <c r="Q57" s="1494"/>
      <c r="R57" s="1495"/>
      <c r="S57" s="212"/>
      <c r="T57" s="70"/>
      <c r="U57" s="70"/>
      <c r="V57" s="70"/>
      <c r="W57" s="70"/>
      <c r="X57" s="70"/>
      <c r="Y57" s="70"/>
      <c r="Z57" s="70"/>
      <c r="AA57" s="70"/>
    </row>
    <row r="58" spans="1:29" s="528" customFormat="1" ht="17.25" thickBot="1" x14ac:dyDescent="0.35">
      <c r="A58" s="84"/>
      <c r="B58" s="213"/>
      <c r="C58" s="214"/>
      <c r="D58" s="215"/>
      <c r="E58" s="216"/>
      <c r="F58" s="229"/>
      <c r="G58" s="224"/>
      <c r="H58" s="224"/>
      <c r="I58" s="224"/>
      <c r="J58" s="373"/>
      <c r="K58" s="225"/>
      <c r="L58" s="225"/>
      <c r="M58" s="226"/>
      <c r="N58" s="162"/>
      <c r="O58" s="1365">
        <f t="shared" ref="O58" si="20">L58</f>
        <v>0</v>
      </c>
      <c r="P58" s="1366"/>
      <c r="Q58" s="1453"/>
      <c r="R58" s="1454"/>
      <c r="S58" s="217"/>
      <c r="T58" s="70"/>
      <c r="U58" s="70"/>
      <c r="V58" s="70"/>
      <c r="W58" s="70"/>
      <c r="X58" s="70"/>
      <c r="Y58" s="70"/>
      <c r="Z58" s="70"/>
      <c r="AA58" s="70"/>
    </row>
    <row r="59" spans="1:29" s="528" customFormat="1" ht="17.25" thickBot="1" x14ac:dyDescent="0.35">
      <c r="A59" s="84"/>
      <c r="B59" s="122" t="s">
        <v>2</v>
      </c>
      <c r="C59" s="116"/>
      <c r="D59" s="116"/>
      <c r="E59" s="117"/>
      <c r="F59" s="218" t="s">
        <v>243</v>
      </c>
      <c r="G59" s="219"/>
      <c r="H59" s="219"/>
      <c r="I59" s="219"/>
      <c r="J59" s="219"/>
      <c r="K59" s="220"/>
      <c r="L59" s="220"/>
      <c r="M59" s="221"/>
      <c r="N59" s="135"/>
      <c r="O59" s="1447"/>
      <c r="P59" s="1448"/>
      <c r="Q59" s="1447"/>
      <c r="R59" s="1448"/>
      <c r="S59" s="115"/>
      <c r="T59" s="70"/>
      <c r="U59" s="70"/>
      <c r="V59" s="70"/>
      <c r="W59" s="70"/>
      <c r="X59" s="70"/>
      <c r="Y59" s="70"/>
      <c r="Z59" s="70"/>
      <c r="AA59" s="70"/>
      <c r="AB59" s="70"/>
      <c r="AC59" s="70"/>
    </row>
    <row r="60" spans="1:29" x14ac:dyDescent="0.3">
      <c r="B60" s="64"/>
      <c r="C60" s="65" t="s">
        <v>2</v>
      </c>
      <c r="D60" s="65"/>
      <c r="E60" s="66"/>
      <c r="F60" s="88" t="s">
        <v>7</v>
      </c>
      <c r="G60" s="85"/>
      <c r="H60" s="223" t="s">
        <v>130</v>
      </c>
      <c r="I60" s="223" t="s">
        <v>131</v>
      </c>
      <c r="J60" s="80">
        <v>5</v>
      </c>
      <c r="K60" s="55">
        <v>307000</v>
      </c>
      <c r="L60" s="55">
        <v>307000</v>
      </c>
      <c r="M60" s="112">
        <f>K60*J60</f>
        <v>1535000</v>
      </c>
      <c r="N60" s="137"/>
      <c r="O60" s="1365">
        <f t="shared" ref="O60:O66" si="21">L60*J60</f>
        <v>1535000</v>
      </c>
      <c r="P60" s="1366"/>
      <c r="Q60" s="1359" t="s">
        <v>62</v>
      </c>
      <c r="R60" s="1360"/>
      <c r="S60" s="94"/>
    </row>
    <row r="61" spans="1:29" x14ac:dyDescent="0.3">
      <c r="B61" s="62"/>
      <c r="C61" s="63" t="s">
        <v>2</v>
      </c>
      <c r="D61" s="63"/>
      <c r="E61" s="61"/>
      <c r="F61" s="89" t="s">
        <v>11</v>
      </c>
      <c r="G61" s="86"/>
      <c r="H61" s="223" t="s">
        <v>130</v>
      </c>
      <c r="I61" s="223" t="s">
        <v>131</v>
      </c>
      <c r="J61" s="56">
        <v>3</v>
      </c>
      <c r="K61" s="55">
        <v>307000</v>
      </c>
      <c r="L61" s="55">
        <v>307000</v>
      </c>
      <c r="M61" s="113">
        <f t="shared" ref="M61:M66" si="22">K61*J61</f>
        <v>921000</v>
      </c>
      <c r="N61" s="138"/>
      <c r="O61" s="1365">
        <f t="shared" si="21"/>
        <v>921000</v>
      </c>
      <c r="P61" s="1366"/>
      <c r="Q61" s="1361"/>
      <c r="R61" s="1362"/>
      <c r="S61" s="95"/>
    </row>
    <row r="62" spans="1:29" x14ac:dyDescent="0.3">
      <c r="B62" s="62"/>
      <c r="C62" s="63" t="s">
        <v>2</v>
      </c>
      <c r="D62" s="63"/>
      <c r="E62" s="61"/>
      <c r="F62" s="89" t="s">
        <v>41</v>
      </c>
      <c r="G62" s="86"/>
      <c r="H62" s="223" t="s">
        <v>130</v>
      </c>
      <c r="I62" s="223" t="s">
        <v>131</v>
      </c>
      <c r="J62" s="56">
        <v>5</v>
      </c>
      <c r="K62" s="55">
        <v>307000</v>
      </c>
      <c r="L62" s="55">
        <v>307000</v>
      </c>
      <c r="M62" s="113">
        <f t="shared" si="22"/>
        <v>1535000</v>
      </c>
      <c r="N62" s="138"/>
      <c r="O62" s="1365">
        <f t="shared" si="21"/>
        <v>1535000</v>
      </c>
      <c r="P62" s="1366"/>
      <c r="Q62" s="1361"/>
      <c r="R62" s="1362"/>
      <c r="S62" s="95"/>
    </row>
    <row r="63" spans="1:29" x14ac:dyDescent="0.3">
      <c r="B63" s="62"/>
      <c r="C63" s="63" t="s">
        <v>2</v>
      </c>
      <c r="D63" s="63"/>
      <c r="E63" s="61"/>
      <c r="F63" s="89" t="s">
        <v>10</v>
      </c>
      <c r="G63" s="86"/>
      <c r="H63" s="223" t="s">
        <v>130</v>
      </c>
      <c r="I63" s="223" t="s">
        <v>131</v>
      </c>
      <c r="J63" s="56">
        <v>3</v>
      </c>
      <c r="K63" s="55">
        <v>307000</v>
      </c>
      <c r="L63" s="55">
        <v>307000</v>
      </c>
      <c r="M63" s="113">
        <f t="shared" si="22"/>
        <v>921000</v>
      </c>
      <c r="N63" s="138"/>
      <c r="O63" s="1365">
        <f t="shared" si="21"/>
        <v>921000</v>
      </c>
      <c r="P63" s="1366"/>
      <c r="Q63" s="1361"/>
      <c r="R63" s="1362"/>
      <c r="S63" s="95"/>
    </row>
    <row r="64" spans="1:29" x14ac:dyDescent="0.3">
      <c r="B64" s="62"/>
      <c r="C64" s="63" t="s">
        <v>2</v>
      </c>
      <c r="D64" s="63"/>
      <c r="E64" s="61"/>
      <c r="F64" s="89" t="s">
        <v>61</v>
      </c>
      <c r="G64" s="86"/>
      <c r="H64" s="223" t="s">
        <v>130</v>
      </c>
      <c r="I64" s="223" t="s">
        <v>131</v>
      </c>
      <c r="J64" s="56">
        <v>2</v>
      </c>
      <c r="K64" s="55">
        <v>307000</v>
      </c>
      <c r="L64" s="55">
        <v>307000</v>
      </c>
      <c r="M64" s="113">
        <f t="shared" si="22"/>
        <v>614000</v>
      </c>
      <c r="N64" s="138"/>
      <c r="O64" s="1365">
        <f t="shared" si="21"/>
        <v>614000</v>
      </c>
      <c r="P64" s="1366"/>
      <c r="Q64" s="1361"/>
      <c r="R64" s="1362"/>
      <c r="S64" s="95"/>
    </row>
    <row r="65" spans="1:29" x14ac:dyDescent="0.3">
      <c r="B65" s="67"/>
      <c r="C65" s="63" t="s">
        <v>2</v>
      </c>
      <c r="D65" s="68"/>
      <c r="E65" s="69"/>
      <c r="F65" s="90" t="s">
        <v>9</v>
      </c>
      <c r="G65" s="86"/>
      <c r="H65" s="223" t="s">
        <v>130</v>
      </c>
      <c r="I65" s="223" t="s">
        <v>131</v>
      </c>
      <c r="J65" s="56">
        <v>5</v>
      </c>
      <c r="K65" s="55">
        <v>307000</v>
      </c>
      <c r="L65" s="55">
        <v>307000</v>
      </c>
      <c r="M65" s="113">
        <f t="shared" si="22"/>
        <v>1535000</v>
      </c>
      <c r="N65" s="138"/>
      <c r="O65" s="1365">
        <f t="shared" si="21"/>
        <v>1535000</v>
      </c>
      <c r="P65" s="1366"/>
      <c r="Q65" s="1361"/>
      <c r="R65" s="1362"/>
      <c r="S65" s="95"/>
    </row>
    <row r="66" spans="1:29" ht="17.25" thickBot="1" x14ac:dyDescent="0.35">
      <c r="B66" s="57"/>
      <c r="C66" s="58" t="s">
        <v>2</v>
      </c>
      <c r="D66" s="58"/>
      <c r="E66" s="60"/>
      <c r="F66" s="91" t="s">
        <v>8</v>
      </c>
      <c r="G66" s="87"/>
      <c r="H66" s="223" t="s">
        <v>130</v>
      </c>
      <c r="I66" s="223" t="s">
        <v>131</v>
      </c>
      <c r="J66" s="59">
        <v>2</v>
      </c>
      <c r="K66" s="55">
        <v>307000</v>
      </c>
      <c r="L66" s="55">
        <v>307000</v>
      </c>
      <c r="M66" s="114">
        <f t="shared" si="22"/>
        <v>614000</v>
      </c>
      <c r="N66" s="139"/>
      <c r="O66" s="1365">
        <f t="shared" si="21"/>
        <v>614000</v>
      </c>
      <c r="P66" s="1366"/>
      <c r="Q66" s="1363"/>
      <c r="R66" s="1364"/>
      <c r="S66" s="96"/>
    </row>
    <row r="67" spans="1:29" ht="18" thickBot="1" x14ac:dyDescent="0.35">
      <c r="B67" s="1345" t="s">
        <v>46</v>
      </c>
      <c r="C67" s="1346"/>
      <c r="D67" s="1346"/>
      <c r="E67" s="1346"/>
      <c r="F67" s="1346"/>
      <c r="G67" s="1346"/>
      <c r="H67" s="1346"/>
      <c r="I67" s="1346"/>
      <c r="J67" s="1346"/>
      <c r="K67" s="1346"/>
      <c r="L67" s="1347"/>
      <c r="M67" s="124">
        <f>SUM(M55:M66)</f>
        <v>21490000</v>
      </c>
      <c r="N67" s="140"/>
      <c r="O67" s="1348">
        <f>SUM(O55:P66)</f>
        <v>21490000</v>
      </c>
      <c r="P67" s="1349"/>
      <c r="Q67" s="1350"/>
      <c r="R67" s="1350"/>
      <c r="S67" s="1351"/>
    </row>
    <row r="68" spans="1:29" ht="20.25" thickBot="1" x14ac:dyDescent="0.35">
      <c r="B68" s="1352" t="s">
        <v>52</v>
      </c>
      <c r="C68" s="1353"/>
      <c r="D68" s="1353"/>
      <c r="E68" s="1353"/>
      <c r="F68" s="1353"/>
      <c r="G68" s="1353"/>
      <c r="H68" s="1353"/>
      <c r="I68" s="1353"/>
      <c r="J68" s="1353"/>
      <c r="K68" s="1353"/>
      <c r="L68" s="1353"/>
      <c r="M68" s="125"/>
      <c r="N68" s="134">
        <v>0.03</v>
      </c>
      <c r="O68" s="1354">
        <f>ROUNDDOWN(O54*N68,-3)</f>
        <v>4976000</v>
      </c>
      <c r="P68" s="1355"/>
      <c r="Q68" s="1356"/>
      <c r="R68" s="1357"/>
      <c r="S68" s="1358"/>
      <c r="T68" s="529"/>
      <c r="U68" s="529"/>
      <c r="V68" s="529"/>
      <c r="W68" s="529"/>
      <c r="X68" s="529"/>
      <c r="Y68" s="529"/>
      <c r="Z68" s="529"/>
      <c r="AA68" s="529"/>
      <c r="AB68" s="529"/>
      <c r="AC68" s="529"/>
    </row>
    <row r="69" spans="1:29" ht="20.25" thickBot="1" x14ac:dyDescent="0.35">
      <c r="B69" s="1352" t="s">
        <v>54</v>
      </c>
      <c r="C69" s="1353"/>
      <c r="D69" s="1353"/>
      <c r="E69" s="1353"/>
      <c r="F69" s="1353"/>
      <c r="G69" s="1353"/>
      <c r="H69" s="1353"/>
      <c r="I69" s="1353"/>
      <c r="J69" s="1353"/>
      <c r="K69" s="1353"/>
      <c r="L69" s="1353"/>
      <c r="M69" s="127"/>
      <c r="N69" s="128"/>
      <c r="O69" s="1354">
        <f>SUM(O68,O67,O54)</f>
        <v>192341000</v>
      </c>
      <c r="P69" s="1355"/>
      <c r="Q69" s="1374"/>
      <c r="R69" s="1375"/>
      <c r="S69" s="1376"/>
      <c r="T69" s="529"/>
      <c r="U69" s="529"/>
      <c r="V69" s="529"/>
      <c r="W69" s="529"/>
      <c r="X69" s="529"/>
      <c r="Y69" s="529"/>
      <c r="Z69" s="529"/>
      <c r="AA69" s="529"/>
      <c r="AB69" s="529"/>
      <c r="AC69" s="529"/>
    </row>
    <row r="70" spans="1:29" ht="20.25" thickBot="1" x14ac:dyDescent="0.35">
      <c r="B70" s="1352" t="s">
        <v>51</v>
      </c>
      <c r="C70" s="1353"/>
      <c r="D70" s="1353"/>
      <c r="E70" s="1353"/>
      <c r="F70" s="1353"/>
      <c r="G70" s="1353"/>
      <c r="H70" s="1353"/>
      <c r="I70" s="1353"/>
      <c r="J70" s="1353"/>
      <c r="K70" s="1353"/>
      <c r="L70" s="1353"/>
      <c r="M70" s="129"/>
      <c r="N70" s="126">
        <v>0.1</v>
      </c>
      <c r="O70" s="1381">
        <f>ROUNDDOWN(O69*N70,-3)</f>
        <v>19234000</v>
      </c>
      <c r="P70" s="1382"/>
      <c r="Q70" s="1383"/>
      <c r="R70" s="1384"/>
      <c r="S70" s="1385"/>
      <c r="T70" s="529"/>
      <c r="U70" s="529"/>
      <c r="V70" s="529"/>
      <c r="W70" s="529"/>
      <c r="X70" s="529"/>
      <c r="Y70" s="529"/>
      <c r="Z70" s="529"/>
      <c r="AA70" s="529"/>
      <c r="AB70" s="529"/>
      <c r="AC70" s="529"/>
    </row>
    <row r="71" spans="1:29" ht="21" thickBot="1" x14ac:dyDescent="0.35">
      <c r="B71" s="1367" t="s">
        <v>44</v>
      </c>
      <c r="C71" s="1368"/>
      <c r="D71" s="1368"/>
      <c r="E71" s="1368"/>
      <c r="F71" s="1368"/>
      <c r="G71" s="1368"/>
      <c r="H71" s="1368"/>
      <c r="I71" s="1368"/>
      <c r="J71" s="1368"/>
      <c r="K71" s="1368"/>
      <c r="L71" s="1368"/>
      <c r="M71" s="92"/>
      <c r="N71" s="111"/>
      <c r="O71" s="1369">
        <f>ROUNDDOWN(SUM(O69:P70), -6)</f>
        <v>211000000</v>
      </c>
      <c r="P71" s="1370"/>
      <c r="Q71" s="1371"/>
      <c r="R71" s="1372"/>
      <c r="S71" s="1373"/>
      <c r="T71" s="529"/>
      <c r="U71" s="529"/>
      <c r="V71" s="529"/>
      <c r="W71" s="529"/>
      <c r="X71" s="529"/>
      <c r="Y71" s="529"/>
      <c r="Z71" s="529"/>
      <c r="AA71" s="529"/>
      <c r="AB71" s="529"/>
      <c r="AC71" s="529"/>
    </row>
    <row r="72" spans="1:29" ht="21" thickBot="1" x14ac:dyDescent="0.35">
      <c r="B72" s="104"/>
      <c r="C72" s="104"/>
      <c r="D72" s="104"/>
      <c r="E72" s="104"/>
      <c r="F72" s="105"/>
      <c r="G72" s="105"/>
      <c r="H72" s="105"/>
      <c r="I72" s="105"/>
      <c r="J72" s="105"/>
      <c r="K72" s="105"/>
      <c r="L72" s="105"/>
      <c r="M72" s="106"/>
      <c r="N72" s="107"/>
      <c r="O72" s="107"/>
      <c r="P72" s="107"/>
      <c r="Q72" s="108"/>
      <c r="R72" s="108"/>
      <c r="S72" s="108"/>
      <c r="T72" s="529"/>
      <c r="U72" s="529"/>
      <c r="V72" s="529"/>
      <c r="W72" s="529"/>
      <c r="X72" s="529"/>
      <c r="Y72" s="529"/>
      <c r="Z72" s="529"/>
      <c r="AA72" s="529"/>
      <c r="AB72" s="529"/>
      <c r="AC72" s="529"/>
    </row>
    <row r="73" spans="1:29" ht="18" thickBot="1" x14ac:dyDescent="0.35">
      <c r="B73" s="1374" t="s">
        <v>50</v>
      </c>
      <c r="C73" s="1375"/>
      <c r="D73" s="1375"/>
      <c r="E73" s="1376"/>
      <c r="F73" s="109"/>
      <c r="G73" s="109"/>
      <c r="H73" s="109"/>
      <c r="I73" s="109"/>
      <c r="J73" s="109"/>
      <c r="K73" s="110"/>
      <c r="L73" s="110"/>
      <c r="M73" s="110"/>
      <c r="N73" s="77" t="s">
        <v>14</v>
      </c>
      <c r="O73" s="1377" t="s">
        <v>15</v>
      </c>
      <c r="P73" s="1378"/>
      <c r="Q73" s="1379" t="s">
        <v>17</v>
      </c>
      <c r="R73" s="1380"/>
      <c r="S73" s="166" t="s">
        <v>16</v>
      </c>
    </row>
    <row r="74" spans="1:29" ht="18" customHeight="1" x14ac:dyDescent="0.3">
      <c r="B74" s="102">
        <v>1</v>
      </c>
      <c r="C74" s="1400"/>
      <c r="D74" s="1401"/>
      <c r="E74" s="1401"/>
      <c r="F74" s="1401"/>
      <c r="G74" s="1401"/>
      <c r="H74" s="1401"/>
      <c r="I74" s="1401"/>
      <c r="J74" s="1402"/>
      <c r="N74" s="11">
        <v>0</v>
      </c>
      <c r="O74" s="1403">
        <f>$O$71/(1+N74)</f>
        <v>211000000</v>
      </c>
      <c r="P74" s="1404"/>
      <c r="Q74" s="1405">
        <f>O74-$M$54</f>
        <v>92447310.901999995</v>
      </c>
      <c r="R74" s="1406"/>
      <c r="S74" s="160">
        <f>Q74/O74</f>
        <v>0.43813891422748813</v>
      </c>
    </row>
    <row r="75" spans="1:29" ht="18" customHeight="1" x14ac:dyDescent="0.3">
      <c r="B75" s="100">
        <v>2</v>
      </c>
      <c r="C75" s="1458"/>
      <c r="D75" s="1456"/>
      <c r="E75" s="1456"/>
      <c r="F75" s="1456"/>
      <c r="G75" s="1456"/>
      <c r="H75" s="1456"/>
      <c r="I75" s="1456"/>
      <c r="J75" s="1457"/>
      <c r="N75" s="9">
        <v>0.1</v>
      </c>
      <c r="O75" s="1389">
        <f>$O$71/(1+N75)</f>
        <v>191818181.81818181</v>
      </c>
      <c r="P75" s="1390"/>
      <c r="Q75" s="1391">
        <f t="shared" ref="Q75:Q78" si="23">O75-$M$54</f>
        <v>73265492.720181808</v>
      </c>
      <c r="R75" s="1392"/>
      <c r="S75" s="161">
        <f t="shared" ref="S75:S78" si="24">Q75/O75</f>
        <v>0.38195280565023693</v>
      </c>
    </row>
    <row r="76" spans="1:29" ht="18" customHeight="1" x14ac:dyDescent="0.3">
      <c r="B76" s="100">
        <v>3</v>
      </c>
      <c r="C76" s="1455"/>
      <c r="D76" s="1456"/>
      <c r="E76" s="1456"/>
      <c r="F76" s="1456"/>
      <c r="G76" s="1456"/>
      <c r="H76" s="1456"/>
      <c r="I76" s="1456"/>
      <c r="J76" s="1457"/>
      <c r="N76" s="10">
        <v>0.15</v>
      </c>
      <c r="O76" s="1389">
        <f t="shared" ref="O76:O77" si="25">$O$71/(1+N76)</f>
        <v>183478260.86956522</v>
      </c>
      <c r="P76" s="1390"/>
      <c r="Q76" s="1391">
        <f t="shared" si="23"/>
        <v>64925571.771565214</v>
      </c>
      <c r="R76" s="1392"/>
      <c r="S76" s="161">
        <f t="shared" si="24"/>
        <v>0.35385975136161135</v>
      </c>
    </row>
    <row r="77" spans="1:29" ht="18" customHeight="1" x14ac:dyDescent="0.3">
      <c r="A77" s="103"/>
      <c r="B77" s="100">
        <v>4</v>
      </c>
      <c r="C77" s="1455"/>
      <c r="D77" s="1456"/>
      <c r="E77" s="1456"/>
      <c r="F77" s="1456"/>
      <c r="G77" s="1456"/>
      <c r="H77" s="1456"/>
      <c r="I77" s="1456"/>
      <c r="J77" s="1457"/>
      <c r="N77" s="10">
        <v>0.2</v>
      </c>
      <c r="O77" s="1389">
        <f t="shared" si="25"/>
        <v>175833333.33333334</v>
      </c>
      <c r="P77" s="1390"/>
      <c r="Q77" s="1391">
        <f t="shared" si="23"/>
        <v>57280644.235333338</v>
      </c>
      <c r="R77" s="1392"/>
      <c r="S77" s="161">
        <f t="shared" si="24"/>
        <v>0.32576669707298578</v>
      </c>
    </row>
    <row r="78" spans="1:29" ht="18" customHeight="1" thickBot="1" x14ac:dyDescent="0.35">
      <c r="B78" s="100">
        <v>5</v>
      </c>
      <c r="C78" s="1393"/>
      <c r="D78" s="1394"/>
      <c r="E78" s="1394"/>
      <c r="F78" s="1394"/>
      <c r="G78" s="1394"/>
      <c r="H78" s="1394"/>
      <c r="I78" s="1394"/>
      <c r="J78" s="1395"/>
      <c r="N78" s="12" t="s">
        <v>45</v>
      </c>
      <c r="O78" s="1396">
        <v>0</v>
      </c>
      <c r="P78" s="1397"/>
      <c r="Q78" s="1398">
        <f t="shared" si="23"/>
        <v>-118552689.098</v>
      </c>
      <c r="R78" s="1399"/>
      <c r="S78" s="99" t="e">
        <f t="shared" si="24"/>
        <v>#DIV/0!</v>
      </c>
    </row>
    <row r="79" spans="1:29" ht="18" customHeight="1" thickBot="1" x14ac:dyDescent="0.35">
      <c r="B79" s="100">
        <v>6</v>
      </c>
      <c r="C79" s="1393"/>
      <c r="D79" s="1394"/>
      <c r="E79" s="1394"/>
      <c r="F79" s="1394"/>
      <c r="G79" s="1394"/>
      <c r="H79" s="1394"/>
      <c r="I79" s="1394"/>
      <c r="J79" s="1395"/>
    </row>
    <row r="80" spans="1:29" ht="18" customHeight="1" thickBot="1" x14ac:dyDescent="0.35">
      <c r="B80" s="100">
        <v>7</v>
      </c>
      <c r="C80" s="434"/>
      <c r="D80" s="435"/>
      <c r="E80" s="435"/>
      <c r="F80" s="435"/>
      <c r="G80" s="435"/>
      <c r="H80" s="435"/>
      <c r="I80" s="435"/>
      <c r="J80" s="436"/>
      <c r="N80" s="1410" t="s">
        <v>47</v>
      </c>
      <c r="O80" s="1411"/>
      <c r="P80" s="1412" t="s">
        <v>48</v>
      </c>
      <c r="Q80" s="1413"/>
      <c r="R80" s="1414" t="s">
        <v>49</v>
      </c>
      <c r="S80" s="1415"/>
    </row>
    <row r="81" spans="1:29" ht="18" customHeight="1" x14ac:dyDescent="0.3">
      <c r="B81" s="100">
        <v>8</v>
      </c>
      <c r="C81" s="1393"/>
      <c r="D81" s="1394"/>
      <c r="E81" s="1394"/>
      <c r="F81" s="1394"/>
      <c r="G81" s="1394"/>
      <c r="H81" s="1394"/>
      <c r="I81" s="1394"/>
      <c r="J81" s="1395"/>
      <c r="N81" s="1416"/>
      <c r="O81" s="1417"/>
      <c r="P81" s="1422"/>
      <c r="Q81" s="1423"/>
      <c r="R81" s="1428"/>
      <c r="S81" s="1429"/>
    </row>
    <row r="82" spans="1:29" ht="18" customHeight="1" x14ac:dyDescent="0.3">
      <c r="B82" s="100"/>
      <c r="C82" s="1434"/>
      <c r="D82" s="1435"/>
      <c r="E82" s="1435"/>
      <c r="F82" s="1435"/>
      <c r="G82" s="1435"/>
      <c r="H82" s="1435"/>
      <c r="I82" s="1435"/>
      <c r="J82" s="1436"/>
      <c r="N82" s="1418"/>
      <c r="O82" s="1419"/>
      <c r="P82" s="1424"/>
      <c r="Q82" s="1425"/>
      <c r="R82" s="1430"/>
      <c r="S82" s="1431"/>
    </row>
    <row r="83" spans="1:29" ht="18" customHeight="1" x14ac:dyDescent="0.3">
      <c r="B83" s="100"/>
      <c r="C83" s="1434"/>
      <c r="D83" s="1435"/>
      <c r="E83" s="1435"/>
      <c r="F83" s="1435"/>
      <c r="G83" s="1435"/>
      <c r="H83" s="1435"/>
      <c r="I83" s="1435"/>
      <c r="J83" s="1436"/>
      <c r="N83" s="1418"/>
      <c r="O83" s="1419"/>
      <c r="P83" s="1424"/>
      <c r="Q83" s="1425"/>
      <c r="R83" s="1430"/>
      <c r="S83" s="1431"/>
    </row>
    <row r="84" spans="1:29" ht="18" customHeight="1" thickBot="1" x14ac:dyDescent="0.35">
      <c r="B84" s="101"/>
      <c r="C84" s="1407"/>
      <c r="D84" s="1408"/>
      <c r="E84" s="1408"/>
      <c r="F84" s="1408"/>
      <c r="G84" s="1408"/>
      <c r="H84" s="1408"/>
      <c r="I84" s="1408"/>
      <c r="J84" s="1409"/>
      <c r="N84" s="1420"/>
      <c r="O84" s="1421"/>
      <c r="P84" s="1426"/>
      <c r="Q84" s="1427"/>
      <c r="R84" s="1432"/>
      <c r="S84" s="1433"/>
    </row>
    <row r="85" spans="1:29" s="529" customFormat="1" x14ac:dyDescent="0.3">
      <c r="A85"/>
      <c r="B85" s="2"/>
      <c r="C85" s="2"/>
      <c r="D85" s="2"/>
      <c r="E85" s="2"/>
      <c r="F85" s="3"/>
      <c r="G85" s="3"/>
      <c r="H85" s="3"/>
      <c r="I85" s="3"/>
      <c r="J85" s="3"/>
      <c r="K85" s="1"/>
      <c r="L85" s="1"/>
      <c r="M85" s="1"/>
      <c r="N85" s="5"/>
      <c r="O85" s="1"/>
      <c r="P85" s="1"/>
      <c r="Q85"/>
      <c r="R85"/>
      <c r="S85" s="93"/>
      <c r="T85" s="70"/>
      <c r="U85" s="70"/>
      <c r="V85" s="70"/>
      <c r="W85" s="70"/>
      <c r="X85" s="70"/>
      <c r="Y85" s="70"/>
      <c r="Z85" s="70"/>
      <c r="AA85" s="70"/>
      <c r="AB85" s="70"/>
      <c r="AC85" s="70"/>
    </row>
    <row r="86" spans="1:29" s="529" customFormat="1" x14ac:dyDescent="0.3">
      <c r="A86"/>
      <c r="B86" s="2"/>
      <c r="C86" s="2"/>
      <c r="D86" s="2"/>
      <c r="E86" s="2"/>
      <c r="F86" s="3"/>
      <c r="G86" s="3"/>
      <c r="H86" s="3"/>
      <c r="I86" s="3"/>
      <c r="J86" s="3"/>
      <c r="K86" s="1"/>
      <c r="L86" s="1"/>
      <c r="M86" s="1"/>
      <c r="N86" s="5"/>
      <c r="O86" s="1"/>
      <c r="P86" s="1"/>
      <c r="Q86"/>
      <c r="R86"/>
      <c r="S86" s="93"/>
      <c r="T86" s="70"/>
      <c r="U86" s="70"/>
      <c r="V86" s="70"/>
      <c r="W86" s="70"/>
      <c r="X86" s="70"/>
      <c r="Y86" s="70"/>
      <c r="Z86" s="70"/>
      <c r="AA86" s="70"/>
      <c r="AB86" s="70"/>
      <c r="AC86" s="70"/>
    </row>
    <row r="87" spans="1:29" s="529" customFormat="1" x14ac:dyDescent="0.3">
      <c r="A87"/>
      <c r="B87" s="2"/>
      <c r="C87" s="2"/>
      <c r="D87" s="2"/>
      <c r="E87" s="2"/>
      <c r="F87" s="3"/>
      <c r="G87" s="3"/>
      <c r="H87" s="3"/>
      <c r="I87" s="3"/>
      <c r="J87" s="3"/>
      <c r="K87" s="1"/>
      <c r="L87" s="1"/>
      <c r="M87" s="1"/>
      <c r="N87" s="5"/>
      <c r="O87" s="1"/>
      <c r="P87" s="1"/>
      <c r="Q87"/>
      <c r="R87"/>
      <c r="S87" s="93"/>
      <c r="T87" s="70"/>
      <c r="U87" s="70"/>
      <c r="V87" s="70"/>
      <c r="W87" s="70"/>
      <c r="X87" s="70"/>
      <c r="Y87" s="70"/>
      <c r="Z87" s="70"/>
      <c r="AA87" s="70"/>
      <c r="AB87" s="70"/>
      <c r="AC87" s="70"/>
    </row>
    <row r="88" spans="1:29" s="529" customFormat="1" x14ac:dyDescent="0.3">
      <c r="A88"/>
      <c r="B88" s="2"/>
      <c r="C88" s="2"/>
      <c r="D88" s="2"/>
      <c r="E88" s="2"/>
      <c r="F88" s="3"/>
      <c r="G88" s="3"/>
      <c r="H88" s="3"/>
      <c r="I88" s="3"/>
      <c r="J88" s="3"/>
      <c r="K88" s="1"/>
      <c r="L88" s="1"/>
      <c r="M88" s="1"/>
      <c r="N88" s="5"/>
      <c r="O88" s="1"/>
      <c r="P88" s="1"/>
      <c r="Q88"/>
      <c r="R88"/>
      <c r="S88" s="93"/>
      <c r="T88" s="70"/>
      <c r="U88" s="70"/>
      <c r="V88" s="70"/>
      <c r="W88" s="70"/>
      <c r="X88" s="70"/>
      <c r="Y88" s="70"/>
      <c r="Z88" s="70"/>
      <c r="AA88" s="70"/>
      <c r="AB88" s="70"/>
      <c r="AC88" s="70"/>
    </row>
    <row r="89" spans="1:29" s="529" customFormat="1" x14ac:dyDescent="0.3">
      <c r="A89"/>
      <c r="B89" s="2"/>
      <c r="C89" s="2"/>
      <c r="D89" s="2"/>
      <c r="E89" s="2"/>
      <c r="F89" s="3"/>
      <c r="G89" s="3"/>
      <c r="H89" s="3"/>
      <c r="I89" s="3"/>
      <c r="J89" s="3"/>
      <c r="K89" s="1"/>
      <c r="L89" s="1"/>
      <c r="M89" s="1"/>
      <c r="N89" s="5"/>
      <c r="O89" s="1"/>
      <c r="P89" s="1"/>
      <c r="Q89"/>
      <c r="R89"/>
      <c r="S89" s="93"/>
      <c r="T89" s="70"/>
      <c r="U89" s="70"/>
      <c r="V89" s="70"/>
      <c r="W89" s="70"/>
      <c r="X89" s="70"/>
      <c r="Y89" s="70"/>
      <c r="Z89" s="70"/>
      <c r="AA89" s="70"/>
      <c r="AB89" s="70"/>
      <c r="AC89" s="70"/>
    </row>
  </sheetData>
  <mergeCells count="148">
    <mergeCell ref="Q25:R26"/>
    <mergeCell ref="Q28:R28"/>
    <mergeCell ref="C76:J76"/>
    <mergeCell ref="O76:P76"/>
    <mergeCell ref="Q76:R76"/>
    <mergeCell ref="C77:J77"/>
    <mergeCell ref="O77:P77"/>
    <mergeCell ref="Q77:R77"/>
    <mergeCell ref="C74:J74"/>
    <mergeCell ref="O74:P74"/>
    <mergeCell ref="Q74:R74"/>
    <mergeCell ref="C75:J75"/>
    <mergeCell ref="O75:P75"/>
    <mergeCell ref="Q75:R75"/>
    <mergeCell ref="B71:L71"/>
    <mergeCell ref="O71:P71"/>
    <mergeCell ref="Q71:S71"/>
    <mergeCell ref="B73:E73"/>
    <mergeCell ref="O73:P73"/>
    <mergeCell ref="Q73:R73"/>
    <mergeCell ref="B69:L69"/>
    <mergeCell ref="O51:P51"/>
    <mergeCell ref="Q51:R51"/>
    <mergeCell ref="O69:P69"/>
    <mergeCell ref="C81:J81"/>
    <mergeCell ref="N81:O84"/>
    <mergeCell ref="P81:Q84"/>
    <mergeCell ref="R81:S84"/>
    <mergeCell ref="C82:J82"/>
    <mergeCell ref="C83:J83"/>
    <mergeCell ref="C84:J84"/>
    <mergeCell ref="C78:J78"/>
    <mergeCell ref="O78:P78"/>
    <mergeCell ref="Q78:R78"/>
    <mergeCell ref="C79:J79"/>
    <mergeCell ref="N80:O80"/>
    <mergeCell ref="P80:Q80"/>
    <mergeCell ref="R80:S80"/>
    <mergeCell ref="Q69:S69"/>
    <mergeCell ref="B70:L70"/>
    <mergeCell ref="O70:P70"/>
    <mergeCell ref="Q70:S70"/>
    <mergeCell ref="O65:P65"/>
    <mergeCell ref="O66:P66"/>
    <mergeCell ref="B67:L67"/>
    <mergeCell ref="O67:P67"/>
    <mergeCell ref="Q67:S67"/>
    <mergeCell ref="B68:L68"/>
    <mergeCell ref="O68:P68"/>
    <mergeCell ref="Q68:S68"/>
    <mergeCell ref="O58:P58"/>
    <mergeCell ref="Q58:R58"/>
    <mergeCell ref="O59:P59"/>
    <mergeCell ref="Q59:R59"/>
    <mergeCell ref="O60:P60"/>
    <mergeCell ref="Q60:R66"/>
    <mergeCell ref="O61:P61"/>
    <mergeCell ref="O62:P62"/>
    <mergeCell ref="O63:P63"/>
    <mergeCell ref="O64:P64"/>
    <mergeCell ref="O55:P55"/>
    <mergeCell ref="Q55:R55"/>
    <mergeCell ref="O56:P56"/>
    <mergeCell ref="Q56:R56"/>
    <mergeCell ref="O57:P57"/>
    <mergeCell ref="Q57:R57"/>
    <mergeCell ref="O50:P50"/>
    <mergeCell ref="Q50:R50"/>
    <mergeCell ref="O52:P52"/>
    <mergeCell ref="B54:L54"/>
    <mergeCell ref="O54:P54"/>
    <mergeCell ref="Q54:R54"/>
    <mergeCell ref="O47:P47"/>
    <mergeCell ref="Q47:R47"/>
    <mergeCell ref="O48:P48"/>
    <mergeCell ref="Q48:R48"/>
    <mergeCell ref="O49:P49"/>
    <mergeCell ref="Q49:R49"/>
    <mergeCell ref="O41:P41"/>
    <mergeCell ref="Q41:R41"/>
    <mergeCell ref="O42:P42"/>
    <mergeCell ref="Q42:R42"/>
    <mergeCell ref="O45:P45"/>
    <mergeCell ref="O46:P46"/>
    <mergeCell ref="Q46:R46"/>
    <mergeCell ref="O37:P37"/>
    <mergeCell ref="Q37:R37"/>
    <mergeCell ref="O38:P38"/>
    <mergeCell ref="O39:P39"/>
    <mergeCell ref="Q39:R39"/>
    <mergeCell ref="O40:P40"/>
    <mergeCell ref="O44:P44"/>
    <mergeCell ref="O33:P33"/>
    <mergeCell ref="Q33:R33"/>
    <mergeCell ref="O34:P34"/>
    <mergeCell ref="Q34:R34"/>
    <mergeCell ref="O36:P36"/>
    <mergeCell ref="Q36:R36"/>
    <mergeCell ref="O30:P30"/>
    <mergeCell ref="Q30:R30"/>
    <mergeCell ref="O31:P31"/>
    <mergeCell ref="Q31:R31"/>
    <mergeCell ref="O32:P32"/>
    <mergeCell ref="Q32:R32"/>
    <mergeCell ref="O25:P25"/>
    <mergeCell ref="O26:P26"/>
    <mergeCell ref="O27:P27"/>
    <mergeCell ref="Q27:R27"/>
    <mergeCell ref="O29:P29"/>
    <mergeCell ref="O7:P7"/>
    <mergeCell ref="Q7:R7"/>
    <mergeCell ref="O8:P8"/>
    <mergeCell ref="Q8:R8"/>
    <mergeCell ref="O9:P9"/>
    <mergeCell ref="Q9:R9"/>
    <mergeCell ref="Q23:R24"/>
    <mergeCell ref="O10:P10"/>
    <mergeCell ref="Q10:R10"/>
    <mergeCell ref="O11:P11"/>
    <mergeCell ref="Q11:R11"/>
    <mergeCell ref="O28:P28"/>
    <mergeCell ref="O16:P16"/>
    <mergeCell ref="O17:P17"/>
    <mergeCell ref="O18:P18"/>
    <mergeCell ref="O19:P19"/>
    <mergeCell ref="O21:P21"/>
    <mergeCell ref="O22:P22"/>
    <mergeCell ref="Q21:R22"/>
    <mergeCell ref="O6:P6"/>
    <mergeCell ref="Q6:R6"/>
    <mergeCell ref="O20:P20"/>
    <mergeCell ref="Q20:R20"/>
    <mergeCell ref="A2:S2"/>
    <mergeCell ref="Q3:S3"/>
    <mergeCell ref="B4:E4"/>
    <mergeCell ref="O4:P4"/>
    <mergeCell ref="Q4:R4"/>
    <mergeCell ref="O5:P5"/>
    <mergeCell ref="Q5:R5"/>
    <mergeCell ref="O13:P13"/>
    <mergeCell ref="Q13:R13"/>
    <mergeCell ref="Q16:R19"/>
    <mergeCell ref="O14:P14"/>
    <mergeCell ref="Q14:R14"/>
    <mergeCell ref="O15:P15"/>
    <mergeCell ref="Q15:R15"/>
    <mergeCell ref="O12:P12"/>
    <mergeCell ref="Q12:R12"/>
  </mergeCells>
  <phoneticPr fontId="2" type="noConversion"/>
  <pageMargins left="0.25" right="0.25" top="0.75" bottom="0.75" header="0.3" footer="0.3"/>
  <pageSetup paperSize="9" scale="33" fitToWidth="0" orientation="landscape" horizontalDpi="300" r:id="rId1"/>
  <headerFooter>
    <oddFooter>&amp;R&amp;D</oddFooter>
  </headerFooter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"/>
  <sheetViews>
    <sheetView workbookViewId="0">
      <selection activeCell="H8" sqref="H8"/>
    </sheetView>
  </sheetViews>
  <sheetFormatPr defaultRowHeight="16.5" x14ac:dyDescent="0.3"/>
  <cols>
    <col min="1" max="1" width="10.5" customWidth="1"/>
  </cols>
  <sheetData>
    <row r="1" spans="1:9" x14ac:dyDescent="0.3">
      <c r="A1" s="1655" t="s">
        <v>18</v>
      </c>
      <c r="B1" s="1656"/>
      <c r="C1" s="1656"/>
      <c r="D1" s="1656"/>
      <c r="E1" s="1656"/>
      <c r="F1" s="1656"/>
      <c r="G1" s="1656"/>
      <c r="H1" s="1656"/>
      <c r="I1" s="1657"/>
    </row>
    <row r="2" spans="1:9" ht="17.25" thickBot="1" x14ac:dyDescent="0.35">
      <c r="A2" s="13"/>
      <c r="B2" s="14"/>
      <c r="C2" s="14"/>
      <c r="D2" s="14"/>
      <c r="E2" s="14"/>
      <c r="F2" s="14"/>
      <c r="G2" s="14"/>
      <c r="H2" s="14"/>
      <c r="I2" s="14"/>
    </row>
    <row r="3" spans="1:9" x14ac:dyDescent="0.3">
      <c r="A3" s="1658" t="s">
        <v>19</v>
      </c>
      <c r="B3" s="1659"/>
      <c r="C3" s="1659"/>
      <c r="D3" s="1659"/>
      <c r="E3" s="1659"/>
      <c r="F3" s="1659"/>
      <c r="G3" s="1659"/>
      <c r="H3" s="1660" t="s">
        <v>20</v>
      </c>
      <c r="I3" s="1661"/>
    </row>
    <row r="4" spans="1:9" ht="36.75" thickBot="1" x14ac:dyDescent="0.35">
      <c r="A4" s="15" t="s">
        <v>21</v>
      </c>
      <c r="B4" s="16" t="s">
        <v>22</v>
      </c>
      <c r="C4" s="16" t="s">
        <v>23</v>
      </c>
      <c r="D4" s="16" t="s">
        <v>24</v>
      </c>
      <c r="E4" s="16" t="s">
        <v>25</v>
      </c>
      <c r="F4" s="16" t="s">
        <v>26</v>
      </c>
      <c r="G4" s="17" t="s">
        <v>27</v>
      </c>
      <c r="H4" s="18" t="s">
        <v>28</v>
      </c>
      <c r="I4" s="19" t="s">
        <v>29</v>
      </c>
    </row>
    <row r="5" spans="1:9" x14ac:dyDescent="0.3">
      <c r="A5" s="20" t="s">
        <v>30</v>
      </c>
      <c r="B5" s="21">
        <v>411624</v>
      </c>
      <c r="C5" s="22">
        <v>1</v>
      </c>
      <c r="D5" s="22">
        <f>B5*C5</f>
        <v>411624</v>
      </c>
      <c r="E5" s="23">
        <f>SUM(D5*1.1)</f>
        <v>452786.4</v>
      </c>
      <c r="F5" s="22">
        <f>(D5+E5)*10%</f>
        <v>86441.040000000008</v>
      </c>
      <c r="G5" s="22">
        <f>SUM(D5:F5)</f>
        <v>950851.44000000006</v>
      </c>
      <c r="H5" s="24">
        <f>ROUND(G5*(100%-I5),-3)</f>
        <v>571000</v>
      </c>
      <c r="I5" s="25">
        <v>0.4</v>
      </c>
    </row>
    <row r="6" spans="1:9" x14ac:dyDescent="0.3">
      <c r="A6" s="26" t="s">
        <v>31</v>
      </c>
      <c r="B6" s="27">
        <v>373593</v>
      </c>
      <c r="C6" s="28">
        <v>1</v>
      </c>
      <c r="D6" s="28">
        <f t="shared" ref="D6:D12" si="0">B6*C6</f>
        <v>373593</v>
      </c>
      <c r="E6" s="29">
        <f t="shared" ref="E6:E12" si="1">SUM(D6*1.1)</f>
        <v>410952.30000000005</v>
      </c>
      <c r="F6" s="28">
        <f t="shared" ref="F6:F12" si="2">(D6+E6)*10%</f>
        <v>78454.530000000013</v>
      </c>
      <c r="G6" s="28">
        <f t="shared" ref="G6:G12" si="3">SUM(D6:F6)</f>
        <v>862999.83000000007</v>
      </c>
      <c r="H6" s="30">
        <f t="shared" ref="H6:H12" si="4">ROUND(G6*(100%-I6),-3)</f>
        <v>518000</v>
      </c>
      <c r="I6" s="31">
        <v>0.4</v>
      </c>
    </row>
    <row r="7" spans="1:9" x14ac:dyDescent="0.3">
      <c r="A7" s="32" t="s">
        <v>32</v>
      </c>
      <c r="B7" s="33">
        <v>276160</v>
      </c>
      <c r="C7" s="34">
        <v>1</v>
      </c>
      <c r="D7" s="34">
        <f t="shared" si="0"/>
        <v>276160</v>
      </c>
      <c r="E7" s="35">
        <f t="shared" si="1"/>
        <v>303776</v>
      </c>
      <c r="F7" s="34">
        <f t="shared" si="2"/>
        <v>57993.600000000006</v>
      </c>
      <c r="G7" s="34">
        <f t="shared" si="3"/>
        <v>637929.6</v>
      </c>
      <c r="H7" s="34">
        <f t="shared" si="4"/>
        <v>383000</v>
      </c>
      <c r="I7" s="36">
        <v>0.4</v>
      </c>
    </row>
    <row r="8" spans="1:9" x14ac:dyDescent="0.3">
      <c r="A8" s="37" t="s">
        <v>33</v>
      </c>
      <c r="B8" s="38">
        <v>221375</v>
      </c>
      <c r="C8" s="39">
        <v>1</v>
      </c>
      <c r="D8" s="34">
        <f t="shared" si="0"/>
        <v>221375</v>
      </c>
      <c r="E8" s="35">
        <f t="shared" si="1"/>
        <v>243512.50000000003</v>
      </c>
      <c r="F8" s="34">
        <f t="shared" si="2"/>
        <v>46488.75</v>
      </c>
      <c r="G8" s="34">
        <f t="shared" si="3"/>
        <v>511376.25</v>
      </c>
      <c r="H8" s="34">
        <f t="shared" si="4"/>
        <v>307000</v>
      </c>
      <c r="I8" s="36">
        <v>0.4</v>
      </c>
    </row>
    <row r="9" spans="1:9" x14ac:dyDescent="0.3">
      <c r="A9" s="37" t="s">
        <v>34</v>
      </c>
      <c r="B9" s="38">
        <v>190787</v>
      </c>
      <c r="C9" s="39">
        <v>1</v>
      </c>
      <c r="D9" s="34">
        <f t="shared" si="0"/>
        <v>190787</v>
      </c>
      <c r="E9" s="35">
        <f t="shared" si="1"/>
        <v>209865.7</v>
      </c>
      <c r="F9" s="34">
        <f t="shared" si="2"/>
        <v>40065.270000000004</v>
      </c>
      <c r="G9" s="34">
        <f t="shared" si="3"/>
        <v>440717.97000000003</v>
      </c>
      <c r="H9" s="34">
        <f t="shared" si="4"/>
        <v>264000</v>
      </c>
      <c r="I9" s="36">
        <v>0.4</v>
      </c>
    </row>
    <row r="10" spans="1:9" x14ac:dyDescent="0.3">
      <c r="A10" s="40" t="s">
        <v>35</v>
      </c>
      <c r="B10" s="41">
        <v>172384</v>
      </c>
      <c r="C10" s="42">
        <v>1</v>
      </c>
      <c r="D10" s="28">
        <f t="shared" si="0"/>
        <v>172384</v>
      </c>
      <c r="E10" s="29">
        <f t="shared" si="1"/>
        <v>189622.40000000002</v>
      </c>
      <c r="F10" s="28">
        <f t="shared" si="2"/>
        <v>36200.640000000007</v>
      </c>
      <c r="G10" s="28">
        <f t="shared" si="3"/>
        <v>398207.04000000004</v>
      </c>
      <c r="H10" s="30">
        <f t="shared" si="4"/>
        <v>239000</v>
      </c>
      <c r="I10" s="31">
        <v>0.4</v>
      </c>
    </row>
    <row r="11" spans="1:9" x14ac:dyDescent="0.3">
      <c r="A11" s="26" t="s">
        <v>36</v>
      </c>
      <c r="B11" s="27">
        <v>140531</v>
      </c>
      <c r="C11" s="28">
        <v>1</v>
      </c>
      <c r="D11" s="28">
        <f t="shared" si="0"/>
        <v>140531</v>
      </c>
      <c r="E11" s="29">
        <f t="shared" si="1"/>
        <v>154584.1</v>
      </c>
      <c r="F11" s="28">
        <f t="shared" si="2"/>
        <v>29511.51</v>
      </c>
      <c r="G11" s="28">
        <f t="shared" si="3"/>
        <v>324626.61</v>
      </c>
      <c r="H11" s="30">
        <f t="shared" si="4"/>
        <v>195000</v>
      </c>
      <c r="I11" s="31">
        <v>0.4</v>
      </c>
    </row>
    <row r="12" spans="1:9" ht="17.25" thickBot="1" x14ac:dyDescent="0.35">
      <c r="A12" s="43" t="s">
        <v>37</v>
      </c>
      <c r="B12" s="44">
        <v>116756</v>
      </c>
      <c r="C12" s="45">
        <v>1</v>
      </c>
      <c r="D12" s="46">
        <f t="shared" si="0"/>
        <v>116756</v>
      </c>
      <c r="E12" s="47">
        <f t="shared" si="1"/>
        <v>128431.6</v>
      </c>
      <c r="F12" s="46">
        <f t="shared" si="2"/>
        <v>24518.760000000002</v>
      </c>
      <c r="G12" s="46">
        <f t="shared" si="3"/>
        <v>269706.36</v>
      </c>
      <c r="H12" s="48">
        <f t="shared" si="4"/>
        <v>162000</v>
      </c>
      <c r="I12" s="49">
        <v>0.4</v>
      </c>
    </row>
    <row r="13" spans="1:9" x14ac:dyDescent="0.2">
      <c r="A13" s="50" t="s">
        <v>38</v>
      </c>
      <c r="B13" s="51"/>
      <c r="C13" s="51"/>
      <c r="D13" s="51"/>
      <c r="E13" s="51"/>
      <c r="F13" s="51"/>
      <c r="G13" s="52"/>
      <c r="H13" s="53"/>
      <c r="I13" s="54"/>
    </row>
  </sheetData>
  <mergeCells count="3">
    <mergeCell ref="A1:I1"/>
    <mergeCell ref="A3:G3"/>
    <mergeCell ref="H3:I3"/>
  </mergeCells>
  <phoneticPr fontId="2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22DA-0D06-4F1D-95D2-579921250770}">
  <dimension ref="B2:M24"/>
  <sheetViews>
    <sheetView workbookViewId="0">
      <selection activeCell="G19" sqref="G19"/>
    </sheetView>
  </sheetViews>
  <sheetFormatPr defaultRowHeight="16.5" x14ac:dyDescent="0.3"/>
  <cols>
    <col min="3" max="3" width="14.625" bestFit="1" customWidth="1"/>
    <col min="6" max="6" width="13.5" bestFit="1" customWidth="1"/>
    <col min="8" max="8" width="15.25" bestFit="1" customWidth="1"/>
  </cols>
  <sheetData>
    <row r="2" spans="2:13" ht="15.75" customHeight="1" x14ac:dyDescent="0.3">
      <c r="B2" t="s">
        <v>344</v>
      </c>
      <c r="C2" t="s">
        <v>345</v>
      </c>
      <c r="D2" t="s">
        <v>346</v>
      </c>
      <c r="E2" t="s">
        <v>347</v>
      </c>
      <c r="F2" t="s">
        <v>348</v>
      </c>
      <c r="H2" t="s">
        <v>349</v>
      </c>
      <c r="K2" t="s">
        <v>348</v>
      </c>
    </row>
    <row r="3" spans="2:13" x14ac:dyDescent="0.3">
      <c r="B3" s="409">
        <f>C3*D3</f>
        <v>16000</v>
      </c>
      <c r="C3">
        <f>D3/E3</f>
        <v>20</v>
      </c>
      <c r="D3">
        <v>800</v>
      </c>
      <c r="E3" s="409">
        <v>40</v>
      </c>
      <c r="F3">
        <v>5</v>
      </c>
      <c r="G3">
        <v>0.5</v>
      </c>
      <c r="H3">
        <v>1E-3</v>
      </c>
      <c r="K3">
        <f>E3*H3</f>
        <v>0.04</v>
      </c>
    </row>
    <row r="4" spans="2:13" x14ac:dyDescent="0.3">
      <c r="K4" s="409">
        <f>K3*5</f>
        <v>0.2</v>
      </c>
      <c r="L4" t="s">
        <v>350</v>
      </c>
      <c r="M4" t="s">
        <v>351</v>
      </c>
    </row>
    <row r="6" spans="2:13" ht="15.75" customHeight="1" x14ac:dyDescent="0.3">
      <c r="B6" t="s">
        <v>344</v>
      </c>
      <c r="C6" t="s">
        <v>345</v>
      </c>
      <c r="D6" t="s">
        <v>346</v>
      </c>
      <c r="E6" t="s">
        <v>347</v>
      </c>
    </row>
    <row r="7" spans="2:13" x14ac:dyDescent="0.3">
      <c r="B7" s="409">
        <f>C7*D7</f>
        <v>8000</v>
      </c>
      <c r="C7">
        <v>10</v>
      </c>
      <c r="D7">
        <v>800</v>
      </c>
      <c r="E7" s="409">
        <f t="shared" ref="E7:E8" si="0">D7/C7</f>
        <v>80</v>
      </c>
    </row>
    <row r="8" spans="2:13" x14ac:dyDescent="0.3">
      <c r="B8" s="409">
        <f>C8*D8</f>
        <v>4500</v>
      </c>
      <c r="C8">
        <v>10</v>
      </c>
      <c r="D8">
        <v>450</v>
      </c>
      <c r="E8" s="409">
        <f t="shared" si="0"/>
        <v>45</v>
      </c>
    </row>
    <row r="10" spans="2:13" x14ac:dyDescent="0.3">
      <c r="B10" t="s">
        <v>344</v>
      </c>
      <c r="C10" t="s">
        <v>345</v>
      </c>
      <c r="D10" t="s">
        <v>346</v>
      </c>
      <c r="E10" t="s">
        <v>347</v>
      </c>
    </row>
    <row r="11" spans="2:13" x14ac:dyDescent="0.3">
      <c r="B11" s="409">
        <f>C11*D11</f>
        <v>8000</v>
      </c>
      <c r="C11">
        <v>10</v>
      </c>
      <c r="D11">
        <v>800</v>
      </c>
      <c r="E11" s="409">
        <v>45</v>
      </c>
    </row>
    <row r="12" spans="2:13" x14ac:dyDescent="0.3">
      <c r="B12" s="409">
        <f>C12*D12</f>
        <v>1600</v>
      </c>
      <c r="C12">
        <v>80</v>
      </c>
      <c r="D12">
        <v>20</v>
      </c>
      <c r="E12" s="409">
        <f>D12/C12</f>
        <v>0.25</v>
      </c>
    </row>
    <row r="17" spans="3:8" x14ac:dyDescent="0.3">
      <c r="C17" t="s">
        <v>548</v>
      </c>
      <c r="F17" t="s">
        <v>547</v>
      </c>
    </row>
    <row r="18" spans="3:8" x14ac:dyDescent="0.3">
      <c r="C18" s="579" cm="1">
        <f t="array" ref="C18:D18">'기본 특성 시험_3안'!O62:P62</f>
        <v>201000000</v>
      </c>
      <c r="D18">
        <v>0</v>
      </c>
      <c r="F18" s="579">
        <f>SUM('기본 특성 시험_3안'!O47:P49)</f>
        <v>19955000</v>
      </c>
      <c r="G18">
        <v>70</v>
      </c>
      <c r="H18">
        <v>307000</v>
      </c>
    </row>
    <row r="19" spans="3:8" x14ac:dyDescent="0.3">
      <c r="C19" s="579" cm="1">
        <f t="array" ref="C19:D19">'메카니컬 신뢰성 시험_3안'!O67:P67</f>
        <v>151000000</v>
      </c>
      <c r="D19">
        <v>0</v>
      </c>
      <c r="F19" s="579">
        <f>SUM('메카니컬 신뢰성 시험_3안'!O52:P54)</f>
        <v>12280000</v>
      </c>
      <c r="G19">
        <v>45</v>
      </c>
    </row>
    <row r="20" spans="3:8" x14ac:dyDescent="0.3">
      <c r="C20" s="579" cm="1">
        <f t="array" ref="C20:D20">'환경 신뢰성 시험_3안'!O67:P67</f>
        <v>151000000</v>
      </c>
      <c r="D20">
        <v>0</v>
      </c>
      <c r="F20" s="579">
        <f>SUM('환경 신뢰성 시험_3안'!O52:P54)</f>
        <v>12280000</v>
      </c>
      <c r="G20">
        <v>45</v>
      </c>
    </row>
    <row r="21" spans="3:8" ht="17.25" thickBot="1" x14ac:dyDescent="0.35">
      <c r="C21" s="579" cm="1">
        <f t="array" ref="C21:D21">'내구 ES 수명 시험_3안'!O73:P73</f>
        <v>199000000</v>
      </c>
      <c r="D21">
        <v>0</v>
      </c>
      <c r="F21" s="579">
        <f>SUM('내구 ES 수명 시험_3안'!O58:P60)</f>
        <v>19955000</v>
      </c>
      <c r="G21">
        <v>70</v>
      </c>
    </row>
    <row r="22" spans="3:8" ht="17.25" thickBot="1" x14ac:dyDescent="0.35">
      <c r="C22" s="580">
        <f>SUM(C18:C21)</f>
        <v>702000000</v>
      </c>
      <c r="F22" s="579">
        <f>SUM(F18:F21)</f>
        <v>64470000</v>
      </c>
    </row>
    <row r="23" spans="3:8" x14ac:dyDescent="0.3">
      <c r="F23" s="579">
        <v>60000000</v>
      </c>
    </row>
    <row r="24" spans="3:8" x14ac:dyDescent="0.3">
      <c r="F24" s="579">
        <f>(F23-F22) /307000</f>
        <v>-14.560260586319218</v>
      </c>
      <c r="G24" s="579">
        <f>SUM(G18:G23)</f>
        <v>230</v>
      </c>
      <c r="H24" s="697">
        <f>G24*H18</f>
        <v>70610000</v>
      </c>
    </row>
  </sheetData>
  <phoneticPr fontId="2" type="noConversion"/>
  <pageMargins left="0.7" right="0.7" top="0.75" bottom="0.75" header="0.3" footer="0.3"/>
  <pageSetup paperSize="9" orientation="portrait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A6B1-39A5-406C-AC32-08E1A77FA3AF}">
  <dimension ref="B2:G13"/>
  <sheetViews>
    <sheetView workbookViewId="0">
      <selection activeCell="D20" sqref="D20"/>
    </sheetView>
  </sheetViews>
  <sheetFormatPr defaultRowHeight="16.5" x14ac:dyDescent="0.3"/>
  <cols>
    <col min="2" max="2" width="45.25" bestFit="1" customWidth="1"/>
    <col min="3" max="6" width="9" customWidth="1"/>
  </cols>
  <sheetData>
    <row r="2" spans="2:7" x14ac:dyDescent="0.3">
      <c r="B2" s="704"/>
      <c r="C2" s="704" t="s">
        <v>600</v>
      </c>
      <c r="D2" s="704" t="s">
        <v>601</v>
      </c>
      <c r="E2" s="704" t="s">
        <v>602</v>
      </c>
      <c r="F2" s="704" t="s">
        <v>603</v>
      </c>
      <c r="G2" s="704" t="s">
        <v>604</v>
      </c>
    </row>
    <row r="3" spans="2:7" x14ac:dyDescent="0.3">
      <c r="B3" s="708" t="s">
        <v>606</v>
      </c>
      <c r="C3" s="1437" t="s">
        <v>4</v>
      </c>
      <c r="D3" s="1437"/>
      <c r="E3" s="1437"/>
      <c r="F3" s="1437"/>
      <c r="G3" s="708" t="s">
        <v>4</v>
      </c>
    </row>
    <row r="4" spans="2:7" hidden="1" x14ac:dyDescent="0.3">
      <c r="B4" s="705" t="s">
        <v>272</v>
      </c>
      <c r="C4" s="704">
        <v>1</v>
      </c>
      <c r="D4" s="704">
        <v>1</v>
      </c>
      <c r="E4" s="704">
        <v>1</v>
      </c>
      <c r="F4" s="706">
        <v>1</v>
      </c>
      <c r="G4" s="704">
        <f>SUM(C4:F4)</f>
        <v>4</v>
      </c>
    </row>
    <row r="5" spans="2:7" x14ac:dyDescent="0.3">
      <c r="B5" s="707" t="s">
        <v>613</v>
      </c>
      <c r="C5" s="704">
        <v>1</v>
      </c>
      <c r="D5" s="704"/>
      <c r="E5" s="704"/>
      <c r="F5" s="704"/>
      <c r="G5" s="704"/>
    </row>
    <row r="6" spans="2:7" x14ac:dyDescent="0.3">
      <c r="B6" s="707" t="s">
        <v>614</v>
      </c>
      <c r="C6" s="704">
        <v>1</v>
      </c>
      <c r="D6" s="704"/>
      <c r="E6" s="704"/>
      <c r="F6" s="704"/>
      <c r="G6" s="704"/>
    </row>
    <row r="7" spans="2:7" x14ac:dyDescent="0.3">
      <c r="B7" s="705" t="s">
        <v>607</v>
      </c>
      <c r="C7" s="704">
        <v>2</v>
      </c>
      <c r="D7" s="704">
        <v>2</v>
      </c>
      <c r="E7" s="704">
        <v>2</v>
      </c>
      <c r="F7" s="706">
        <v>2</v>
      </c>
      <c r="G7" s="704">
        <f t="shared" ref="G7:G13" si="0">SUM(C7:F7)</f>
        <v>8</v>
      </c>
    </row>
    <row r="8" spans="2:7" x14ac:dyDescent="0.3">
      <c r="B8" s="706" t="s">
        <v>610</v>
      </c>
      <c r="C8" s="704">
        <v>1</v>
      </c>
      <c r="D8" s="704">
        <v>1</v>
      </c>
      <c r="E8" s="704">
        <v>1</v>
      </c>
      <c r="F8" s="706"/>
      <c r="G8" s="704">
        <f t="shared" si="0"/>
        <v>3</v>
      </c>
    </row>
    <row r="9" spans="2:7" x14ac:dyDescent="0.3">
      <c r="B9" s="707" t="s">
        <v>609</v>
      </c>
      <c r="C9" s="704">
        <v>1</v>
      </c>
      <c r="D9" s="704"/>
      <c r="E9" s="704"/>
      <c r="F9" s="706"/>
      <c r="G9" s="704">
        <f t="shared" si="0"/>
        <v>1</v>
      </c>
    </row>
    <row r="10" spans="2:7" x14ac:dyDescent="0.3">
      <c r="B10" s="707" t="s">
        <v>608</v>
      </c>
      <c r="C10" s="704">
        <v>1</v>
      </c>
      <c r="D10" s="704">
        <v>1</v>
      </c>
      <c r="E10" s="704">
        <v>1</v>
      </c>
      <c r="F10" s="707"/>
      <c r="G10" s="704">
        <f t="shared" si="0"/>
        <v>3</v>
      </c>
    </row>
    <row r="11" spans="2:7" x14ac:dyDescent="0.3">
      <c r="B11" s="707" t="s">
        <v>605</v>
      </c>
      <c r="C11" s="704">
        <v>1</v>
      </c>
      <c r="D11" s="704">
        <v>1</v>
      </c>
      <c r="E11" s="704">
        <v>1</v>
      </c>
      <c r="F11" s="704">
        <v>1</v>
      </c>
      <c r="G11" s="704">
        <f t="shared" si="0"/>
        <v>4</v>
      </c>
    </row>
    <row r="12" spans="2:7" x14ac:dyDescent="0.3">
      <c r="B12" s="705" t="s">
        <v>615</v>
      </c>
      <c r="C12" s="704">
        <v>1</v>
      </c>
      <c r="D12" s="704"/>
      <c r="E12" s="704"/>
      <c r="F12" s="704">
        <v>1</v>
      </c>
      <c r="G12" s="704">
        <f t="shared" si="0"/>
        <v>2</v>
      </c>
    </row>
    <row r="13" spans="2:7" x14ac:dyDescent="0.3">
      <c r="B13" s="705" t="s">
        <v>414</v>
      </c>
      <c r="C13" s="704">
        <v>1</v>
      </c>
      <c r="D13" s="704"/>
      <c r="E13" s="704"/>
      <c r="F13" s="704">
        <v>1</v>
      </c>
      <c r="G13" s="704">
        <f t="shared" si="0"/>
        <v>2</v>
      </c>
    </row>
  </sheetData>
  <mergeCells count="1">
    <mergeCell ref="C3:F3"/>
  </mergeCells>
  <phoneticPr fontId="2" type="noConversion"/>
  <pageMargins left="0.7" right="0.7" top="0.75" bottom="0.75" header="0.3" footer="0.3"/>
  <pageSetup paperSize="9" orientation="portrait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5B0A5-D044-46A2-ACD0-D304EB21E022}">
  <sheetPr>
    <pageSetUpPr fitToPage="1"/>
  </sheetPr>
  <dimension ref="A1:AI84"/>
  <sheetViews>
    <sheetView view="pageBreakPreview" zoomScale="85" zoomScaleNormal="70" zoomScaleSheetLayoutView="85" zoomScalePageLayoutView="85" workbookViewId="0">
      <selection activeCell="I12" sqref="I12"/>
    </sheetView>
  </sheetViews>
  <sheetFormatPr defaultRowHeight="16.5" x14ac:dyDescent="0.3"/>
  <cols>
    <col min="1" max="1" width="1.625" customWidth="1"/>
    <col min="2" max="5" width="3.375" style="2" customWidth="1"/>
    <col min="6" max="6" width="57.25" style="3" customWidth="1"/>
    <col min="7" max="7" width="25.625" style="3" bestFit="1" customWidth="1"/>
    <col min="8" max="9" width="16.625" style="3" customWidth="1"/>
    <col min="10" max="10" width="6.625" style="3" customWidth="1"/>
    <col min="11" max="13" width="16.625" style="1" hidden="1" customWidth="1"/>
    <col min="14" max="14" width="12.625" style="5" hidden="1" customWidth="1"/>
    <col min="15" max="15" width="9.625" style="1" customWidth="1"/>
    <col min="16" max="16" width="12.625" style="1" customWidth="1"/>
    <col min="17" max="19" width="22.375" customWidth="1"/>
    <col min="20" max="20" width="21.875" style="93" customWidth="1"/>
    <col min="21" max="21" width="2" style="70" customWidth="1"/>
  </cols>
  <sheetData>
    <row r="1" spans="1:35" ht="9.9499999999999993" customHeight="1" x14ac:dyDescent="0.3"/>
    <row r="2" spans="1:35" ht="26.25" x14ac:dyDescent="0.3">
      <c r="A2" s="1445" t="s">
        <v>244</v>
      </c>
      <c r="B2" s="1445"/>
      <c r="C2" s="1445"/>
      <c r="D2" s="1445"/>
      <c r="E2" s="1445"/>
      <c r="F2" s="1445"/>
      <c r="G2" s="1445"/>
      <c r="H2" s="1445"/>
      <c r="I2" s="1445"/>
      <c r="J2" s="1445"/>
      <c r="K2" s="1445"/>
      <c r="L2" s="1445"/>
      <c r="M2" s="1445"/>
      <c r="N2" s="1445"/>
      <c r="O2" s="1445"/>
      <c r="P2" s="1445"/>
      <c r="Q2" s="1445"/>
      <c r="R2" s="1445"/>
      <c r="S2" s="1445"/>
      <c r="T2" s="1445"/>
      <c r="U2" s="72"/>
    </row>
    <row r="3" spans="1:35" ht="17.25" thickBot="1" x14ac:dyDescent="0.35">
      <c r="B3" s="2" t="s">
        <v>397</v>
      </c>
      <c r="Q3" s="1446">
        <v>45407</v>
      </c>
      <c r="R3" s="1446"/>
      <c r="S3" s="1446"/>
      <c r="T3" s="1446"/>
      <c r="U3" s="75"/>
    </row>
    <row r="4" spans="1:35" ht="18" thickBot="1" x14ac:dyDescent="0.35">
      <c r="B4" s="1318" t="s">
        <v>1</v>
      </c>
      <c r="C4" s="1319"/>
      <c r="D4" s="1319"/>
      <c r="E4" s="1320"/>
      <c r="F4" s="6" t="s">
        <v>56</v>
      </c>
      <c r="G4" s="6" t="s">
        <v>55</v>
      </c>
      <c r="H4" s="6" t="s">
        <v>0</v>
      </c>
      <c r="I4" s="6" t="s">
        <v>43</v>
      </c>
      <c r="J4" s="6" t="s">
        <v>4</v>
      </c>
      <c r="K4" s="7" t="s">
        <v>12</v>
      </c>
      <c r="L4" s="8" t="s">
        <v>39</v>
      </c>
      <c r="M4" s="8" t="s">
        <v>5</v>
      </c>
      <c r="N4" s="141" t="s">
        <v>13</v>
      </c>
      <c r="O4" s="1321" t="s">
        <v>6</v>
      </c>
      <c r="P4" s="1322"/>
      <c r="Q4" s="1319" t="s">
        <v>3</v>
      </c>
      <c r="R4" s="1323"/>
      <c r="S4" s="461"/>
      <c r="T4" s="71" t="s">
        <v>59</v>
      </c>
      <c r="U4" s="75"/>
    </row>
    <row r="5" spans="1:35" s="82" customFormat="1" ht="17.25" thickBot="1" x14ac:dyDescent="0.35">
      <c r="B5" s="122" t="s">
        <v>2</v>
      </c>
      <c r="C5" s="116"/>
      <c r="D5" s="116"/>
      <c r="E5" s="117"/>
      <c r="F5" s="118" t="s">
        <v>265</v>
      </c>
      <c r="G5" s="119"/>
      <c r="H5" s="119"/>
      <c r="I5" s="119"/>
      <c r="J5" s="119"/>
      <c r="K5" s="272"/>
      <c r="L5" s="120"/>
      <c r="M5" s="121"/>
      <c r="N5" s="135"/>
      <c r="O5" s="1447"/>
      <c r="P5" s="1448"/>
      <c r="Q5" s="1326"/>
      <c r="R5" s="1327"/>
      <c r="S5" s="430"/>
      <c r="T5" s="115"/>
      <c r="U5" s="73"/>
      <c r="V5"/>
      <c r="W5"/>
      <c r="X5"/>
      <c r="Y5"/>
      <c r="Z5"/>
      <c r="AA5"/>
      <c r="AB5"/>
      <c r="AC5"/>
      <c r="AD5"/>
      <c r="AE5"/>
      <c r="AF5"/>
      <c r="AG5"/>
    </row>
    <row r="6" spans="1:35" s="84" customFormat="1" x14ac:dyDescent="0.3">
      <c r="B6" s="149"/>
      <c r="C6" s="150" t="s">
        <v>73</v>
      </c>
      <c r="D6" s="150"/>
      <c r="E6" s="151"/>
      <c r="F6" s="156" t="s">
        <v>399</v>
      </c>
      <c r="G6" s="393" t="s">
        <v>336</v>
      </c>
      <c r="H6" s="155" t="s">
        <v>337</v>
      </c>
      <c r="I6" s="155"/>
      <c r="J6" s="155">
        <v>1</v>
      </c>
      <c r="K6" s="55"/>
      <c r="L6" s="55">
        <v>11140000</v>
      </c>
      <c r="M6" s="164">
        <f>J6*K6</f>
        <v>0</v>
      </c>
      <c r="N6" s="158">
        <v>0</v>
      </c>
      <c r="O6" s="1365">
        <f t="shared" ref="O6:O21" si="0">J6*L6/(1-N6)</f>
        <v>11140000</v>
      </c>
      <c r="P6" s="1366"/>
      <c r="Q6" s="1488" t="s">
        <v>390</v>
      </c>
      <c r="R6" s="1489"/>
      <c r="S6" s="152"/>
      <c r="T6" s="479"/>
      <c r="U6" s="78"/>
      <c r="V6"/>
      <c r="W6"/>
      <c r="X6"/>
      <c r="Y6"/>
      <c r="Z6"/>
      <c r="AA6"/>
      <c r="AB6"/>
      <c r="AC6"/>
      <c r="AD6"/>
      <c r="AE6"/>
      <c r="AF6"/>
      <c r="AG6"/>
    </row>
    <row r="7" spans="1:35" s="413" customFormat="1" x14ac:dyDescent="0.3">
      <c r="B7" s="401"/>
      <c r="C7" s="402" t="s">
        <v>73</v>
      </c>
      <c r="D7" s="403"/>
      <c r="E7" s="402"/>
      <c r="F7" s="404" t="s">
        <v>256</v>
      </c>
      <c r="G7" s="403" t="s">
        <v>335</v>
      </c>
      <c r="H7" s="403" t="s">
        <v>394</v>
      </c>
      <c r="I7" s="405"/>
      <c r="J7" s="403">
        <v>0</v>
      </c>
      <c r="K7" s="406">
        <f t="shared" ref="K7" si="1">L7*0.75</f>
        <v>7717500</v>
      </c>
      <c r="L7" s="406">
        <v>10290000</v>
      </c>
      <c r="M7" s="407">
        <f>J7*K7</f>
        <v>0</v>
      </c>
      <c r="N7" s="408">
        <v>0</v>
      </c>
      <c r="O7" s="423">
        <f t="shared" si="0"/>
        <v>0</v>
      </c>
      <c r="P7" s="424"/>
      <c r="Q7" s="437" t="s">
        <v>365</v>
      </c>
      <c r="R7" s="438"/>
      <c r="S7" s="471"/>
      <c r="T7" s="212"/>
      <c r="U7" s="73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</row>
    <row r="8" spans="1:35" s="413" customFormat="1" x14ac:dyDescent="0.3">
      <c r="B8" s="401"/>
      <c r="C8" s="402" t="s">
        <v>73</v>
      </c>
      <c r="D8" s="403"/>
      <c r="E8" s="402"/>
      <c r="F8" s="404" t="s">
        <v>299</v>
      </c>
      <c r="G8" s="403" t="s">
        <v>416</v>
      </c>
      <c r="H8" s="403" t="s">
        <v>318</v>
      </c>
      <c r="I8" s="405"/>
      <c r="J8" s="403">
        <v>0</v>
      </c>
      <c r="K8" s="406">
        <f>L8*0.75</f>
        <v>1125000</v>
      </c>
      <c r="L8" s="406">
        <v>1500000</v>
      </c>
      <c r="M8" s="407">
        <f>J8*K8</f>
        <v>0</v>
      </c>
      <c r="N8" s="408">
        <v>0</v>
      </c>
      <c r="O8" s="457">
        <f t="shared" si="0"/>
        <v>0</v>
      </c>
      <c r="P8" s="458"/>
      <c r="Q8" s="452"/>
      <c r="R8" s="453"/>
      <c r="S8" s="471"/>
      <c r="T8" s="212"/>
      <c r="U8" s="73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</row>
    <row r="9" spans="1:35" s="369" customFormat="1" x14ac:dyDescent="0.3">
      <c r="B9" s="290"/>
      <c r="C9" s="291" t="s">
        <v>2</v>
      </c>
      <c r="D9" s="291"/>
      <c r="E9" s="292"/>
      <c r="F9" s="269" t="s">
        <v>307</v>
      </c>
      <c r="G9" s="184" t="s">
        <v>366</v>
      </c>
      <c r="H9" s="185" t="s">
        <v>131</v>
      </c>
      <c r="I9" s="185"/>
      <c r="J9" s="186">
        <v>1</v>
      </c>
      <c r="K9" s="55">
        <f t="shared" ref="K9:K21" si="2">L9*0.75</f>
        <v>18567000</v>
      </c>
      <c r="L9" s="55">
        <v>24756000</v>
      </c>
      <c r="M9" s="164">
        <f>J9*K9</f>
        <v>18567000</v>
      </c>
      <c r="N9" s="158">
        <v>0</v>
      </c>
      <c r="O9" s="1365">
        <f t="shared" si="0"/>
        <v>24756000</v>
      </c>
      <c r="P9" s="1366"/>
      <c r="Q9" s="1488" t="s">
        <v>261</v>
      </c>
      <c r="R9" s="1489"/>
      <c r="S9" s="152"/>
      <c r="T9" s="168"/>
      <c r="U9" s="368"/>
      <c r="V9" s="370" t="s">
        <v>300</v>
      </c>
      <c r="W9" s="370"/>
      <c r="X9" s="370"/>
      <c r="Y9" s="370"/>
      <c r="Z9" s="370"/>
      <c r="AA9" s="370"/>
      <c r="AB9" s="370"/>
      <c r="AC9" s="370"/>
      <c r="AD9" s="370"/>
      <c r="AE9" s="370"/>
      <c r="AF9" s="370"/>
      <c r="AG9" s="370"/>
    </row>
    <row r="10" spans="1:35" s="369" customFormat="1" x14ac:dyDescent="0.3">
      <c r="B10" s="476"/>
      <c r="C10" s="460"/>
      <c r="D10" s="477" t="s">
        <v>73</v>
      </c>
      <c r="E10" s="478"/>
      <c r="F10" s="442" t="s">
        <v>372</v>
      </c>
      <c r="G10" s="443" t="s">
        <v>381</v>
      </c>
      <c r="H10" s="444" t="s">
        <v>131</v>
      </c>
      <c r="I10" s="444"/>
      <c r="J10" s="445">
        <v>2</v>
      </c>
      <c r="K10" s="446">
        <f t="shared" si="2"/>
        <v>1354500</v>
      </c>
      <c r="L10" s="446">
        <v>1806000</v>
      </c>
      <c r="M10" s="447">
        <f t="shared" ref="M10:M13" si="3">J10*K10</f>
        <v>2709000</v>
      </c>
      <c r="N10" s="448">
        <v>0</v>
      </c>
      <c r="O10" s="1640">
        <f t="shared" si="0"/>
        <v>3612000</v>
      </c>
      <c r="P10" s="1641"/>
      <c r="Q10" s="1642" t="s">
        <v>376</v>
      </c>
      <c r="R10" s="1643"/>
      <c r="S10" s="472"/>
      <c r="T10" s="168"/>
      <c r="U10" s="368"/>
      <c r="W10" s="370"/>
      <c r="X10" s="370"/>
      <c r="Y10" s="370"/>
      <c r="Z10" s="370"/>
      <c r="AA10" s="370"/>
      <c r="AB10" s="370"/>
      <c r="AC10" s="370"/>
      <c r="AD10" s="370"/>
      <c r="AE10" s="370"/>
      <c r="AF10" s="370"/>
      <c r="AG10" s="370"/>
      <c r="AH10" s="370"/>
      <c r="AI10" s="370"/>
    </row>
    <row r="11" spans="1:35" ht="16.149999999999999" customHeight="1" x14ac:dyDescent="0.3">
      <c r="B11" s="365"/>
      <c r="C11" s="366"/>
      <c r="D11" s="366" t="s">
        <v>73</v>
      </c>
      <c r="E11" s="367"/>
      <c r="F11" s="391" t="s">
        <v>281</v>
      </c>
      <c r="G11" s="366">
        <v>758933</v>
      </c>
      <c r="H11" s="185" t="s">
        <v>131</v>
      </c>
      <c r="I11" s="184"/>
      <c r="J11" s="184">
        <v>3</v>
      </c>
      <c r="K11" s="55">
        <f t="shared" si="2"/>
        <v>46500</v>
      </c>
      <c r="L11" s="392">
        <v>62000</v>
      </c>
      <c r="M11" s="390">
        <f t="shared" si="3"/>
        <v>139500</v>
      </c>
      <c r="N11" s="158">
        <v>0</v>
      </c>
      <c r="O11" s="1365">
        <f t="shared" si="0"/>
        <v>186000</v>
      </c>
      <c r="P11" s="1366"/>
      <c r="Q11" s="1488" t="s">
        <v>388</v>
      </c>
      <c r="R11" s="1489"/>
      <c r="S11" s="152"/>
      <c r="T11" s="480"/>
      <c r="U11"/>
      <c r="V11" t="s">
        <v>291</v>
      </c>
      <c r="W11" t="s">
        <v>293</v>
      </c>
    </row>
    <row r="12" spans="1:35" ht="16.149999999999999" customHeight="1" x14ac:dyDescent="0.3">
      <c r="B12" s="365"/>
      <c r="C12" s="366"/>
      <c r="D12" s="366" t="s">
        <v>73</v>
      </c>
      <c r="E12" s="367"/>
      <c r="F12" s="391" t="s">
        <v>283</v>
      </c>
      <c r="G12" s="366">
        <v>758921</v>
      </c>
      <c r="H12" s="185" t="s">
        <v>131</v>
      </c>
      <c r="I12" s="184"/>
      <c r="J12" s="184">
        <v>3</v>
      </c>
      <c r="K12" s="55">
        <f t="shared" si="2"/>
        <v>40500</v>
      </c>
      <c r="L12" s="392">
        <v>54000</v>
      </c>
      <c r="M12" s="390">
        <f t="shared" si="3"/>
        <v>121500</v>
      </c>
      <c r="N12" s="158">
        <v>0</v>
      </c>
      <c r="O12" s="1365">
        <f t="shared" si="0"/>
        <v>162000</v>
      </c>
      <c r="P12" s="1366"/>
      <c r="Q12" s="1488" t="s">
        <v>389</v>
      </c>
      <c r="R12" s="1489"/>
      <c r="S12" s="152"/>
      <c r="T12" s="480"/>
      <c r="U12"/>
      <c r="V12" t="s">
        <v>276</v>
      </c>
      <c r="W12" t="s">
        <v>292</v>
      </c>
    </row>
    <row r="13" spans="1:35" ht="16.149999999999999" customHeight="1" x14ac:dyDescent="0.3">
      <c r="B13" s="365"/>
      <c r="C13" s="366"/>
      <c r="D13" s="366" t="s">
        <v>73</v>
      </c>
      <c r="E13" s="367"/>
      <c r="F13" s="391" t="s">
        <v>377</v>
      </c>
      <c r="G13" s="184">
        <v>758924</v>
      </c>
      <c r="H13" s="185" t="s">
        <v>131</v>
      </c>
      <c r="I13" s="184"/>
      <c r="J13" s="184">
        <v>1</v>
      </c>
      <c r="K13" s="55">
        <f t="shared" si="2"/>
        <v>107250</v>
      </c>
      <c r="L13" s="392">
        <v>143000</v>
      </c>
      <c r="M13" s="475">
        <f t="shared" si="3"/>
        <v>107250</v>
      </c>
      <c r="N13" s="158">
        <v>0</v>
      </c>
      <c r="O13" s="1328">
        <f t="shared" si="0"/>
        <v>143000</v>
      </c>
      <c r="P13" s="1329"/>
      <c r="Q13" s="1488" t="s">
        <v>391</v>
      </c>
      <c r="R13" s="1489"/>
      <c r="S13" s="473"/>
      <c r="T13" s="480"/>
      <c r="U13"/>
    </row>
    <row r="14" spans="1:35" s="369" customFormat="1" x14ac:dyDescent="0.3">
      <c r="B14" s="290"/>
      <c r="C14" s="291"/>
      <c r="D14" s="150" t="s">
        <v>73</v>
      </c>
      <c r="E14" s="292"/>
      <c r="F14" s="269" t="s">
        <v>367</v>
      </c>
      <c r="G14" s="184">
        <v>702916</v>
      </c>
      <c r="H14" s="185" t="s">
        <v>131</v>
      </c>
      <c r="I14" s="185"/>
      <c r="J14" s="184">
        <v>1</v>
      </c>
      <c r="K14" s="55">
        <f>L14*0.75</f>
        <v>6534000</v>
      </c>
      <c r="L14" s="55">
        <v>8712000</v>
      </c>
      <c r="M14" s="164">
        <f>J14*K14</f>
        <v>6534000</v>
      </c>
      <c r="N14" s="158">
        <v>0</v>
      </c>
      <c r="O14" s="1328">
        <f>J14*L14/(1-N14)</f>
        <v>8712000</v>
      </c>
      <c r="P14" s="1329"/>
      <c r="Q14" s="1488" t="s">
        <v>392</v>
      </c>
      <c r="R14" s="1489"/>
      <c r="S14" s="152"/>
      <c r="T14" s="168"/>
      <c r="U14" s="368"/>
      <c r="V14" s="370" t="s">
        <v>301</v>
      </c>
      <c r="W14" s="370"/>
      <c r="X14" s="370"/>
      <c r="Y14" s="370"/>
      <c r="Z14" s="370"/>
      <c r="AA14" s="370"/>
      <c r="AB14" s="370"/>
      <c r="AC14" s="370"/>
      <c r="AD14" s="370"/>
      <c r="AE14" s="370"/>
      <c r="AF14" s="370"/>
      <c r="AG14" s="370"/>
    </row>
    <row r="15" spans="1:35" s="369" customFormat="1" x14ac:dyDescent="0.3">
      <c r="B15" s="476"/>
      <c r="C15" s="460"/>
      <c r="D15" s="477" t="s">
        <v>73</v>
      </c>
      <c r="E15" s="478"/>
      <c r="F15" s="442" t="s">
        <v>379</v>
      </c>
      <c r="G15" s="443" t="s">
        <v>378</v>
      </c>
      <c r="H15" s="444" t="s">
        <v>131</v>
      </c>
      <c r="I15" s="444"/>
      <c r="J15" s="445">
        <v>2</v>
      </c>
      <c r="K15" s="446">
        <f t="shared" si="2"/>
        <v>3547500</v>
      </c>
      <c r="L15" s="446">
        <v>4730000</v>
      </c>
      <c r="M15" s="447">
        <f t="shared" ref="M15:M21" si="4">J15*K15</f>
        <v>7095000</v>
      </c>
      <c r="N15" s="448">
        <v>0</v>
      </c>
      <c r="O15" s="1640">
        <f t="shared" si="0"/>
        <v>9460000</v>
      </c>
      <c r="P15" s="1641"/>
      <c r="Q15" s="1642" t="s">
        <v>383</v>
      </c>
      <c r="R15" s="1643"/>
      <c r="S15" s="472" t="s">
        <v>396</v>
      </c>
      <c r="T15" s="168"/>
      <c r="U15" s="368">
        <v>2</v>
      </c>
      <c r="V15" s="369" t="s">
        <v>291</v>
      </c>
      <c r="W15" s="370" t="s">
        <v>293</v>
      </c>
      <c r="X15" s="370"/>
      <c r="Y15" s="370"/>
      <c r="Z15" s="370"/>
      <c r="AA15" s="370"/>
      <c r="AB15" s="370"/>
      <c r="AC15" s="370"/>
      <c r="AD15" s="370"/>
      <c r="AE15" s="370"/>
      <c r="AF15" s="370"/>
      <c r="AG15" s="370"/>
      <c r="AH15" s="370"/>
      <c r="AI15" s="370"/>
    </row>
    <row r="16" spans="1:35" ht="16.149999999999999" customHeight="1" x14ac:dyDescent="0.3">
      <c r="B16" s="365"/>
      <c r="C16" s="366"/>
      <c r="D16" s="366" t="s">
        <v>73</v>
      </c>
      <c r="E16" s="367"/>
      <c r="F16" s="391" t="s">
        <v>282</v>
      </c>
      <c r="G16" s="366">
        <v>701904</v>
      </c>
      <c r="H16" s="185" t="s">
        <v>131</v>
      </c>
      <c r="I16" s="184"/>
      <c r="J16" s="184">
        <v>3</v>
      </c>
      <c r="K16" s="55">
        <f>L16*0.75</f>
        <v>118500</v>
      </c>
      <c r="L16" s="392">
        <v>158000</v>
      </c>
      <c r="M16" s="390">
        <f>J16*K16</f>
        <v>355500</v>
      </c>
      <c r="N16" s="158">
        <v>0</v>
      </c>
      <c r="O16" s="1365">
        <f>J16*L16/(1-N16)</f>
        <v>474000</v>
      </c>
      <c r="P16" s="1366"/>
      <c r="Q16" s="1488" t="s">
        <v>386</v>
      </c>
      <c r="R16" s="1489"/>
      <c r="S16" s="152"/>
      <c r="T16" s="480"/>
      <c r="U16">
        <v>0</v>
      </c>
      <c r="V16" t="s">
        <v>301</v>
      </c>
    </row>
    <row r="17" spans="2:35" ht="16.149999999999999" customHeight="1" x14ac:dyDescent="0.3">
      <c r="B17" s="365"/>
      <c r="C17" s="366"/>
      <c r="D17" s="366" t="s">
        <v>73</v>
      </c>
      <c r="E17" s="367"/>
      <c r="F17" s="391" t="s">
        <v>380</v>
      </c>
      <c r="G17" s="366">
        <v>758929</v>
      </c>
      <c r="H17" s="185" t="s">
        <v>131</v>
      </c>
      <c r="I17" s="184"/>
      <c r="J17" s="184">
        <v>3</v>
      </c>
      <c r="K17" s="55">
        <f>L17*0.75</f>
        <v>50250</v>
      </c>
      <c r="L17" s="392">
        <v>67000</v>
      </c>
      <c r="M17" s="390">
        <f>J17*K17</f>
        <v>150750</v>
      </c>
      <c r="N17" s="158">
        <v>0</v>
      </c>
      <c r="O17" s="1365">
        <f>J17*L17/(1-N17)</f>
        <v>201000</v>
      </c>
      <c r="P17" s="1366"/>
      <c r="Q17" s="1488" t="s">
        <v>385</v>
      </c>
      <c r="R17" s="1489"/>
      <c r="S17" s="152"/>
      <c r="T17" s="480"/>
      <c r="U17">
        <v>3</v>
      </c>
      <c r="V17" t="s">
        <v>303</v>
      </c>
    </row>
    <row r="18" spans="2:35" ht="16.149999999999999" customHeight="1" x14ac:dyDescent="0.3">
      <c r="B18" s="365"/>
      <c r="C18" s="366"/>
      <c r="D18" s="366" t="s">
        <v>73</v>
      </c>
      <c r="E18" s="367"/>
      <c r="F18" s="391" t="s">
        <v>384</v>
      </c>
      <c r="G18" s="366">
        <v>221501</v>
      </c>
      <c r="H18" s="185" t="s">
        <v>131</v>
      </c>
      <c r="I18" s="184"/>
      <c r="J18" s="184">
        <v>3</v>
      </c>
      <c r="K18" s="55">
        <f>L18*0.75</f>
        <v>115500</v>
      </c>
      <c r="L18" s="392">
        <v>154000</v>
      </c>
      <c r="M18" s="390">
        <f t="shared" ref="M18" si="5">J18*K18</f>
        <v>346500</v>
      </c>
      <c r="N18" s="158">
        <v>0</v>
      </c>
      <c r="O18" s="1365">
        <f t="shared" ref="O18" si="6">J18*L18/(1-N18)</f>
        <v>462000</v>
      </c>
      <c r="P18" s="1366"/>
      <c r="Q18" s="1488" t="s">
        <v>387</v>
      </c>
      <c r="R18" s="1489"/>
      <c r="S18" s="152"/>
      <c r="T18" s="480"/>
      <c r="U18">
        <v>3</v>
      </c>
      <c r="V18" t="s">
        <v>290</v>
      </c>
      <c r="W18" t="s">
        <v>294</v>
      </c>
    </row>
    <row r="19" spans="2:35" s="369" customFormat="1" x14ac:dyDescent="0.3">
      <c r="B19" s="476"/>
      <c r="C19" s="460"/>
      <c r="D19" s="477" t="s">
        <v>73</v>
      </c>
      <c r="E19" s="478"/>
      <c r="F19" s="442" t="s">
        <v>368</v>
      </c>
      <c r="G19" s="443" t="s">
        <v>331</v>
      </c>
      <c r="H19" s="444" t="s">
        <v>131</v>
      </c>
      <c r="I19" s="444"/>
      <c r="J19" s="445">
        <v>2</v>
      </c>
      <c r="K19" s="446">
        <f t="shared" si="2"/>
        <v>1292250</v>
      </c>
      <c r="L19" s="446">
        <v>1723000</v>
      </c>
      <c r="M19" s="447">
        <f t="shared" si="4"/>
        <v>2584500</v>
      </c>
      <c r="N19" s="448">
        <v>0</v>
      </c>
      <c r="O19" s="1640">
        <f t="shared" si="0"/>
        <v>3446000</v>
      </c>
      <c r="P19" s="1641"/>
      <c r="Q19" s="1642" t="s">
        <v>292</v>
      </c>
      <c r="R19" s="1643"/>
      <c r="S19" s="472"/>
      <c r="T19" s="168"/>
      <c r="U19" s="368">
        <v>3</v>
      </c>
      <c r="W19" s="370"/>
      <c r="X19" s="370"/>
      <c r="Y19" s="370"/>
      <c r="Z19" s="370"/>
      <c r="AA19" s="370"/>
      <c r="AB19" s="370"/>
      <c r="AC19" s="370"/>
      <c r="AD19" s="370"/>
      <c r="AE19" s="370"/>
      <c r="AF19" s="370"/>
      <c r="AG19" s="370"/>
      <c r="AH19" s="370"/>
      <c r="AI19" s="370"/>
    </row>
    <row r="20" spans="2:35" ht="16.149999999999999" customHeight="1" x14ac:dyDescent="0.3">
      <c r="B20" s="149"/>
      <c r="C20" s="150" t="s">
        <v>73</v>
      </c>
      <c r="D20" s="150"/>
      <c r="E20" s="151"/>
      <c r="F20" s="156" t="s">
        <v>313</v>
      </c>
      <c r="G20" s="155" t="s">
        <v>273</v>
      </c>
      <c r="H20" s="155" t="s">
        <v>255</v>
      </c>
      <c r="I20" s="155"/>
      <c r="J20" s="155">
        <v>1</v>
      </c>
      <c r="K20" s="55">
        <f t="shared" si="2"/>
        <v>27652500</v>
      </c>
      <c r="L20" s="55">
        <v>36870000</v>
      </c>
      <c r="M20" s="164">
        <f t="shared" si="4"/>
        <v>27652500</v>
      </c>
      <c r="N20" s="158">
        <v>0</v>
      </c>
      <c r="O20" s="1365">
        <f t="shared" si="0"/>
        <v>36870000</v>
      </c>
      <c r="P20" s="1366"/>
      <c r="Q20" s="1488" t="s">
        <v>262</v>
      </c>
      <c r="R20" s="1489"/>
      <c r="S20" s="152"/>
      <c r="T20" s="168"/>
      <c r="U20"/>
      <c r="V20" t="s">
        <v>290</v>
      </c>
      <c r="W20" t="s">
        <v>294</v>
      </c>
    </row>
    <row r="21" spans="2:35" ht="16.149999999999999" customHeight="1" x14ac:dyDescent="0.3">
      <c r="B21" s="149"/>
      <c r="C21" s="291"/>
      <c r="D21" s="150" t="s">
        <v>73</v>
      </c>
      <c r="E21" s="151"/>
      <c r="F21" s="156" t="s">
        <v>314</v>
      </c>
      <c r="G21" s="155" t="s">
        <v>274</v>
      </c>
      <c r="H21" s="155" t="s">
        <v>255</v>
      </c>
      <c r="I21" s="155"/>
      <c r="J21" s="155">
        <v>1</v>
      </c>
      <c r="K21" s="55">
        <f t="shared" si="2"/>
        <v>23730000</v>
      </c>
      <c r="L21" s="55">
        <v>31640000</v>
      </c>
      <c r="M21" s="164">
        <f t="shared" si="4"/>
        <v>23730000</v>
      </c>
      <c r="N21" s="158">
        <v>0</v>
      </c>
      <c r="O21" s="1365">
        <f t="shared" si="0"/>
        <v>31640000</v>
      </c>
      <c r="P21" s="1366"/>
      <c r="Q21" s="1488" t="s">
        <v>262</v>
      </c>
      <c r="R21" s="1489"/>
      <c r="S21" s="152"/>
      <c r="T21" s="168"/>
      <c r="U21"/>
    </row>
    <row r="22" spans="2:35" s="84" customFormat="1" x14ac:dyDescent="0.3">
      <c r="B22" s="149"/>
      <c r="C22" s="150" t="s">
        <v>73</v>
      </c>
      <c r="D22" s="150"/>
      <c r="E22" s="151"/>
      <c r="F22" s="156" t="s">
        <v>299</v>
      </c>
      <c r="G22" s="393" t="s">
        <v>312</v>
      </c>
      <c r="H22" s="155" t="s">
        <v>318</v>
      </c>
      <c r="I22" s="155"/>
      <c r="J22" s="155">
        <v>1</v>
      </c>
      <c r="K22" s="55">
        <f>L22*0.75</f>
        <v>1125000</v>
      </c>
      <c r="L22" s="55">
        <v>1500000</v>
      </c>
      <c r="M22" s="164">
        <f>J22*K22</f>
        <v>1125000</v>
      </c>
      <c r="N22" s="158">
        <v>0</v>
      </c>
      <c r="O22" s="1365">
        <f>J22*L22/(1-N22)</f>
        <v>1500000</v>
      </c>
      <c r="P22" s="1366"/>
      <c r="Q22" s="1488" t="s">
        <v>400</v>
      </c>
      <c r="R22" s="1489"/>
      <c r="S22" s="152"/>
      <c r="T22" s="168"/>
      <c r="U22" s="78"/>
      <c r="V22"/>
      <c r="W22"/>
      <c r="X22"/>
      <c r="Y22"/>
      <c r="Z22"/>
      <c r="AA22"/>
      <c r="AB22"/>
      <c r="AC22"/>
      <c r="AD22"/>
      <c r="AE22"/>
      <c r="AF22"/>
      <c r="AG22"/>
    </row>
    <row r="23" spans="2:35" ht="16.149999999999999" customHeight="1" thickBot="1" x14ac:dyDescent="0.35">
      <c r="B23" s="365"/>
      <c r="C23" s="366"/>
      <c r="D23" s="366"/>
      <c r="E23" s="367"/>
      <c r="F23" s="156"/>
      <c r="G23" s="155"/>
      <c r="H23" s="155"/>
      <c r="I23" s="155"/>
      <c r="J23" s="186"/>
      <c r="K23" s="199"/>
      <c r="L23" s="55"/>
      <c r="M23" s="164"/>
      <c r="N23" s="158"/>
      <c r="O23" s="421"/>
      <c r="P23" s="422"/>
      <c r="Q23" s="1488"/>
      <c r="R23" s="1489"/>
      <c r="S23" s="474"/>
      <c r="T23" s="481"/>
      <c r="U23"/>
      <c r="V23" t="s">
        <v>291</v>
      </c>
      <c r="W23" t="s">
        <v>293</v>
      </c>
    </row>
    <row r="24" spans="2:35" s="369" customFormat="1" ht="17.25" thickBot="1" x14ac:dyDescent="0.35">
      <c r="B24" s="122" t="s">
        <v>2</v>
      </c>
      <c r="C24" s="116"/>
      <c r="D24" s="116"/>
      <c r="E24" s="117"/>
      <c r="F24" s="118" t="s">
        <v>266</v>
      </c>
      <c r="G24" s="383"/>
      <c r="H24" s="383"/>
      <c r="I24" s="383"/>
      <c r="J24" s="383"/>
      <c r="K24" s="383"/>
      <c r="L24" s="384"/>
      <c r="M24" s="121"/>
      <c r="N24" s="135"/>
      <c r="O24" s="1447"/>
      <c r="P24" s="1448"/>
      <c r="Q24" s="1586"/>
      <c r="R24" s="1587"/>
      <c r="S24" s="426"/>
      <c r="T24" s="115"/>
      <c r="U24" s="368"/>
      <c r="V24" s="370" t="s">
        <v>302</v>
      </c>
      <c r="W24" s="370"/>
      <c r="X24" s="370"/>
      <c r="Y24" s="370"/>
      <c r="Z24" s="370"/>
      <c r="AA24" s="370"/>
      <c r="AB24" s="370"/>
      <c r="AC24" s="370"/>
      <c r="AD24" s="370"/>
      <c r="AE24" s="370"/>
      <c r="AF24" s="370"/>
      <c r="AG24" s="370"/>
    </row>
    <row r="25" spans="2:35" s="84" customFormat="1" x14ac:dyDescent="0.3">
      <c r="B25" s="142"/>
      <c r="C25" s="143" t="s">
        <v>2</v>
      </c>
      <c r="D25" s="144"/>
      <c r="E25" s="145"/>
      <c r="F25" s="146" t="s">
        <v>279</v>
      </c>
      <c r="G25" s="144" t="s">
        <v>278</v>
      </c>
      <c r="H25" s="144" t="s">
        <v>80</v>
      </c>
      <c r="I25" s="144"/>
      <c r="J25" s="144">
        <v>1</v>
      </c>
      <c r="K25" s="157">
        <f t="shared" ref="K25:K28" si="7">L25*0.95</f>
        <v>2422500</v>
      </c>
      <c r="L25" s="147">
        <v>2550000</v>
      </c>
      <c r="M25" s="163">
        <f>J25*K25</f>
        <v>2422500</v>
      </c>
      <c r="N25" s="148">
        <v>0</v>
      </c>
      <c r="O25" s="1574">
        <f t="shared" ref="O25:O28" si="8">J25*L25/(1-N25)</f>
        <v>2550000</v>
      </c>
      <c r="P25" s="1575"/>
      <c r="Q25" s="1646"/>
      <c r="R25" s="1608"/>
      <c r="S25" s="429"/>
      <c r="T25" s="287"/>
      <c r="U25" s="78"/>
      <c r="V25"/>
      <c r="W25"/>
      <c r="X25"/>
      <c r="Y25"/>
      <c r="Z25"/>
      <c r="AA25"/>
      <c r="AB25"/>
      <c r="AC25"/>
      <c r="AD25"/>
      <c r="AE25"/>
      <c r="AF25"/>
      <c r="AG25"/>
    </row>
    <row r="26" spans="2:35" s="84" customFormat="1" x14ac:dyDescent="0.3">
      <c r="B26" s="149"/>
      <c r="C26" s="150"/>
      <c r="D26" s="150" t="s">
        <v>2</v>
      </c>
      <c r="E26" s="151"/>
      <c r="F26" s="156" t="s">
        <v>315</v>
      </c>
      <c r="G26" s="155" t="s">
        <v>311</v>
      </c>
      <c r="H26" s="155" t="s">
        <v>80</v>
      </c>
      <c r="I26" s="155"/>
      <c r="J26" s="155">
        <v>2</v>
      </c>
      <c r="K26" s="157">
        <f t="shared" si="7"/>
        <v>2242000</v>
      </c>
      <c r="L26" s="157">
        <v>2360000</v>
      </c>
      <c r="M26" s="164">
        <f t="shared" ref="M26:M28" si="9">J26*K26</f>
        <v>4484000</v>
      </c>
      <c r="N26" s="158">
        <v>0</v>
      </c>
      <c r="O26" s="1365">
        <f t="shared" si="8"/>
        <v>4720000</v>
      </c>
      <c r="P26" s="1366"/>
      <c r="Q26" s="1488" t="s">
        <v>352</v>
      </c>
      <c r="R26" s="1489"/>
      <c r="S26" s="428"/>
      <c r="T26" s="152"/>
      <c r="U26" s="78"/>
      <c r="V26"/>
      <c r="W26"/>
      <c r="X26"/>
      <c r="Y26"/>
      <c r="Z26"/>
      <c r="AA26"/>
      <c r="AB26"/>
      <c r="AC26"/>
      <c r="AD26"/>
      <c r="AE26"/>
      <c r="AF26"/>
      <c r="AG26"/>
    </row>
    <row r="27" spans="2:35" s="84" customFormat="1" x14ac:dyDescent="0.3">
      <c r="B27" s="149"/>
      <c r="C27" s="150"/>
      <c r="D27" s="150" t="s">
        <v>2</v>
      </c>
      <c r="E27" s="151"/>
      <c r="F27" s="156" t="s">
        <v>317</v>
      </c>
      <c r="G27" s="155" t="s">
        <v>316</v>
      </c>
      <c r="H27" s="155" t="s">
        <v>80</v>
      </c>
      <c r="I27" s="155"/>
      <c r="J27" s="155">
        <v>1</v>
      </c>
      <c r="K27" s="157">
        <f t="shared" si="7"/>
        <v>836000</v>
      </c>
      <c r="L27" s="157">
        <v>880000</v>
      </c>
      <c r="M27" s="164">
        <f t="shared" si="9"/>
        <v>836000</v>
      </c>
      <c r="N27" s="158">
        <v>0</v>
      </c>
      <c r="O27" s="1365">
        <f t="shared" si="8"/>
        <v>880000</v>
      </c>
      <c r="P27" s="1366"/>
      <c r="Q27" s="1488"/>
      <c r="R27" s="1489"/>
      <c r="S27" s="439"/>
      <c r="T27" s="289"/>
      <c r="U27" s="78"/>
      <c r="V27" s="83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 spans="2:35" s="82" customFormat="1" x14ac:dyDescent="0.3">
      <c r="B28" s="365"/>
      <c r="C28" s="150"/>
      <c r="D28" s="150" t="s">
        <v>2</v>
      </c>
      <c r="E28" s="367"/>
      <c r="F28" s="156" t="s">
        <v>324</v>
      </c>
      <c r="G28" s="155" t="s">
        <v>359</v>
      </c>
      <c r="H28" s="155" t="s">
        <v>80</v>
      </c>
      <c r="I28" s="155"/>
      <c r="J28" s="186">
        <v>1</v>
      </c>
      <c r="K28" s="55">
        <f t="shared" si="7"/>
        <v>1624500</v>
      </c>
      <c r="L28" s="55">
        <v>1710000</v>
      </c>
      <c r="M28" s="164">
        <f t="shared" si="9"/>
        <v>1624500</v>
      </c>
      <c r="N28" s="158">
        <v>0</v>
      </c>
      <c r="O28" s="1365">
        <f t="shared" si="8"/>
        <v>1710000</v>
      </c>
      <c r="P28" s="1366"/>
      <c r="Q28" s="1488" t="s">
        <v>360</v>
      </c>
      <c r="R28" s="1489"/>
      <c r="S28" s="439"/>
      <c r="T28" s="204"/>
      <c r="U28" s="273"/>
      <c r="V28" s="79"/>
    </row>
    <row r="29" spans="2:35" ht="17.25" thickBot="1" x14ac:dyDescent="0.35">
      <c r="B29" s="365"/>
      <c r="C29" s="366"/>
      <c r="D29" s="366"/>
      <c r="E29" s="367"/>
      <c r="F29" s="156"/>
      <c r="G29" s="155"/>
      <c r="H29" s="155"/>
      <c r="I29" s="155"/>
      <c r="J29" s="186"/>
      <c r="K29" s="199"/>
      <c r="L29" s="55"/>
      <c r="M29" s="164"/>
      <c r="N29" s="158"/>
      <c r="O29" s="421"/>
      <c r="P29" s="422"/>
      <c r="Q29" s="427"/>
      <c r="R29" s="428"/>
      <c r="S29" s="439"/>
      <c r="T29" s="204"/>
      <c r="U29" s="76"/>
      <c r="V29" s="3"/>
      <c r="W29" s="3"/>
      <c r="X29" s="79"/>
    </row>
    <row r="30" spans="2:35" ht="17.25" thickBot="1" x14ac:dyDescent="0.35">
      <c r="B30" s="122" t="s">
        <v>2</v>
      </c>
      <c r="C30" s="116"/>
      <c r="D30" s="116"/>
      <c r="E30" s="117"/>
      <c r="F30" s="118" t="s">
        <v>267</v>
      </c>
      <c r="G30" s="383"/>
      <c r="H30" s="383"/>
      <c r="I30" s="383"/>
      <c r="J30" s="383"/>
      <c r="K30" s="383"/>
      <c r="L30" s="384"/>
      <c r="M30" s="121"/>
      <c r="N30" s="135"/>
      <c r="O30" s="1447"/>
      <c r="P30" s="1448"/>
      <c r="Q30" s="1586"/>
      <c r="R30" s="1587"/>
      <c r="S30" s="426"/>
      <c r="T30" s="115"/>
      <c r="U30" s="76"/>
      <c r="V30" s="79"/>
    </row>
    <row r="31" spans="2:35" x14ac:dyDescent="0.3">
      <c r="B31" s="142"/>
      <c r="C31" s="143" t="s">
        <v>2</v>
      </c>
      <c r="D31" s="144"/>
      <c r="E31" s="145"/>
      <c r="F31" s="146" t="s">
        <v>58</v>
      </c>
      <c r="G31" s="144"/>
      <c r="H31" s="144"/>
      <c r="I31" s="144"/>
      <c r="J31" s="144">
        <v>1</v>
      </c>
      <c r="K31" s="157">
        <v>5000000</v>
      </c>
      <c r="L31" s="157">
        <v>5000000</v>
      </c>
      <c r="M31" s="163">
        <f>J31*K31</f>
        <v>5000000</v>
      </c>
      <c r="N31" s="148">
        <v>0.3</v>
      </c>
      <c r="O31" s="1574">
        <f t="shared" ref="O31:O44" si="10">J31*L31*(1+N31)</f>
        <v>6500000</v>
      </c>
      <c r="P31" s="1575"/>
      <c r="Q31" s="1646"/>
      <c r="R31" s="1608"/>
      <c r="S31" s="429"/>
      <c r="T31" s="287"/>
      <c r="U31" s="76"/>
      <c r="V31" s="79"/>
    </row>
    <row r="32" spans="2:35" s="84" customFormat="1" x14ac:dyDescent="0.3">
      <c r="B32" s="181"/>
      <c r="C32" s="182"/>
      <c r="D32" s="182" t="s">
        <v>2</v>
      </c>
      <c r="E32" s="183"/>
      <c r="F32" s="156" t="s">
        <v>247</v>
      </c>
      <c r="G32" s="155" t="s">
        <v>248</v>
      </c>
      <c r="H32" s="155" t="s">
        <v>249</v>
      </c>
      <c r="I32" s="155" t="s">
        <v>249</v>
      </c>
      <c r="J32" s="155">
        <v>1</v>
      </c>
      <c r="K32" s="157">
        <v>500000</v>
      </c>
      <c r="L32" s="157">
        <v>500000</v>
      </c>
      <c r="M32" s="164">
        <f>J32*K32</f>
        <v>500000</v>
      </c>
      <c r="N32" s="158">
        <v>0.3</v>
      </c>
      <c r="O32" s="1365">
        <f t="shared" si="10"/>
        <v>650000</v>
      </c>
      <c r="P32" s="1366"/>
      <c r="Q32" s="427"/>
      <c r="R32" s="428"/>
      <c r="S32" s="428"/>
      <c r="T32" s="152"/>
      <c r="U32" s="78"/>
      <c r="V32"/>
      <c r="W32"/>
      <c r="X32"/>
      <c r="Y32"/>
      <c r="Z32"/>
      <c r="AA32"/>
      <c r="AB32"/>
      <c r="AC32"/>
      <c r="AD32"/>
      <c r="AE32"/>
      <c r="AF32"/>
      <c r="AG32"/>
    </row>
    <row r="33" spans="2:35" s="84" customFormat="1" x14ac:dyDescent="0.3">
      <c r="B33" s="181"/>
      <c r="C33" s="182"/>
      <c r="D33" s="182" t="s">
        <v>2</v>
      </c>
      <c r="E33" s="183"/>
      <c r="F33" s="156" t="s">
        <v>250</v>
      </c>
      <c r="G33" s="155" t="s">
        <v>329</v>
      </c>
      <c r="H33" s="155" t="s">
        <v>330</v>
      </c>
      <c r="I33" s="155" t="s">
        <v>251</v>
      </c>
      <c r="J33" s="155">
        <v>1</v>
      </c>
      <c r="K33" s="157">
        <v>200000</v>
      </c>
      <c r="L33" s="157">
        <v>200000</v>
      </c>
      <c r="M33" s="164">
        <f>J33*K33</f>
        <v>200000</v>
      </c>
      <c r="N33" s="158">
        <v>0.3</v>
      </c>
      <c r="O33" s="1365">
        <f t="shared" si="10"/>
        <v>260000</v>
      </c>
      <c r="P33" s="1366"/>
      <c r="Q33" s="1488"/>
      <c r="R33" s="1489"/>
      <c r="S33" s="428"/>
      <c r="T33" s="152"/>
      <c r="U33" s="78"/>
      <c r="V33" s="8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pans="2:35" s="82" customFormat="1" x14ac:dyDescent="0.3">
      <c r="B34" s="181"/>
      <c r="C34" s="182"/>
      <c r="D34" s="182" t="s">
        <v>2</v>
      </c>
      <c r="E34" s="183"/>
      <c r="F34" s="156" t="s">
        <v>252</v>
      </c>
      <c r="G34" s="155" t="s">
        <v>253</v>
      </c>
      <c r="H34" s="155" t="s">
        <v>254</v>
      </c>
      <c r="I34" s="155" t="s">
        <v>254</v>
      </c>
      <c r="J34" s="186">
        <v>1</v>
      </c>
      <c r="K34" s="387">
        <v>3000000</v>
      </c>
      <c r="L34" s="387">
        <v>3000000</v>
      </c>
      <c r="M34" s="164">
        <f>J34*K34</f>
        <v>3000000</v>
      </c>
      <c r="N34" s="158">
        <v>0.3</v>
      </c>
      <c r="O34" s="1365">
        <f t="shared" si="10"/>
        <v>3900000</v>
      </c>
      <c r="P34" s="1366"/>
      <c r="Q34" s="427"/>
      <c r="R34" s="428"/>
      <c r="S34" s="439"/>
      <c r="T34" s="204"/>
      <c r="U34" s="273"/>
      <c r="V34" s="79"/>
    </row>
    <row r="35" spans="2:35" s="82" customFormat="1" x14ac:dyDescent="0.3">
      <c r="B35" s="149"/>
      <c r="C35" s="150"/>
      <c r="D35" s="155" t="s">
        <v>2</v>
      </c>
      <c r="E35" s="151"/>
      <c r="F35" s="156" t="s">
        <v>245</v>
      </c>
      <c r="G35" s="155" t="s">
        <v>246</v>
      </c>
      <c r="H35" s="155" t="s">
        <v>183</v>
      </c>
      <c r="I35" s="155"/>
      <c r="J35" s="155">
        <v>1</v>
      </c>
      <c r="K35" s="157">
        <v>200000</v>
      </c>
      <c r="L35" s="157">
        <v>200000</v>
      </c>
      <c r="M35" s="164">
        <f t="shared" ref="M35" si="11">J35*K35</f>
        <v>200000</v>
      </c>
      <c r="N35" s="158">
        <v>0.3</v>
      </c>
      <c r="O35" s="1365">
        <f t="shared" si="10"/>
        <v>260000</v>
      </c>
      <c r="P35" s="1366"/>
      <c r="Q35" s="1488"/>
      <c r="R35" s="1489"/>
      <c r="S35" s="428"/>
      <c r="T35" s="152"/>
      <c r="U35" s="273"/>
      <c r="V35" s="79"/>
    </row>
    <row r="36" spans="2:35" s="82" customFormat="1" x14ac:dyDescent="0.3">
      <c r="B36" s="365"/>
      <c r="C36" s="291"/>
      <c r="D36" s="291" t="s">
        <v>2</v>
      </c>
      <c r="E36" s="367"/>
      <c r="F36" s="156" t="s">
        <v>343</v>
      </c>
      <c r="G36" s="155" t="s">
        <v>334</v>
      </c>
      <c r="H36" s="155" t="s">
        <v>328</v>
      </c>
      <c r="I36" s="155"/>
      <c r="J36" s="186">
        <v>1</v>
      </c>
      <c r="K36" s="169">
        <v>450000</v>
      </c>
      <c r="L36" s="169">
        <v>500000</v>
      </c>
      <c r="M36" s="164">
        <f>J36*K36</f>
        <v>450000</v>
      </c>
      <c r="N36" s="158">
        <v>0</v>
      </c>
      <c r="O36" s="1365">
        <f t="shared" si="10"/>
        <v>500000</v>
      </c>
      <c r="P36" s="1366"/>
      <c r="Q36" s="1488" t="s">
        <v>327</v>
      </c>
      <c r="R36" s="1489"/>
      <c r="S36" s="439"/>
      <c r="T36" s="204"/>
      <c r="U36" s="273"/>
      <c r="V36" s="79"/>
    </row>
    <row r="37" spans="2:35" s="82" customFormat="1" x14ac:dyDescent="0.3">
      <c r="B37" s="181"/>
      <c r="C37" s="182" t="s">
        <v>2</v>
      </c>
      <c r="D37" s="366"/>
      <c r="E37" s="183"/>
      <c r="F37" s="388" t="s">
        <v>268</v>
      </c>
      <c r="G37" s="182"/>
      <c r="H37" s="182"/>
      <c r="I37" s="155"/>
      <c r="J37" s="155">
        <v>1</v>
      </c>
      <c r="K37" s="157"/>
      <c r="L37" s="157"/>
      <c r="M37" s="164">
        <f t="shared" ref="M37:M40" si="12">J37*K37</f>
        <v>0</v>
      </c>
      <c r="N37" s="158">
        <v>0.3</v>
      </c>
      <c r="O37" s="1365">
        <f t="shared" si="10"/>
        <v>0</v>
      </c>
      <c r="P37" s="1366"/>
      <c r="Q37" s="427"/>
      <c r="R37" s="428"/>
      <c r="S37" s="428"/>
      <c r="T37" s="152"/>
      <c r="U37" s="273"/>
      <c r="V37" s="79"/>
    </row>
    <row r="38" spans="2:35" s="84" customFormat="1" x14ac:dyDescent="0.3">
      <c r="B38" s="181"/>
      <c r="C38" s="182"/>
      <c r="D38" s="182" t="s">
        <v>2</v>
      </c>
      <c r="E38" s="183"/>
      <c r="F38" s="388" t="s">
        <v>284</v>
      </c>
      <c r="G38" s="182"/>
      <c r="H38" s="182"/>
      <c r="I38" s="155"/>
      <c r="J38" s="155">
        <v>1</v>
      </c>
      <c r="K38" s="157">
        <v>1000000</v>
      </c>
      <c r="L38" s="157">
        <v>1000000</v>
      </c>
      <c r="M38" s="164">
        <f>J38*K38</f>
        <v>1000000</v>
      </c>
      <c r="N38" s="158">
        <v>0.3</v>
      </c>
      <c r="O38" s="1365">
        <f t="shared" si="10"/>
        <v>1300000</v>
      </c>
      <c r="P38" s="1366"/>
      <c r="Q38" s="427"/>
      <c r="R38" s="428"/>
      <c r="S38" s="428"/>
      <c r="T38" s="152"/>
      <c r="U38" s="78"/>
      <c r="V38"/>
      <c r="W38"/>
      <c r="X38"/>
      <c r="Y38"/>
      <c r="Z38"/>
      <c r="AA38"/>
      <c r="AB38"/>
      <c r="AC38"/>
      <c r="AD38"/>
      <c r="AE38"/>
      <c r="AF38"/>
      <c r="AG38"/>
    </row>
    <row r="39" spans="2:35" s="82" customFormat="1" x14ac:dyDescent="0.3">
      <c r="B39" s="181"/>
      <c r="C39" s="182"/>
      <c r="D39" s="182" t="s">
        <v>2</v>
      </c>
      <c r="E39" s="183"/>
      <c r="F39" s="388" t="s">
        <v>269</v>
      </c>
      <c r="G39" s="182" t="s">
        <v>270</v>
      </c>
      <c r="H39" s="182" t="s">
        <v>271</v>
      </c>
      <c r="I39" s="155"/>
      <c r="J39" s="155">
        <f>6*3</f>
        <v>18</v>
      </c>
      <c r="K39" s="157">
        <v>120000</v>
      </c>
      <c r="L39" s="157">
        <v>120000</v>
      </c>
      <c r="M39" s="164">
        <f t="shared" si="12"/>
        <v>2160000</v>
      </c>
      <c r="N39" s="158">
        <v>0.3</v>
      </c>
      <c r="O39" s="1365">
        <f t="shared" si="10"/>
        <v>2808000</v>
      </c>
      <c r="P39" s="1366"/>
      <c r="Q39" s="1488"/>
      <c r="R39" s="1489"/>
      <c r="S39" s="428"/>
      <c r="T39" s="152"/>
      <c r="U39" s="273"/>
      <c r="V39" s="79"/>
    </row>
    <row r="40" spans="2:35" s="84" customFormat="1" x14ac:dyDescent="0.3">
      <c r="B40" s="181"/>
      <c r="C40" s="182"/>
      <c r="D40" s="182" t="s">
        <v>2</v>
      </c>
      <c r="E40" s="183"/>
      <c r="F40" s="388" t="s">
        <v>272</v>
      </c>
      <c r="G40" s="366" t="s">
        <v>286</v>
      </c>
      <c r="H40" s="366" t="s">
        <v>287</v>
      </c>
      <c r="I40" s="155"/>
      <c r="J40" s="155">
        <v>1</v>
      </c>
      <c r="K40" s="157">
        <v>230000</v>
      </c>
      <c r="L40" s="157">
        <v>230000</v>
      </c>
      <c r="M40" s="164">
        <f t="shared" si="12"/>
        <v>230000</v>
      </c>
      <c r="N40" s="158">
        <v>0.3</v>
      </c>
      <c r="O40" s="1365">
        <f t="shared" si="10"/>
        <v>299000</v>
      </c>
      <c r="P40" s="1366"/>
      <c r="Q40" s="1488" t="s">
        <v>363</v>
      </c>
      <c r="R40" s="1489"/>
      <c r="S40" s="428"/>
      <c r="T40" s="152"/>
      <c r="U40" s="78"/>
      <c r="V40"/>
      <c r="W40"/>
      <c r="X40"/>
      <c r="Y40"/>
      <c r="Z40"/>
      <c r="AA40"/>
      <c r="AB40"/>
      <c r="AC40"/>
      <c r="AD40"/>
      <c r="AE40"/>
      <c r="AF40"/>
      <c r="AG40"/>
    </row>
    <row r="41" spans="2:35" s="82" customFormat="1" x14ac:dyDescent="0.3">
      <c r="B41" s="181"/>
      <c r="C41" s="182"/>
      <c r="D41" s="182" t="s">
        <v>2</v>
      </c>
      <c r="E41" s="183"/>
      <c r="F41" s="389" t="s">
        <v>355</v>
      </c>
      <c r="G41" s="366" t="s">
        <v>285</v>
      </c>
      <c r="H41" s="366" t="s">
        <v>277</v>
      </c>
      <c r="I41" s="155"/>
      <c r="J41" s="155">
        <v>1</v>
      </c>
      <c r="K41" s="157">
        <v>70000</v>
      </c>
      <c r="L41" s="157">
        <v>70000</v>
      </c>
      <c r="M41" s="164">
        <f>J41*K41</f>
        <v>70000</v>
      </c>
      <c r="N41" s="158">
        <v>0.3</v>
      </c>
      <c r="O41" s="1365">
        <f t="shared" si="10"/>
        <v>91000</v>
      </c>
      <c r="P41" s="1366"/>
      <c r="Q41" s="1488" t="s">
        <v>362</v>
      </c>
      <c r="R41" s="1489"/>
      <c r="S41" s="428"/>
      <c r="T41" s="152"/>
      <c r="U41" s="273"/>
      <c r="V41" s="79"/>
    </row>
    <row r="42" spans="2:35" s="82" customFormat="1" x14ac:dyDescent="0.3">
      <c r="B42" s="181"/>
      <c r="C42" s="182"/>
      <c r="D42" s="182" t="s">
        <v>2</v>
      </c>
      <c r="E42" s="183"/>
      <c r="F42" s="388" t="s">
        <v>354</v>
      </c>
      <c r="G42" s="366" t="s">
        <v>353</v>
      </c>
      <c r="H42" s="182" t="s">
        <v>277</v>
      </c>
      <c r="I42" s="155"/>
      <c r="J42" s="155">
        <v>1</v>
      </c>
      <c r="K42" s="157">
        <v>70000</v>
      </c>
      <c r="L42" s="157">
        <v>70000</v>
      </c>
      <c r="M42" s="164">
        <f>J42*K42</f>
        <v>70000</v>
      </c>
      <c r="N42" s="158">
        <v>0.3</v>
      </c>
      <c r="O42" s="1365">
        <f t="shared" si="10"/>
        <v>91000</v>
      </c>
      <c r="P42" s="1366"/>
      <c r="Q42" s="1488" t="s">
        <v>362</v>
      </c>
      <c r="R42" s="1489"/>
      <c r="S42" s="428"/>
      <c r="T42" s="152"/>
      <c r="U42" s="273"/>
      <c r="V42" s="79"/>
    </row>
    <row r="43" spans="2:35" s="82" customFormat="1" x14ac:dyDescent="0.3">
      <c r="B43" s="181"/>
      <c r="C43" s="182"/>
      <c r="D43" s="182" t="s">
        <v>2</v>
      </c>
      <c r="E43" s="183"/>
      <c r="F43" s="388" t="s">
        <v>357</v>
      </c>
      <c r="G43" s="366" t="s">
        <v>285</v>
      </c>
      <c r="H43" s="182" t="s">
        <v>277</v>
      </c>
      <c r="I43" s="155"/>
      <c r="J43" s="155">
        <v>1</v>
      </c>
      <c r="K43" s="157">
        <v>70000</v>
      </c>
      <c r="L43" s="157">
        <v>70000</v>
      </c>
      <c r="M43" s="157">
        <v>70000</v>
      </c>
      <c r="N43" s="158">
        <v>0.3</v>
      </c>
      <c r="O43" s="1365">
        <f t="shared" si="10"/>
        <v>91000</v>
      </c>
      <c r="P43" s="1366"/>
      <c r="Q43" s="1488" t="s">
        <v>361</v>
      </c>
      <c r="R43" s="1489"/>
      <c r="S43" s="428"/>
      <c r="T43" s="152"/>
      <c r="U43" s="273"/>
      <c r="V43" s="79"/>
    </row>
    <row r="44" spans="2:35" s="82" customFormat="1" x14ac:dyDescent="0.3">
      <c r="B44" s="181"/>
      <c r="C44" s="182" t="s">
        <v>2</v>
      </c>
      <c r="D44" s="366"/>
      <c r="E44" s="183"/>
      <c r="F44" s="388" t="s">
        <v>338</v>
      </c>
      <c r="G44" s="182"/>
      <c r="H44" s="182"/>
      <c r="I44" s="155"/>
      <c r="J44" s="155">
        <v>1</v>
      </c>
      <c r="K44" s="157">
        <v>3000000</v>
      </c>
      <c r="L44" s="157">
        <v>3000000</v>
      </c>
      <c r="M44" s="164">
        <f>J44*K44</f>
        <v>3000000</v>
      </c>
      <c r="N44" s="158">
        <v>0.3</v>
      </c>
      <c r="O44" s="1365">
        <f t="shared" si="10"/>
        <v>3900000</v>
      </c>
      <c r="P44" s="1366"/>
      <c r="Q44" s="427"/>
      <c r="R44" s="428"/>
      <c r="S44" s="428"/>
      <c r="T44" s="152"/>
      <c r="U44" s="273"/>
      <c r="V44" s="79"/>
    </row>
    <row r="45" spans="2:35" s="82" customFormat="1" ht="17.25" thickBot="1" x14ac:dyDescent="0.35">
      <c r="B45" s="365"/>
      <c r="C45" s="366"/>
      <c r="D45" s="366"/>
      <c r="E45" s="367"/>
      <c r="F45" s="156"/>
      <c r="G45" s="155"/>
      <c r="H45" s="155"/>
      <c r="I45" s="155"/>
      <c r="J45" s="186"/>
      <c r="K45" s="199"/>
      <c r="L45" s="55"/>
      <c r="M45" s="164"/>
      <c r="N45" s="158"/>
      <c r="O45" s="421"/>
      <c r="P45" s="422"/>
      <c r="Q45" s="427"/>
      <c r="R45" s="428"/>
      <c r="S45" s="439"/>
      <c r="T45" s="204"/>
      <c r="U45" s="273"/>
      <c r="V45" s="79"/>
    </row>
    <row r="46" spans="2:35" s="82" customFormat="1" ht="18" thickBot="1" x14ac:dyDescent="0.35">
      <c r="B46" s="1338" t="s">
        <v>53</v>
      </c>
      <c r="C46" s="1339"/>
      <c r="D46" s="1339"/>
      <c r="E46" s="1339"/>
      <c r="F46" s="1339"/>
      <c r="G46" s="1339"/>
      <c r="H46" s="1339"/>
      <c r="I46" s="1339"/>
      <c r="J46" s="1339"/>
      <c r="K46" s="1339"/>
      <c r="L46" s="1340"/>
      <c r="M46" s="123">
        <f>SUM(M5:M45)</f>
        <v>116535000</v>
      </c>
      <c r="N46" s="136"/>
      <c r="O46" s="1341">
        <f>SUM(O5:P45)</f>
        <v>163274000</v>
      </c>
      <c r="P46" s="1342"/>
      <c r="Q46" s="1343"/>
      <c r="R46" s="1344"/>
      <c r="S46" s="425"/>
      <c r="T46" s="130"/>
      <c r="U46" s="273"/>
    </row>
    <row r="47" spans="2:35" s="82" customFormat="1" ht="17.25" thickBot="1" x14ac:dyDescent="0.35">
      <c r="B47" s="122" t="s">
        <v>2</v>
      </c>
      <c r="C47" s="116"/>
      <c r="D47" s="116"/>
      <c r="E47" s="117"/>
      <c r="F47" s="118" t="s">
        <v>242</v>
      </c>
      <c r="G47" s="119"/>
      <c r="H47" s="119"/>
      <c r="I47" s="119"/>
      <c r="J47" s="119"/>
      <c r="K47" s="119"/>
      <c r="L47" s="120"/>
      <c r="M47" s="121"/>
      <c r="N47" s="135"/>
      <c r="O47" s="1447"/>
      <c r="P47" s="1448"/>
      <c r="Q47" s="1326"/>
      <c r="R47" s="1327"/>
      <c r="S47" s="430"/>
      <c r="T47" s="115"/>
      <c r="U47" s="273"/>
      <c r="V47" s="79"/>
    </row>
    <row r="48" spans="2:35" s="82" customFormat="1" x14ac:dyDescent="0.3">
      <c r="B48" s="131"/>
      <c r="C48" s="132" t="s">
        <v>73</v>
      </c>
      <c r="D48" s="133"/>
      <c r="E48" s="165"/>
      <c r="F48" s="227" t="s">
        <v>319</v>
      </c>
      <c r="G48" s="222" t="s">
        <v>94</v>
      </c>
      <c r="H48" s="222" t="s">
        <v>130</v>
      </c>
      <c r="I48" s="222" t="s">
        <v>131</v>
      </c>
      <c r="J48" s="371">
        <v>10</v>
      </c>
      <c r="K48" s="55">
        <v>307000</v>
      </c>
      <c r="L48" s="55">
        <v>307000</v>
      </c>
      <c r="M48" s="230">
        <f t="shared" ref="M48:M49" si="13">J48*K48</f>
        <v>3070000</v>
      </c>
      <c r="N48" s="148"/>
      <c r="O48" s="1365">
        <f t="shared" ref="O48:O49" si="14">L48*J48</f>
        <v>3070000</v>
      </c>
      <c r="P48" s="1366"/>
      <c r="Q48" s="1492"/>
      <c r="R48" s="1493"/>
      <c r="S48" s="462"/>
      <c r="T48" s="207"/>
      <c r="U48" s="273"/>
      <c r="V48"/>
      <c r="W48"/>
      <c r="X48" s="79"/>
    </row>
    <row r="49" spans="2:33" s="84" customFormat="1" x14ac:dyDescent="0.3">
      <c r="B49" s="208"/>
      <c r="C49" s="209" t="s">
        <v>73</v>
      </c>
      <c r="D49" s="210"/>
      <c r="E49" s="211"/>
      <c r="F49" s="228" t="s">
        <v>320</v>
      </c>
      <c r="G49" s="223" t="s">
        <v>94</v>
      </c>
      <c r="H49" s="223" t="s">
        <v>130</v>
      </c>
      <c r="I49" s="223" t="s">
        <v>131</v>
      </c>
      <c r="J49" s="372">
        <v>25</v>
      </c>
      <c r="K49" s="55">
        <v>307000</v>
      </c>
      <c r="L49" s="55">
        <v>307000</v>
      </c>
      <c r="M49" s="231">
        <f t="shared" si="13"/>
        <v>7675000</v>
      </c>
      <c r="N49" s="158"/>
      <c r="O49" s="1365">
        <f t="shared" si="14"/>
        <v>7675000</v>
      </c>
      <c r="P49" s="1366"/>
      <c r="Q49" s="1494"/>
      <c r="R49" s="1495"/>
      <c r="S49" s="463"/>
      <c r="T49" s="212"/>
      <c r="U49" s="78"/>
      <c r="V49"/>
      <c r="W49"/>
      <c r="X49"/>
      <c r="Y49"/>
      <c r="Z49"/>
      <c r="AA49"/>
      <c r="AB49"/>
      <c r="AC49"/>
      <c r="AD49"/>
      <c r="AE49"/>
      <c r="AF49"/>
      <c r="AG49"/>
    </row>
    <row r="50" spans="2:33" s="84" customFormat="1" ht="17.25" thickBot="1" x14ac:dyDescent="0.35">
      <c r="B50" s="213"/>
      <c r="C50" s="214"/>
      <c r="D50" s="215"/>
      <c r="E50" s="216"/>
      <c r="F50" s="229"/>
      <c r="G50" s="224"/>
      <c r="H50" s="224"/>
      <c r="I50" s="224"/>
      <c r="J50" s="373"/>
      <c r="K50" s="225"/>
      <c r="L50" s="225"/>
      <c r="M50" s="226"/>
      <c r="N50" s="162"/>
      <c r="O50" s="1365">
        <f t="shared" ref="O50" si="15">L50</f>
        <v>0</v>
      </c>
      <c r="P50" s="1366"/>
      <c r="Q50" s="1453"/>
      <c r="R50" s="1454"/>
      <c r="S50" s="464"/>
      <c r="T50" s="217"/>
      <c r="U50" s="78"/>
      <c r="V50"/>
      <c r="W50"/>
      <c r="X50"/>
      <c r="Y50"/>
      <c r="Z50"/>
      <c r="AA50"/>
      <c r="AB50"/>
      <c r="AC50"/>
      <c r="AD50"/>
      <c r="AE50"/>
      <c r="AF50"/>
      <c r="AG50"/>
    </row>
    <row r="51" spans="2:33" s="84" customFormat="1" ht="17.25" thickBot="1" x14ac:dyDescent="0.35">
      <c r="B51" s="122" t="s">
        <v>2</v>
      </c>
      <c r="C51" s="116"/>
      <c r="D51" s="116"/>
      <c r="E51" s="117"/>
      <c r="F51" s="218" t="s">
        <v>243</v>
      </c>
      <c r="G51" s="219"/>
      <c r="H51" s="219"/>
      <c r="I51" s="219"/>
      <c r="J51" s="219"/>
      <c r="K51" s="220"/>
      <c r="L51" s="220"/>
      <c r="M51" s="221"/>
      <c r="N51" s="135"/>
      <c r="O51" s="1447"/>
      <c r="P51" s="1448"/>
      <c r="Q51" s="1447"/>
      <c r="R51" s="1448"/>
      <c r="S51" s="465"/>
      <c r="T51" s="115"/>
      <c r="U51" s="78"/>
      <c r="V51"/>
      <c r="W51"/>
      <c r="X51"/>
      <c r="Y51"/>
      <c r="Z51"/>
      <c r="AA51"/>
      <c r="AB51"/>
      <c r="AC51"/>
      <c r="AD51"/>
      <c r="AE51"/>
      <c r="AF51"/>
      <c r="AG51"/>
    </row>
    <row r="52" spans="2:33" s="84" customFormat="1" x14ac:dyDescent="0.3">
      <c r="B52" s="64"/>
      <c r="C52" s="65" t="s">
        <v>2</v>
      </c>
      <c r="D52" s="65"/>
      <c r="E52" s="66"/>
      <c r="F52" s="88" t="s">
        <v>7</v>
      </c>
      <c r="G52" s="85"/>
      <c r="H52" s="223" t="s">
        <v>130</v>
      </c>
      <c r="I52" s="223" t="s">
        <v>131</v>
      </c>
      <c r="J52" s="80">
        <v>5</v>
      </c>
      <c r="K52" s="55">
        <v>307000</v>
      </c>
      <c r="L52" s="55">
        <v>307000</v>
      </c>
      <c r="M52" s="112">
        <f>K52*J52</f>
        <v>1535000</v>
      </c>
      <c r="N52" s="137"/>
      <c r="O52" s="1365">
        <f t="shared" ref="O52:O58" si="16">L52*J52</f>
        <v>1535000</v>
      </c>
      <c r="P52" s="1366"/>
      <c r="Q52" s="1359" t="s">
        <v>62</v>
      </c>
      <c r="R52" s="1360"/>
      <c r="S52" s="431"/>
      <c r="T52" s="94"/>
      <c r="U52" s="78"/>
      <c r="V52"/>
      <c r="W52"/>
      <c r="X52"/>
      <c r="Y52"/>
      <c r="Z52"/>
      <c r="AA52"/>
      <c r="AB52"/>
      <c r="AC52"/>
      <c r="AD52"/>
      <c r="AE52"/>
      <c r="AF52"/>
      <c r="AG52"/>
    </row>
    <row r="53" spans="2:33" s="84" customFormat="1" x14ac:dyDescent="0.3">
      <c r="B53" s="62"/>
      <c r="C53" s="63" t="s">
        <v>2</v>
      </c>
      <c r="D53" s="63"/>
      <c r="E53" s="61"/>
      <c r="F53" s="89" t="s">
        <v>11</v>
      </c>
      <c r="G53" s="86"/>
      <c r="H53" s="223" t="s">
        <v>130</v>
      </c>
      <c r="I53" s="223" t="s">
        <v>131</v>
      </c>
      <c r="J53" s="56">
        <v>3</v>
      </c>
      <c r="K53" s="55">
        <v>307000</v>
      </c>
      <c r="L53" s="55">
        <v>307000</v>
      </c>
      <c r="M53" s="113">
        <f t="shared" ref="M53:M58" si="17">K53*J53</f>
        <v>921000</v>
      </c>
      <c r="N53" s="138"/>
      <c r="O53" s="1365">
        <f t="shared" si="16"/>
        <v>921000</v>
      </c>
      <c r="P53" s="1366"/>
      <c r="Q53" s="1361"/>
      <c r="R53" s="1362"/>
      <c r="S53" s="432"/>
      <c r="T53" s="95"/>
      <c r="U53" s="78"/>
      <c r="V53"/>
      <c r="W53"/>
      <c r="X53"/>
      <c r="Y53"/>
      <c r="Z53"/>
      <c r="AA53"/>
      <c r="AB53"/>
      <c r="AC53"/>
      <c r="AD53"/>
      <c r="AE53"/>
      <c r="AF53"/>
      <c r="AG53"/>
    </row>
    <row r="54" spans="2:33" s="84" customFormat="1" x14ac:dyDescent="0.3">
      <c r="B54" s="62"/>
      <c r="C54" s="63" t="s">
        <v>2</v>
      </c>
      <c r="D54" s="63"/>
      <c r="E54" s="61"/>
      <c r="F54" s="89" t="s">
        <v>41</v>
      </c>
      <c r="G54" s="86"/>
      <c r="H54" s="223" t="s">
        <v>130</v>
      </c>
      <c r="I54" s="223" t="s">
        <v>131</v>
      </c>
      <c r="J54" s="56">
        <v>5</v>
      </c>
      <c r="K54" s="55">
        <v>307000</v>
      </c>
      <c r="L54" s="55">
        <v>307000</v>
      </c>
      <c r="M54" s="113">
        <f t="shared" si="17"/>
        <v>1535000</v>
      </c>
      <c r="N54" s="138"/>
      <c r="O54" s="1365">
        <f t="shared" si="16"/>
        <v>1535000</v>
      </c>
      <c r="P54" s="1366"/>
      <c r="Q54" s="1361"/>
      <c r="R54" s="1362"/>
      <c r="S54" s="432"/>
      <c r="T54" s="95"/>
      <c r="U54" s="78"/>
      <c r="V54"/>
      <c r="W54"/>
      <c r="X54"/>
      <c r="Y54"/>
      <c r="Z54"/>
      <c r="AA54"/>
      <c r="AB54"/>
      <c r="AC54"/>
      <c r="AD54"/>
      <c r="AE54"/>
      <c r="AF54"/>
      <c r="AG54"/>
    </row>
    <row r="55" spans="2:33" x14ac:dyDescent="0.3">
      <c r="B55" s="62"/>
      <c r="C55" s="63" t="s">
        <v>2</v>
      </c>
      <c r="D55" s="63"/>
      <c r="E55" s="61"/>
      <c r="F55" s="89" t="s">
        <v>10</v>
      </c>
      <c r="G55" s="86"/>
      <c r="H55" s="223" t="s">
        <v>130</v>
      </c>
      <c r="I55" s="223" t="s">
        <v>131</v>
      </c>
      <c r="J55" s="56">
        <v>3</v>
      </c>
      <c r="K55" s="55">
        <v>307000</v>
      </c>
      <c r="L55" s="55">
        <v>307000</v>
      </c>
      <c r="M55" s="113">
        <f t="shared" si="17"/>
        <v>921000</v>
      </c>
      <c r="N55" s="138"/>
      <c r="O55" s="1365">
        <f t="shared" si="16"/>
        <v>921000</v>
      </c>
      <c r="P55" s="1366"/>
      <c r="Q55" s="1361"/>
      <c r="R55" s="1362"/>
      <c r="S55" s="432"/>
      <c r="T55" s="95"/>
      <c r="U55" s="7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</row>
    <row r="56" spans="2:33" x14ac:dyDescent="0.3">
      <c r="B56" s="62"/>
      <c r="C56" s="63" t="s">
        <v>2</v>
      </c>
      <c r="D56" s="63"/>
      <c r="E56" s="61"/>
      <c r="F56" s="89" t="s">
        <v>61</v>
      </c>
      <c r="G56" s="86"/>
      <c r="H56" s="223" t="s">
        <v>130</v>
      </c>
      <c r="I56" s="223" t="s">
        <v>131</v>
      </c>
      <c r="J56" s="56">
        <v>2</v>
      </c>
      <c r="K56" s="55">
        <v>307000</v>
      </c>
      <c r="L56" s="55">
        <v>307000</v>
      </c>
      <c r="M56" s="113">
        <f t="shared" si="17"/>
        <v>614000</v>
      </c>
      <c r="N56" s="138"/>
      <c r="O56" s="1365">
        <f t="shared" si="16"/>
        <v>614000</v>
      </c>
      <c r="P56" s="1366"/>
      <c r="Q56" s="1361"/>
      <c r="R56" s="1362"/>
      <c r="S56" s="432"/>
      <c r="T56" s="95"/>
      <c r="U56" s="73"/>
    </row>
    <row r="57" spans="2:33" x14ac:dyDescent="0.3">
      <c r="B57" s="67"/>
      <c r="C57" s="63" t="s">
        <v>2</v>
      </c>
      <c r="D57" s="68"/>
      <c r="E57" s="69"/>
      <c r="F57" s="90" t="s">
        <v>9</v>
      </c>
      <c r="G57" s="86"/>
      <c r="H57" s="223" t="s">
        <v>130</v>
      </c>
      <c r="I57" s="223" t="s">
        <v>131</v>
      </c>
      <c r="J57" s="56">
        <v>5</v>
      </c>
      <c r="K57" s="55">
        <v>307000</v>
      </c>
      <c r="L57" s="55">
        <v>307000</v>
      </c>
      <c r="M57" s="113">
        <f t="shared" si="17"/>
        <v>1535000</v>
      </c>
      <c r="N57" s="138"/>
      <c r="O57" s="1365">
        <f t="shared" si="16"/>
        <v>1535000</v>
      </c>
      <c r="P57" s="1366"/>
      <c r="Q57" s="1361"/>
      <c r="R57" s="1362"/>
      <c r="S57" s="432"/>
      <c r="T57" s="95"/>
      <c r="U57" s="73"/>
    </row>
    <row r="58" spans="2:33" ht="17.25" thickBot="1" x14ac:dyDescent="0.35">
      <c r="B58" s="57"/>
      <c r="C58" s="58" t="s">
        <v>2</v>
      </c>
      <c r="D58" s="58"/>
      <c r="E58" s="60"/>
      <c r="F58" s="91" t="s">
        <v>8</v>
      </c>
      <c r="G58" s="87"/>
      <c r="H58" s="223" t="s">
        <v>130</v>
      </c>
      <c r="I58" s="223" t="s">
        <v>131</v>
      </c>
      <c r="J58" s="59">
        <v>2</v>
      </c>
      <c r="K58" s="55">
        <v>307000</v>
      </c>
      <c r="L58" s="55">
        <v>307000</v>
      </c>
      <c r="M58" s="114">
        <f t="shared" si="17"/>
        <v>614000</v>
      </c>
      <c r="N58" s="139"/>
      <c r="O58" s="1365">
        <f t="shared" si="16"/>
        <v>614000</v>
      </c>
      <c r="P58" s="1366"/>
      <c r="Q58" s="1363"/>
      <c r="R58" s="1364"/>
      <c r="S58" s="433"/>
      <c r="T58" s="96"/>
      <c r="U58" s="73"/>
    </row>
    <row r="59" spans="2:33" ht="18" thickBot="1" x14ac:dyDescent="0.35">
      <c r="B59" s="1345" t="s">
        <v>46</v>
      </c>
      <c r="C59" s="1346"/>
      <c r="D59" s="1346"/>
      <c r="E59" s="1346"/>
      <c r="F59" s="1346"/>
      <c r="G59" s="1346"/>
      <c r="H59" s="1346"/>
      <c r="I59" s="1346"/>
      <c r="J59" s="1346"/>
      <c r="K59" s="1346"/>
      <c r="L59" s="1347"/>
      <c r="M59" s="124">
        <f>SUM(M47:M58)</f>
        <v>18420000</v>
      </c>
      <c r="N59" s="140"/>
      <c r="O59" s="1348">
        <f>SUM(O47:P58)</f>
        <v>18420000</v>
      </c>
      <c r="P59" s="1349"/>
      <c r="Q59" s="1350"/>
      <c r="R59" s="1350"/>
      <c r="S59" s="1350"/>
      <c r="T59" s="1351"/>
      <c r="U59" s="74"/>
    </row>
    <row r="60" spans="2:33" ht="20.25" thickBot="1" x14ac:dyDescent="0.35">
      <c r="B60" s="1352" t="s">
        <v>52</v>
      </c>
      <c r="C60" s="1353"/>
      <c r="D60" s="1353"/>
      <c r="E60" s="1353"/>
      <c r="F60" s="1353"/>
      <c r="G60" s="1353"/>
      <c r="H60" s="1353"/>
      <c r="I60" s="1353"/>
      <c r="J60" s="1353"/>
      <c r="K60" s="1353"/>
      <c r="L60" s="1353"/>
      <c r="M60" s="125"/>
      <c r="N60" s="134">
        <v>0.03</v>
      </c>
      <c r="O60" s="1354">
        <f>ROUNDDOWN(O46*N60,-3)</f>
        <v>4898000</v>
      </c>
      <c r="P60" s="1355"/>
      <c r="Q60" s="1356"/>
      <c r="R60" s="1357"/>
      <c r="S60" s="1357"/>
      <c r="T60" s="1358"/>
    </row>
    <row r="61" spans="2:33" ht="20.25" thickBot="1" x14ac:dyDescent="0.35">
      <c r="B61" s="1352" t="s">
        <v>54</v>
      </c>
      <c r="C61" s="1353"/>
      <c r="D61" s="1353"/>
      <c r="E61" s="1353"/>
      <c r="F61" s="1353"/>
      <c r="G61" s="1353"/>
      <c r="H61" s="1353"/>
      <c r="I61" s="1353"/>
      <c r="J61" s="1353"/>
      <c r="K61" s="1353"/>
      <c r="L61" s="1353"/>
      <c r="M61" s="127"/>
      <c r="N61" s="128"/>
      <c r="O61" s="1354">
        <f>SUM(O60,O59,O46)</f>
        <v>186592000</v>
      </c>
      <c r="P61" s="1355"/>
      <c r="Q61" s="1374"/>
      <c r="R61" s="1375"/>
      <c r="S61" s="1375"/>
      <c r="T61" s="1376"/>
    </row>
    <row r="62" spans="2:33" ht="20.25" thickBot="1" x14ac:dyDescent="0.35">
      <c r="B62" s="1352" t="s">
        <v>51</v>
      </c>
      <c r="C62" s="1353"/>
      <c r="D62" s="1353"/>
      <c r="E62" s="1353"/>
      <c r="F62" s="1353"/>
      <c r="G62" s="1353"/>
      <c r="H62" s="1353"/>
      <c r="I62" s="1353"/>
      <c r="J62" s="1353"/>
      <c r="K62" s="1353"/>
      <c r="L62" s="1353"/>
      <c r="M62" s="129"/>
      <c r="N62" s="126">
        <v>0.1</v>
      </c>
      <c r="O62" s="1381">
        <f>ROUNDDOWN(O61*N62,-3)</f>
        <v>18659000</v>
      </c>
      <c r="P62" s="1382"/>
      <c r="Q62" s="1383"/>
      <c r="R62" s="1384"/>
      <c r="S62" s="1384"/>
      <c r="T62" s="1385"/>
    </row>
    <row r="63" spans="2:33" ht="21" thickBot="1" x14ac:dyDescent="0.35">
      <c r="B63" s="1367" t="s">
        <v>44</v>
      </c>
      <c r="C63" s="1368"/>
      <c r="D63" s="1368"/>
      <c r="E63" s="1368"/>
      <c r="F63" s="1368"/>
      <c r="G63" s="1368"/>
      <c r="H63" s="1368"/>
      <c r="I63" s="1368"/>
      <c r="J63" s="1368"/>
      <c r="K63" s="1368"/>
      <c r="L63" s="1368"/>
      <c r="M63" s="92"/>
      <c r="N63" s="111"/>
      <c r="O63" s="1369">
        <f>ROUNDDOWN(SUM(O61:P62), -6)</f>
        <v>205000000</v>
      </c>
      <c r="P63" s="1370"/>
      <c r="Q63" s="1371"/>
      <c r="R63" s="1372"/>
      <c r="S63" s="1372"/>
      <c r="T63" s="137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2:33" ht="21" hidden="1" thickBot="1" x14ac:dyDescent="0.35">
      <c r="B64" s="104"/>
      <c r="C64" s="104"/>
      <c r="D64" s="104"/>
      <c r="E64" s="104"/>
      <c r="F64" s="105"/>
      <c r="G64" s="105"/>
      <c r="H64" s="105"/>
      <c r="I64" s="105"/>
      <c r="J64" s="105"/>
      <c r="K64" s="105"/>
      <c r="L64" s="105"/>
      <c r="M64" s="106"/>
      <c r="N64" s="107"/>
      <c r="O64" s="107"/>
      <c r="P64" s="107"/>
      <c r="Q64" s="108"/>
      <c r="R64" s="108"/>
      <c r="S64" s="108"/>
      <c r="T64" s="108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ht="18" hidden="1" thickBot="1" x14ac:dyDescent="0.35">
      <c r="B65" s="1374" t="s">
        <v>50</v>
      </c>
      <c r="C65" s="1375"/>
      <c r="D65" s="1375"/>
      <c r="E65" s="1376"/>
      <c r="F65" s="109"/>
      <c r="G65" s="109"/>
      <c r="H65" s="109"/>
      <c r="I65" s="109"/>
      <c r="J65" s="109"/>
      <c r="K65" s="110"/>
      <c r="L65" s="110"/>
      <c r="M65" s="110"/>
      <c r="N65" s="77" t="s">
        <v>14</v>
      </c>
      <c r="O65" s="1377" t="s">
        <v>15</v>
      </c>
      <c r="P65" s="1378"/>
      <c r="Q65" s="1379" t="s">
        <v>17</v>
      </c>
      <c r="R65" s="1380"/>
      <c r="S65" s="466"/>
      <c r="T65" s="166" t="s">
        <v>16</v>
      </c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hidden="1" x14ac:dyDescent="0.3">
      <c r="B66" s="102">
        <v>1</v>
      </c>
      <c r="C66" s="1400"/>
      <c r="D66" s="1401"/>
      <c r="E66" s="1401"/>
      <c r="F66" s="1401"/>
      <c r="G66" s="1401"/>
      <c r="H66" s="1401"/>
      <c r="I66" s="1401"/>
      <c r="J66" s="1402"/>
      <c r="N66" s="11">
        <v>0</v>
      </c>
      <c r="O66" s="1403">
        <f>$O$63/(1+N66)</f>
        <v>205000000</v>
      </c>
      <c r="P66" s="1404"/>
      <c r="Q66" s="1405">
        <f>O66-$M$46</f>
        <v>88465000</v>
      </c>
      <c r="R66" s="1406"/>
      <c r="S66" s="467"/>
      <c r="T66" s="160">
        <f>Q66/O66</f>
        <v>0.43153658536585365</v>
      </c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hidden="1" x14ac:dyDescent="0.3">
      <c r="B67" s="100">
        <v>2</v>
      </c>
      <c r="C67" s="1458"/>
      <c r="D67" s="1456"/>
      <c r="E67" s="1456"/>
      <c r="F67" s="1456"/>
      <c r="G67" s="1456"/>
      <c r="H67" s="1456"/>
      <c r="I67" s="1456"/>
      <c r="J67" s="1457"/>
      <c r="N67" s="9">
        <v>0.1</v>
      </c>
      <c r="O67" s="1389">
        <f>$O$63/(1+N67)</f>
        <v>186363636.36363634</v>
      </c>
      <c r="P67" s="1390"/>
      <c r="Q67" s="1391">
        <f t="shared" ref="Q67:Q70" si="18">O67-$M$46</f>
        <v>69828636.363636345</v>
      </c>
      <c r="R67" s="1392"/>
      <c r="S67" s="468"/>
      <c r="T67" s="161">
        <f t="shared" ref="T67:T70" si="19">Q67/O67</f>
        <v>0.37469024390243894</v>
      </c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hidden="1" x14ac:dyDescent="0.3">
      <c r="B68" s="100">
        <v>3</v>
      </c>
      <c r="C68" s="1455"/>
      <c r="D68" s="1456"/>
      <c r="E68" s="1456"/>
      <c r="F68" s="1456"/>
      <c r="G68" s="1456"/>
      <c r="H68" s="1456"/>
      <c r="I68" s="1456"/>
      <c r="J68" s="1457"/>
      <c r="N68" s="10">
        <v>0.15</v>
      </c>
      <c r="O68" s="1389">
        <f t="shared" ref="O68:O69" si="20">$O$63/(1+N68)</f>
        <v>178260869.56521741</v>
      </c>
      <c r="P68" s="1390"/>
      <c r="Q68" s="1391">
        <f t="shared" si="18"/>
        <v>61725869.565217406</v>
      </c>
      <c r="R68" s="1392"/>
      <c r="S68" s="468"/>
      <c r="T68" s="161">
        <f t="shared" si="19"/>
        <v>0.34626707317073174</v>
      </c>
    </row>
    <row r="69" spans="1:33" ht="18" hidden="1" customHeight="1" x14ac:dyDescent="0.3">
      <c r="B69" s="100">
        <v>4</v>
      </c>
      <c r="C69" s="1455"/>
      <c r="D69" s="1456"/>
      <c r="E69" s="1456"/>
      <c r="F69" s="1456"/>
      <c r="G69" s="1456"/>
      <c r="H69" s="1456"/>
      <c r="I69" s="1456"/>
      <c r="J69" s="1457"/>
      <c r="N69" s="10">
        <v>0.2</v>
      </c>
      <c r="O69" s="1389">
        <f t="shared" si="20"/>
        <v>170833333.33333334</v>
      </c>
      <c r="P69" s="1390"/>
      <c r="Q69" s="1391">
        <f t="shared" si="18"/>
        <v>54298333.333333343</v>
      </c>
      <c r="R69" s="1392"/>
      <c r="S69" s="468"/>
      <c r="T69" s="161">
        <f t="shared" si="19"/>
        <v>0.31784390243902444</v>
      </c>
    </row>
    <row r="70" spans="1:33" ht="18" hidden="1" customHeight="1" thickBot="1" x14ac:dyDescent="0.35">
      <c r="B70" s="100">
        <v>5</v>
      </c>
      <c r="C70" s="1393"/>
      <c r="D70" s="1394"/>
      <c r="E70" s="1394"/>
      <c r="F70" s="1394"/>
      <c r="G70" s="1394"/>
      <c r="H70" s="1394"/>
      <c r="I70" s="1394"/>
      <c r="J70" s="1395"/>
      <c r="N70" s="12" t="s">
        <v>45</v>
      </c>
      <c r="O70" s="1396">
        <v>0</v>
      </c>
      <c r="P70" s="1397"/>
      <c r="Q70" s="1398">
        <f t="shared" si="18"/>
        <v>-116535000</v>
      </c>
      <c r="R70" s="1399"/>
      <c r="S70" s="469"/>
      <c r="T70" s="99" t="e">
        <f t="shared" si="19"/>
        <v>#DIV/0!</v>
      </c>
    </row>
    <row r="71" spans="1:33" ht="18" hidden="1" customHeight="1" thickBot="1" x14ac:dyDescent="0.35">
      <c r="B71" s="100">
        <v>6</v>
      </c>
      <c r="C71" s="1393"/>
      <c r="D71" s="1394"/>
      <c r="E71" s="1394"/>
      <c r="F71" s="1394"/>
      <c r="G71" s="1394"/>
      <c r="H71" s="1394"/>
      <c r="I71" s="1394"/>
      <c r="J71" s="1395"/>
    </row>
    <row r="72" spans="1:33" s="103" customFormat="1" ht="18" hidden="1" customHeight="1" thickBot="1" x14ac:dyDescent="0.35">
      <c r="B72" s="100">
        <v>7</v>
      </c>
      <c r="C72" s="434"/>
      <c r="D72" s="435"/>
      <c r="E72" s="435"/>
      <c r="F72" s="435"/>
      <c r="G72" s="435"/>
      <c r="H72" s="435"/>
      <c r="I72" s="435"/>
      <c r="J72" s="436"/>
      <c r="K72" s="1"/>
      <c r="L72" s="1"/>
      <c r="M72" s="1"/>
      <c r="N72" s="1410" t="s">
        <v>47</v>
      </c>
      <c r="O72" s="1411"/>
      <c r="P72" s="1412" t="s">
        <v>48</v>
      </c>
      <c r="Q72" s="1413"/>
      <c r="R72" s="1414" t="s">
        <v>49</v>
      </c>
      <c r="S72" s="1665"/>
      <c r="T72" s="1415"/>
      <c r="V72"/>
      <c r="W72"/>
      <c r="X72"/>
      <c r="Y72"/>
      <c r="Z72"/>
      <c r="AA72"/>
      <c r="AB72"/>
      <c r="AC72"/>
      <c r="AD72"/>
      <c r="AE72"/>
      <c r="AF72"/>
      <c r="AG72"/>
    </row>
    <row r="73" spans="1:33" ht="18" hidden="1" customHeight="1" x14ac:dyDescent="0.3">
      <c r="B73" s="100">
        <v>8</v>
      </c>
      <c r="C73" s="1393"/>
      <c r="D73" s="1394"/>
      <c r="E73" s="1394"/>
      <c r="F73" s="1394"/>
      <c r="G73" s="1394"/>
      <c r="H73" s="1394"/>
      <c r="I73" s="1394"/>
      <c r="J73" s="1395"/>
      <c r="N73" s="1416"/>
      <c r="O73" s="1417"/>
      <c r="P73" s="1422"/>
      <c r="Q73" s="1423"/>
      <c r="R73" s="1428"/>
      <c r="S73" s="1662"/>
      <c r="T73" s="1429"/>
    </row>
    <row r="74" spans="1:33" ht="18" hidden="1" customHeight="1" x14ac:dyDescent="0.3">
      <c r="B74" s="100"/>
      <c r="C74" s="1434"/>
      <c r="D74" s="1435"/>
      <c r="E74" s="1435"/>
      <c r="F74" s="1435"/>
      <c r="G74" s="1435"/>
      <c r="H74" s="1435"/>
      <c r="I74" s="1435"/>
      <c r="J74" s="1436"/>
      <c r="N74" s="1418"/>
      <c r="O74" s="1419"/>
      <c r="P74" s="1424"/>
      <c r="Q74" s="1425"/>
      <c r="R74" s="1430"/>
      <c r="S74" s="1663"/>
      <c r="T74" s="1431"/>
    </row>
    <row r="75" spans="1:33" ht="18" hidden="1" customHeight="1" x14ac:dyDescent="0.3">
      <c r="B75" s="100"/>
      <c r="C75" s="1434"/>
      <c r="D75" s="1435"/>
      <c r="E75" s="1435"/>
      <c r="F75" s="1435"/>
      <c r="G75" s="1435"/>
      <c r="H75" s="1435"/>
      <c r="I75" s="1435"/>
      <c r="J75" s="1436"/>
      <c r="N75" s="1418"/>
      <c r="O75" s="1419"/>
      <c r="P75" s="1424"/>
      <c r="Q75" s="1425"/>
      <c r="R75" s="1430"/>
      <c r="S75" s="1663"/>
      <c r="T75" s="1431"/>
    </row>
    <row r="76" spans="1:33" ht="18" hidden="1" customHeight="1" thickBot="1" x14ac:dyDescent="0.35">
      <c r="B76" s="101"/>
      <c r="C76" s="1407"/>
      <c r="D76" s="1408"/>
      <c r="E76" s="1408"/>
      <c r="F76" s="1408"/>
      <c r="G76" s="1408"/>
      <c r="H76" s="1408"/>
      <c r="I76" s="1408"/>
      <c r="J76" s="1409"/>
      <c r="N76" s="1420"/>
      <c r="O76" s="1421"/>
      <c r="P76" s="1426"/>
      <c r="Q76" s="1427"/>
      <c r="R76" s="1432"/>
      <c r="S76" s="1664"/>
      <c r="T76" s="1433"/>
    </row>
    <row r="77" spans="1:33" ht="18" customHeight="1" x14ac:dyDescent="0.3"/>
    <row r="78" spans="1:33" ht="18" customHeight="1" x14ac:dyDescent="0.3"/>
    <row r="79" spans="1:33" ht="18" customHeight="1" x14ac:dyDescent="0.3"/>
    <row r="80" spans="1:33" s="3" customFormat="1" ht="17.25" x14ac:dyDescent="0.3">
      <c r="A80"/>
      <c r="B80" s="2"/>
      <c r="C80" s="2"/>
      <c r="D80" s="2"/>
      <c r="E80" s="2"/>
      <c r="K80" s="1"/>
      <c r="L80" s="1"/>
      <c r="M80" s="1"/>
      <c r="N80" s="5"/>
      <c r="O80" s="1"/>
      <c r="P80" s="1"/>
      <c r="Q80"/>
      <c r="R80"/>
      <c r="S80"/>
      <c r="T80" s="93"/>
      <c r="U80" s="97"/>
      <c r="V80"/>
      <c r="W80"/>
      <c r="X80"/>
      <c r="Y80"/>
      <c r="Z80"/>
      <c r="AA80"/>
      <c r="AB80"/>
      <c r="AC80"/>
      <c r="AD80"/>
      <c r="AE80"/>
      <c r="AF80"/>
      <c r="AG80"/>
    </row>
    <row r="81" spans="1:33" s="3" customFormat="1" x14ac:dyDescent="0.3">
      <c r="A81"/>
      <c r="B81" s="2"/>
      <c r="C81" s="2"/>
      <c r="D81" s="2"/>
      <c r="E81" s="2"/>
      <c r="K81" s="1"/>
      <c r="L81" s="1"/>
      <c r="M81" s="1"/>
      <c r="N81" s="5"/>
      <c r="O81" s="1"/>
      <c r="P81" s="1"/>
      <c r="Q81"/>
      <c r="R81"/>
      <c r="S81"/>
      <c r="T81" s="93"/>
      <c r="U81" s="98"/>
      <c r="V81"/>
      <c r="W81"/>
      <c r="X81"/>
      <c r="Y81"/>
      <c r="Z81"/>
      <c r="AA81"/>
      <c r="AB81"/>
      <c r="AC81"/>
      <c r="AD81"/>
      <c r="AE81"/>
      <c r="AF81"/>
      <c r="AG81"/>
    </row>
    <row r="82" spans="1:33" s="3" customFormat="1" x14ac:dyDescent="0.3">
      <c r="A82"/>
      <c r="B82" s="2"/>
      <c r="C82" s="2"/>
      <c r="D82" s="2"/>
      <c r="E82" s="2"/>
      <c r="K82" s="1"/>
      <c r="L82" s="1"/>
      <c r="M82" s="1"/>
      <c r="N82" s="5"/>
      <c r="O82" s="1"/>
      <c r="P82" s="1"/>
      <c r="Q82"/>
      <c r="R82"/>
      <c r="S82"/>
      <c r="T82" s="93"/>
      <c r="U82" s="98"/>
      <c r="V82"/>
      <c r="W82"/>
      <c r="X82"/>
      <c r="Y82"/>
      <c r="Z82"/>
      <c r="AA82"/>
      <c r="AB82"/>
      <c r="AC82"/>
      <c r="AD82"/>
      <c r="AE82"/>
      <c r="AF82"/>
      <c r="AG82"/>
    </row>
    <row r="83" spans="1:33" s="3" customFormat="1" x14ac:dyDescent="0.3">
      <c r="A83"/>
      <c r="B83" s="2"/>
      <c r="C83" s="2"/>
      <c r="D83" s="2"/>
      <c r="E83" s="2"/>
      <c r="K83" s="1"/>
      <c r="L83" s="1"/>
      <c r="M83" s="1"/>
      <c r="N83" s="5"/>
      <c r="O83" s="1"/>
      <c r="P83" s="1"/>
      <c r="Q83"/>
      <c r="R83"/>
      <c r="S83"/>
      <c r="T83" s="93"/>
      <c r="U83" s="98"/>
      <c r="V83"/>
      <c r="W83"/>
      <c r="X83"/>
      <c r="Y83"/>
      <c r="Z83"/>
      <c r="AA83"/>
      <c r="AB83"/>
      <c r="AC83"/>
      <c r="AD83"/>
      <c r="AE83"/>
      <c r="AF83"/>
      <c r="AG83"/>
    </row>
    <row r="84" spans="1:33" s="3" customFormat="1" x14ac:dyDescent="0.3">
      <c r="A84"/>
      <c r="B84" s="2"/>
      <c r="C84" s="2"/>
      <c r="D84" s="2"/>
      <c r="E84" s="2"/>
      <c r="K84" s="1"/>
      <c r="L84" s="1"/>
      <c r="M84" s="1"/>
      <c r="N84" s="5"/>
      <c r="O84" s="1"/>
      <c r="P84" s="1"/>
      <c r="Q84"/>
      <c r="R84"/>
      <c r="S84"/>
      <c r="T84" s="93"/>
      <c r="U84" s="98"/>
      <c r="V84"/>
      <c r="W84"/>
      <c r="X84"/>
      <c r="Y84"/>
      <c r="Z84"/>
      <c r="AA84"/>
      <c r="AB84"/>
      <c r="AC84"/>
      <c r="AD84"/>
      <c r="AE84"/>
      <c r="AF84"/>
      <c r="AG84"/>
    </row>
  </sheetData>
  <mergeCells count="138">
    <mergeCell ref="O6:P6"/>
    <mergeCell ref="Q6:R6"/>
    <mergeCell ref="C73:J73"/>
    <mergeCell ref="N73:O76"/>
    <mergeCell ref="P73:Q76"/>
    <mergeCell ref="R73:T76"/>
    <mergeCell ref="C74:J74"/>
    <mergeCell ref="C75:J75"/>
    <mergeCell ref="C76:J76"/>
    <mergeCell ref="C70:J70"/>
    <mergeCell ref="O70:P70"/>
    <mergeCell ref="Q70:R70"/>
    <mergeCell ref="C71:J71"/>
    <mergeCell ref="N72:O72"/>
    <mergeCell ref="P72:Q72"/>
    <mergeCell ref="R72:T72"/>
    <mergeCell ref="C68:J68"/>
    <mergeCell ref="O68:P68"/>
    <mergeCell ref="Q68:R68"/>
    <mergeCell ref="C69:J69"/>
    <mergeCell ref="O69:P69"/>
    <mergeCell ref="Q69:R69"/>
    <mergeCell ref="C66:J66"/>
    <mergeCell ref="O66:P66"/>
    <mergeCell ref="Q66:R66"/>
    <mergeCell ref="C67:J67"/>
    <mergeCell ref="O67:P67"/>
    <mergeCell ref="Q67:R67"/>
    <mergeCell ref="B63:L63"/>
    <mergeCell ref="O63:P63"/>
    <mergeCell ref="Q63:T63"/>
    <mergeCell ref="B65:E65"/>
    <mergeCell ref="O65:P65"/>
    <mergeCell ref="Q65:R65"/>
    <mergeCell ref="B61:L61"/>
    <mergeCell ref="O61:P61"/>
    <mergeCell ref="Q61:T61"/>
    <mergeCell ref="B62:L62"/>
    <mergeCell ref="O62:P62"/>
    <mergeCell ref="Q62:T62"/>
    <mergeCell ref="O57:P57"/>
    <mergeCell ref="O58:P58"/>
    <mergeCell ref="B59:L59"/>
    <mergeCell ref="O59:P59"/>
    <mergeCell ref="Q59:T59"/>
    <mergeCell ref="B60:L60"/>
    <mergeCell ref="O60:P60"/>
    <mergeCell ref="Q60:T60"/>
    <mergeCell ref="O50:P50"/>
    <mergeCell ref="Q50:R50"/>
    <mergeCell ref="O51:P51"/>
    <mergeCell ref="Q51:R51"/>
    <mergeCell ref="O52:P52"/>
    <mergeCell ref="Q52:R58"/>
    <mergeCell ref="O53:P53"/>
    <mergeCell ref="O54:P54"/>
    <mergeCell ref="O55:P55"/>
    <mergeCell ref="O56:P56"/>
    <mergeCell ref="O47:P47"/>
    <mergeCell ref="Q47:R47"/>
    <mergeCell ref="O48:P48"/>
    <mergeCell ref="Q48:R48"/>
    <mergeCell ref="O49:P49"/>
    <mergeCell ref="Q49:R49"/>
    <mergeCell ref="O42:P42"/>
    <mergeCell ref="Q42:R42"/>
    <mergeCell ref="O43:P43"/>
    <mergeCell ref="Q43:R43"/>
    <mergeCell ref="O44:P44"/>
    <mergeCell ref="B46:L46"/>
    <mergeCell ref="O46:P46"/>
    <mergeCell ref="Q46:R46"/>
    <mergeCell ref="O39:P39"/>
    <mergeCell ref="Q39:R39"/>
    <mergeCell ref="O40:P40"/>
    <mergeCell ref="Q40:R40"/>
    <mergeCell ref="O41:P41"/>
    <mergeCell ref="Q41:R41"/>
    <mergeCell ref="O35:P35"/>
    <mergeCell ref="Q35:R35"/>
    <mergeCell ref="O36:P36"/>
    <mergeCell ref="Q36:R36"/>
    <mergeCell ref="O37:P37"/>
    <mergeCell ref="O38:P38"/>
    <mergeCell ref="O31:P31"/>
    <mergeCell ref="Q31:R31"/>
    <mergeCell ref="O32:P32"/>
    <mergeCell ref="O33:P33"/>
    <mergeCell ref="Q33:R33"/>
    <mergeCell ref="O34:P34"/>
    <mergeCell ref="O27:P27"/>
    <mergeCell ref="Q27:R27"/>
    <mergeCell ref="O28:P28"/>
    <mergeCell ref="Q28:R28"/>
    <mergeCell ref="O30:P30"/>
    <mergeCell ref="Q30:R30"/>
    <mergeCell ref="Q23:R23"/>
    <mergeCell ref="O24:P24"/>
    <mergeCell ref="Q24:R24"/>
    <mergeCell ref="O25:P25"/>
    <mergeCell ref="Q25:R25"/>
    <mergeCell ref="O26:P26"/>
    <mergeCell ref="Q26:R26"/>
    <mergeCell ref="Q19:R19"/>
    <mergeCell ref="O20:P20"/>
    <mergeCell ref="Q20:R20"/>
    <mergeCell ref="O21:P21"/>
    <mergeCell ref="Q21:R21"/>
    <mergeCell ref="O16:P16"/>
    <mergeCell ref="Q16:R16"/>
    <mergeCell ref="O17:P17"/>
    <mergeCell ref="Q17:R17"/>
    <mergeCell ref="O18:P18"/>
    <mergeCell ref="Q18:R18"/>
    <mergeCell ref="O22:P22"/>
    <mergeCell ref="Q22:R22"/>
    <mergeCell ref="O9:P9"/>
    <mergeCell ref="Q9:R9"/>
    <mergeCell ref="A2:T2"/>
    <mergeCell ref="Q3:T3"/>
    <mergeCell ref="B4:E4"/>
    <mergeCell ref="O4:P4"/>
    <mergeCell ref="Q4:R4"/>
    <mergeCell ref="O5:P5"/>
    <mergeCell ref="Q5:R5"/>
    <mergeCell ref="O13:P13"/>
    <mergeCell ref="Q13:R13"/>
    <mergeCell ref="O14:P14"/>
    <mergeCell ref="Q14:R14"/>
    <mergeCell ref="O15:P15"/>
    <mergeCell ref="Q15:R15"/>
    <mergeCell ref="O10:P10"/>
    <mergeCell ref="Q10:R10"/>
    <mergeCell ref="O11:P11"/>
    <mergeCell ref="Q11:R11"/>
    <mergeCell ref="O12:P12"/>
    <mergeCell ref="Q12:R12"/>
    <mergeCell ref="O19:P19"/>
  </mergeCells>
  <phoneticPr fontId="2" type="noConversion"/>
  <pageMargins left="0.25" right="0.25" top="0.75" bottom="0.75" header="0.3" footer="0.3"/>
  <pageSetup paperSize="9" scale="44" fitToWidth="0" orientation="landscape" horizontalDpi="300" r:id="rId1"/>
  <headerFooter>
    <oddFooter>&amp;R&amp;D</oddFooter>
  </headerFooter>
  <drawing r:id="rId2"/>
</worksheet>
</file>

<file path=docMetadata/LabelInfo.xml><?xml version="1.0" encoding="utf-8"?>
<clbl:labelList xmlns:clbl="http://schemas.microsoft.com/office/2020/mipLabelMetadata">
  <clbl:label id="{5db29ff9-328f-40bc-bdc5-3c7b0421d507}" enabled="1" method="Standard" siteId="{0da2a83b-13d9-4a35-965f-ec53a220ed9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41</vt:i4>
      </vt:variant>
      <vt:variant>
        <vt:lpstr>이름 지정된 범위</vt:lpstr>
      </vt:variant>
      <vt:variant>
        <vt:i4>28</vt:i4>
      </vt:variant>
    </vt:vector>
  </HeadingPairs>
  <TitlesOfParts>
    <vt:vector size="69" baseType="lpstr">
      <vt:lpstr>9ch확장</vt:lpstr>
      <vt:lpstr>신뢰성 시험_4안r1_6ch확장</vt:lpstr>
      <vt:lpstr>전매 발주 LIST_FIVOT</vt:lpstr>
      <vt:lpstr>일정안1</vt:lpstr>
      <vt:lpstr>일정안2</vt:lpstr>
      <vt:lpstr>일정안3</vt:lpstr>
      <vt:lpstr>일정_240924</vt:lpstr>
      <vt:lpstr>일정_240821</vt:lpstr>
      <vt:lpstr>일정_240813</vt:lpstr>
      <vt:lpstr>일정_240726</vt:lpstr>
      <vt:lpstr>일정_240701</vt:lpstr>
      <vt:lpstr>기본 특성 시험_4안r1</vt:lpstr>
      <vt:lpstr>메카니컬 신뢰성 시험_4안r1</vt:lpstr>
      <vt:lpstr>환경 신뢰성 시험_4안r1</vt:lpstr>
      <vt:lpstr>내구 ES 수명 시험_4안r1</vt:lpstr>
      <vt:lpstr>전매 발주 LIST</vt:lpstr>
      <vt:lpstr>요약</vt:lpstr>
      <vt:lpstr>전원사양</vt:lpstr>
      <vt:lpstr>Sheet1 (2)</vt:lpstr>
      <vt:lpstr>저항 검토</vt:lpstr>
      <vt:lpstr>저항 수량 확인</vt:lpstr>
      <vt:lpstr>기본 특성 시험_4안</vt:lpstr>
      <vt:lpstr>메카니컬 신뢰성 시험_4안</vt:lpstr>
      <vt:lpstr>환경 신뢰성 시험_4안</vt:lpstr>
      <vt:lpstr>내구 ES 수명 시험_4안</vt:lpstr>
      <vt:lpstr>기본 특성 시험_3안</vt:lpstr>
      <vt:lpstr>메카니컬 신뢰성 시험_3안</vt:lpstr>
      <vt:lpstr>환경 신뢰성 시험_3안</vt:lpstr>
      <vt:lpstr>내구 ES 수명 시험_3안</vt:lpstr>
      <vt:lpstr>기본 특성 시험</vt:lpstr>
      <vt:lpstr>BOM (2)</vt:lpstr>
      <vt:lpstr>메카니컬 신뢰성 - R,RC_1안</vt:lpstr>
      <vt:lpstr>메카니컬 신뢰성 - R,RC_2안</vt:lpstr>
      <vt:lpstr>환경 신뢰성 - R,RC_1안</vt:lpstr>
      <vt:lpstr>환경 신뢰성 - R,RC_2안</vt:lpstr>
      <vt:lpstr>내구 ES 수명 시험_1안</vt:lpstr>
      <vt:lpstr>내구 ES 수명 시험_2안</vt:lpstr>
      <vt:lpstr>단가산출근거</vt:lpstr>
      <vt:lpstr>Sheet1</vt:lpstr>
      <vt:lpstr>Sheet7</vt:lpstr>
      <vt:lpstr>메카니컬 신뢰성 - R,RC_3안_(내부용)</vt:lpstr>
      <vt:lpstr>'9ch확장'!Print_Area</vt:lpstr>
      <vt:lpstr>'BOM (2)'!Print_Area</vt:lpstr>
      <vt:lpstr>'기본 특성 시험'!Print_Area</vt:lpstr>
      <vt:lpstr>'기본 특성 시험_3안'!Print_Area</vt:lpstr>
      <vt:lpstr>'기본 특성 시험_4안'!Print_Area</vt:lpstr>
      <vt:lpstr>'기본 특성 시험_4안r1'!Print_Area</vt:lpstr>
      <vt:lpstr>'내구 ES 수명 시험_1안'!Print_Area</vt:lpstr>
      <vt:lpstr>'내구 ES 수명 시험_2안'!Print_Area</vt:lpstr>
      <vt:lpstr>'내구 ES 수명 시험_3안'!Print_Area</vt:lpstr>
      <vt:lpstr>'내구 ES 수명 시험_4안'!Print_Area</vt:lpstr>
      <vt:lpstr>'내구 ES 수명 시험_4안r1'!Print_Area</vt:lpstr>
      <vt:lpstr>'메카니컬 신뢰성 - R,RC_1안'!Print_Area</vt:lpstr>
      <vt:lpstr>'메카니컬 신뢰성 - R,RC_2안'!Print_Area</vt:lpstr>
      <vt:lpstr>'메카니컬 신뢰성 - R,RC_3안_(내부용)'!Print_Area</vt:lpstr>
      <vt:lpstr>'메카니컬 신뢰성 시험_3안'!Print_Area</vt:lpstr>
      <vt:lpstr>'메카니컬 신뢰성 시험_4안'!Print_Area</vt:lpstr>
      <vt:lpstr>'메카니컬 신뢰성 시험_4안r1'!Print_Area</vt:lpstr>
      <vt:lpstr>'신뢰성 시험_4안r1_6ch확장'!Print_Area</vt:lpstr>
      <vt:lpstr>일정_240813!Print_Area</vt:lpstr>
      <vt:lpstr>일정_240821!Print_Area</vt:lpstr>
      <vt:lpstr>일정_240924!Print_Area</vt:lpstr>
      <vt:lpstr>'전매 발주 LIST'!Print_Area</vt:lpstr>
      <vt:lpstr>'전매 발주 LIST_FIVOT'!Print_Area</vt:lpstr>
      <vt:lpstr>'환경 신뢰성 - R,RC_1안'!Print_Area</vt:lpstr>
      <vt:lpstr>'환경 신뢰성 - R,RC_2안'!Print_Area</vt:lpstr>
      <vt:lpstr>'환경 신뢰성 시험_3안'!Print_Area</vt:lpstr>
      <vt:lpstr>'환경 신뢰성 시험_4안'!Print_Area</vt:lpstr>
      <vt:lpstr>'환경 신뢰성 시험_4안r1'!Print_Area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FreezeME_W520</dc:creator>
  <cp:lastModifiedBy>Noh YoungGu(노영구)</cp:lastModifiedBy>
  <cp:lastPrinted>2024-09-06T11:24:55Z</cp:lastPrinted>
  <dcterms:created xsi:type="dcterms:W3CDTF">2013-04-29T05:50:13Z</dcterms:created>
  <dcterms:modified xsi:type="dcterms:W3CDTF">2024-09-24T02:08:59Z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b5a962-1a7a-4bf8-819d-07a170110954_Enabled">
    <vt:lpwstr>true</vt:lpwstr>
  </property>
  <property fmtid="{D5CDD505-2E9C-101B-9397-08002B2CF9AE}" pid="3" name="MSIP_Label_69b5a962-1a7a-4bf8-819d-07a170110954_SetDate">
    <vt:lpwstr>2023-07-07T07:36:09Z</vt:lpwstr>
  </property>
  <property fmtid="{D5CDD505-2E9C-101B-9397-08002B2CF9AE}" pid="4" name="MSIP_Label_69b5a962-1a7a-4bf8-819d-07a170110954_Method">
    <vt:lpwstr>Standard</vt:lpwstr>
  </property>
  <property fmtid="{D5CDD505-2E9C-101B-9397-08002B2CF9AE}" pid="5" name="MSIP_Label_69b5a962-1a7a-4bf8-819d-07a170110954_Name">
    <vt:lpwstr>InternalUse</vt:lpwstr>
  </property>
  <property fmtid="{D5CDD505-2E9C-101B-9397-08002B2CF9AE}" pid="6" name="MSIP_Label_69b5a962-1a7a-4bf8-819d-07a170110954_SiteId">
    <vt:lpwstr>0da2a83b-13d9-4a35-965f-ec53a220ed9d</vt:lpwstr>
  </property>
  <property fmtid="{D5CDD505-2E9C-101B-9397-08002B2CF9AE}" pid="7" name="MSIP_Label_69b5a962-1a7a-4bf8-819d-07a170110954_ActionId">
    <vt:lpwstr>284048b4-8a28-4195-9861-cdf75b90ebb1</vt:lpwstr>
  </property>
  <property fmtid="{D5CDD505-2E9C-101B-9397-08002B2CF9AE}" pid="8" name="MSIP_Label_69b5a962-1a7a-4bf8-819d-07a170110954_ContentBits">
    <vt:lpwstr>0</vt:lpwstr>
  </property>
</Properties>
</file>