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Lukas Lindeman\Google Drive\CSP Project Group 6\For solar calculation\"/>
    </mc:Choice>
  </mc:AlternateContent>
  <bookViews>
    <workbookView xWindow="0" yWindow="0" windowWidth="10215" windowHeight="7155" firstSheet="1" activeTab="3"/>
  </bookViews>
  <sheets>
    <sheet name="Sheet1" sheetId="1" r:id="rId1"/>
    <sheet name="Sheet2" sheetId="2" r:id="rId2"/>
    <sheet name="Sheet3" sheetId="3" r:id="rId3"/>
    <sheet name="Blad1" sheetId="5" r:id="rId4"/>
    <sheet name="Cashflow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G11" i="5"/>
  <c r="E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E57" i="4" l="1"/>
  <c r="E59" i="4" s="1"/>
  <c r="AI20" i="4" l="1"/>
  <c r="AI21" i="4"/>
  <c r="AE22" i="4"/>
  <c r="AF22" i="4"/>
  <c r="AG22" i="4"/>
  <c r="AH22" i="4"/>
  <c r="AI22" i="4"/>
  <c r="AE23" i="4"/>
  <c r="AF23" i="4"/>
  <c r="AG23" i="4"/>
  <c r="AH23" i="4"/>
  <c r="AI23" i="4"/>
  <c r="AD22" i="4"/>
  <c r="AD23" i="4"/>
  <c r="AI9" i="4"/>
  <c r="AD9" i="4"/>
  <c r="AD21" i="4" s="1"/>
  <c r="AE9" i="4"/>
  <c r="AE21" i="4" s="1"/>
  <c r="AF9" i="4"/>
  <c r="AF21" i="4" s="1"/>
  <c r="AG9" i="4"/>
  <c r="AG21" i="4" s="1"/>
  <c r="AH9" i="4"/>
  <c r="AH21" i="4" s="1"/>
  <c r="J40" i="4" l="1"/>
  <c r="L46" i="4" l="1"/>
  <c r="L45" i="4"/>
  <c r="L43" i="4"/>
  <c r="L44" i="4"/>
  <c r="L36" i="4"/>
  <c r="L34" i="4"/>
  <c r="L37" i="4"/>
  <c r="L38" i="4"/>
  <c r="L35" i="4"/>
  <c r="L32" i="4"/>
  <c r="L33" i="4"/>
  <c r="D20" i="4" l="1"/>
  <c r="D21" i="4"/>
  <c r="I21" i="4"/>
  <c r="K21" i="4"/>
  <c r="Q21" i="4"/>
  <c r="S21" i="4"/>
  <c r="Y21" i="4"/>
  <c r="AA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C21" i="4"/>
  <c r="C23" i="4"/>
  <c r="C20" i="4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H8" i="4"/>
  <c r="L8" i="4"/>
  <c r="P8" i="4"/>
  <c r="T8" i="4"/>
  <c r="X8" i="4"/>
  <c r="AB8" i="4"/>
  <c r="AI12" i="4"/>
  <c r="F9" i="4"/>
  <c r="F21" i="4" s="1"/>
  <c r="G9" i="4"/>
  <c r="G21" i="4" s="1"/>
  <c r="H9" i="4"/>
  <c r="H21" i="4" s="1"/>
  <c r="I9" i="4"/>
  <c r="J9" i="4"/>
  <c r="J21" i="4" s="1"/>
  <c r="K9" i="4"/>
  <c r="L9" i="4"/>
  <c r="L21" i="4" s="1"/>
  <c r="M9" i="4"/>
  <c r="M21" i="4" s="1"/>
  <c r="N9" i="4"/>
  <c r="N21" i="4" s="1"/>
  <c r="O9" i="4"/>
  <c r="O21" i="4" s="1"/>
  <c r="P9" i="4"/>
  <c r="P21" i="4" s="1"/>
  <c r="Q9" i="4"/>
  <c r="R9" i="4"/>
  <c r="R21" i="4" s="1"/>
  <c r="S9" i="4"/>
  <c r="T9" i="4"/>
  <c r="T21" i="4" s="1"/>
  <c r="U9" i="4"/>
  <c r="U21" i="4" s="1"/>
  <c r="V9" i="4"/>
  <c r="V21" i="4" s="1"/>
  <c r="W9" i="4"/>
  <c r="W21" i="4" s="1"/>
  <c r="X9" i="4"/>
  <c r="X21" i="4" s="1"/>
  <c r="Y9" i="4"/>
  <c r="Z9" i="4"/>
  <c r="Z21" i="4" s="1"/>
  <c r="AA9" i="4"/>
  <c r="AB9" i="4"/>
  <c r="AB21" i="4" s="1"/>
  <c r="AC9" i="4"/>
  <c r="AC21" i="4" s="1"/>
  <c r="E9" i="4"/>
  <c r="E21" i="4" s="1"/>
  <c r="O4" i="4"/>
  <c r="O3" i="4" s="1"/>
  <c r="O1" i="4"/>
  <c r="K8" i="4" s="1"/>
  <c r="K1" i="4"/>
  <c r="D10" i="4" s="1"/>
  <c r="AI24" i="4" l="1"/>
  <c r="O8" i="4"/>
  <c r="AA8" i="4"/>
  <c r="I8" i="4"/>
  <c r="I20" i="4" s="1"/>
  <c r="AH8" i="4"/>
  <c r="AE8" i="4"/>
  <c r="AD8" i="4"/>
  <c r="AF8" i="4"/>
  <c r="AG8" i="4"/>
  <c r="W8" i="4"/>
  <c r="G8" i="4"/>
  <c r="AE6" i="4"/>
  <c r="AD18" i="4"/>
  <c r="C10" i="4"/>
  <c r="C22" i="4" s="1"/>
  <c r="S8" i="4"/>
  <c r="I12" i="4"/>
  <c r="I13" i="4" s="1"/>
  <c r="I25" i="4" s="1"/>
  <c r="D12" i="4"/>
  <c r="D22" i="4"/>
  <c r="C12" i="4"/>
  <c r="AB12" i="4"/>
  <c r="AB13" i="4" s="1"/>
  <c r="AB25" i="4" s="1"/>
  <c r="X12" i="4"/>
  <c r="X13" i="4" s="1"/>
  <c r="X25" i="4" s="1"/>
  <c r="T12" i="4"/>
  <c r="T13" i="4" s="1"/>
  <c r="T25" i="4" s="1"/>
  <c r="P12" i="4"/>
  <c r="P13" i="4" s="1"/>
  <c r="P25" i="4" s="1"/>
  <c r="L12" i="4"/>
  <c r="H12" i="4"/>
  <c r="H13" i="4" s="1"/>
  <c r="H25" i="4" s="1"/>
  <c r="AA12" i="4"/>
  <c r="AA13" i="4" s="1"/>
  <c r="AA25" i="4" s="1"/>
  <c r="W12" i="4"/>
  <c r="W13" i="4" s="1"/>
  <c r="W25" i="4" s="1"/>
  <c r="S12" i="4"/>
  <c r="S13" i="4" s="1"/>
  <c r="S25" i="4" s="1"/>
  <c r="O12" i="4"/>
  <c r="O13" i="4" s="1"/>
  <c r="O25" i="4" s="1"/>
  <c r="K12" i="4"/>
  <c r="K13" i="4" s="1"/>
  <c r="K25" i="4" s="1"/>
  <c r="G12" i="4"/>
  <c r="G13" i="4" s="1"/>
  <c r="G25" i="4" s="1"/>
  <c r="E8" i="4"/>
  <c r="E12" i="4" s="1"/>
  <c r="E13" i="4" s="1"/>
  <c r="E25" i="4" s="1"/>
  <c r="Z8" i="4"/>
  <c r="V8" i="4"/>
  <c r="R8" i="4"/>
  <c r="R12" i="4" s="1"/>
  <c r="R13" i="4" s="1"/>
  <c r="R25" i="4" s="1"/>
  <c r="N8" i="4"/>
  <c r="J8" i="4"/>
  <c r="F8" i="4"/>
  <c r="AC8" i="4"/>
  <c r="AC12" i="4" s="1"/>
  <c r="Y8" i="4"/>
  <c r="U8" i="4"/>
  <c r="U12" i="4" s="1"/>
  <c r="U13" i="4" s="1"/>
  <c r="U25" i="4" s="1"/>
  <c r="Q8" i="4"/>
  <c r="M8" i="4"/>
  <c r="M12" i="4" s="1"/>
  <c r="U24" i="4"/>
  <c r="I24" i="4"/>
  <c r="U20" i="4"/>
  <c r="E24" i="4"/>
  <c r="R24" i="4"/>
  <c r="E20" i="4"/>
  <c r="AB24" i="4"/>
  <c r="L24" i="4"/>
  <c r="AB20" i="4"/>
  <c r="X20" i="4"/>
  <c r="T20" i="4"/>
  <c r="P20" i="4"/>
  <c r="L20" i="4"/>
  <c r="H20" i="4"/>
  <c r="AA24" i="4"/>
  <c r="K24" i="4"/>
  <c r="AA20" i="4"/>
  <c r="W20" i="4"/>
  <c r="S20" i="4"/>
  <c r="O20" i="4"/>
  <c r="K20" i="4"/>
  <c r="G20" i="4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D20" i="4" l="1"/>
  <c r="AD12" i="4"/>
  <c r="AD19" i="4"/>
  <c r="AE7" i="4"/>
  <c r="P24" i="4"/>
  <c r="AC20" i="4"/>
  <c r="AE20" i="4"/>
  <c r="AE12" i="4"/>
  <c r="AH20" i="4"/>
  <c r="AH12" i="4"/>
  <c r="AE18" i="4"/>
  <c r="AF6" i="4"/>
  <c r="AC13" i="4"/>
  <c r="AC25" i="4" s="1"/>
  <c r="AC24" i="4"/>
  <c r="L13" i="4"/>
  <c r="L25" i="4" s="1"/>
  <c r="AG12" i="4"/>
  <c r="AG20" i="4"/>
  <c r="AF12" i="4"/>
  <c r="AF20" i="4"/>
  <c r="Y12" i="4"/>
  <c r="Y20" i="4"/>
  <c r="J20" i="4"/>
  <c r="J12" i="4"/>
  <c r="Z20" i="4"/>
  <c r="Z12" i="4"/>
  <c r="O24" i="4"/>
  <c r="M13" i="4"/>
  <c r="M25" i="4" s="1"/>
  <c r="M24" i="4"/>
  <c r="N12" i="4"/>
  <c r="N20" i="4"/>
  <c r="D13" i="4"/>
  <c r="D25" i="4" s="1"/>
  <c r="D24" i="4"/>
  <c r="S24" i="4"/>
  <c r="T24" i="4"/>
  <c r="M20" i="4"/>
  <c r="Q12" i="4"/>
  <c r="Q20" i="4"/>
  <c r="G24" i="4"/>
  <c r="W24" i="4"/>
  <c r="H24" i="4"/>
  <c r="X24" i="4"/>
  <c r="R20" i="4"/>
  <c r="F12" i="4"/>
  <c r="F20" i="4"/>
  <c r="V12" i="4"/>
  <c r="V20" i="4"/>
  <c r="C13" i="4"/>
  <c r="C24" i="4"/>
  <c r="AE24" i="4" l="1"/>
  <c r="AE13" i="4"/>
  <c r="AE25" i="4" s="1"/>
  <c r="AF24" i="4"/>
  <c r="AF13" i="4"/>
  <c r="AF25" i="4" s="1"/>
  <c r="AF18" i="4"/>
  <c r="AG6" i="4"/>
  <c r="AG13" i="4" s="1"/>
  <c r="AG25" i="4" s="1"/>
  <c r="AE19" i="4"/>
  <c r="AF7" i="4"/>
  <c r="AG24" i="4"/>
  <c r="AH24" i="4"/>
  <c r="AD13" i="4"/>
  <c r="AD25" i="4" s="1"/>
  <c r="AD24" i="4"/>
  <c r="C14" i="4"/>
  <c r="C25" i="4"/>
  <c r="F24" i="4"/>
  <c r="F13" i="4"/>
  <c r="F25" i="4" s="1"/>
  <c r="J13" i="4"/>
  <c r="J25" i="4" s="1"/>
  <c r="J24" i="4"/>
  <c r="V24" i="4"/>
  <c r="V13" i="4"/>
  <c r="V25" i="4" s="1"/>
  <c r="N13" i="4"/>
  <c r="N25" i="4" s="1"/>
  <c r="N24" i="4"/>
  <c r="Z13" i="4"/>
  <c r="Z25" i="4" s="1"/>
  <c r="Z24" i="4"/>
  <c r="Q13" i="4"/>
  <c r="Q25" i="4" s="1"/>
  <c r="Q24" i="4"/>
  <c r="Y13" i="4"/>
  <c r="Y25" i="4" s="1"/>
  <c r="Y24" i="4"/>
  <c r="AG7" i="4" l="1"/>
  <c r="AF19" i="4"/>
  <c r="AH6" i="4"/>
  <c r="AG18" i="4"/>
  <c r="C26" i="4"/>
  <c r="D14" i="4"/>
  <c r="AH7" i="4" l="1"/>
  <c r="AG19" i="4"/>
  <c r="AI6" i="4"/>
  <c r="AH18" i="4"/>
  <c r="AH13" i="4"/>
  <c r="AH25" i="4" s="1"/>
  <c r="E14" i="4"/>
  <c r="D26" i="4"/>
  <c r="AI7" i="4" l="1"/>
  <c r="AI19" i="4" s="1"/>
  <c r="AH19" i="4"/>
  <c r="AI18" i="4"/>
  <c r="AI13" i="4"/>
  <c r="AI25" i="4" s="1"/>
  <c r="E26" i="4"/>
  <c r="F14" i="4"/>
  <c r="G14" i="4" l="1"/>
  <c r="F26" i="4"/>
  <c r="H14" i="4" l="1"/>
  <c r="G26" i="4"/>
  <c r="I14" i="4" l="1"/>
  <c r="H26" i="4"/>
  <c r="J14" i="4" l="1"/>
  <c r="I26" i="4"/>
  <c r="K14" i="4" l="1"/>
  <c r="J26" i="4"/>
  <c r="L14" i="4" l="1"/>
  <c r="K26" i="4"/>
  <c r="M14" i="4" l="1"/>
  <c r="N15" i="4" s="1"/>
  <c r="L26" i="4"/>
  <c r="N16" i="4" l="1"/>
  <c r="N17" i="4"/>
  <c r="N14" i="4"/>
  <c r="M26" i="4"/>
  <c r="O14" i="4" l="1"/>
  <c r="N26" i="4"/>
  <c r="P14" i="4" l="1"/>
  <c r="O26" i="4"/>
  <c r="Q14" i="4" l="1"/>
  <c r="P26" i="4"/>
  <c r="C52" i="3"/>
  <c r="C57" i="3"/>
  <c r="J69" i="3"/>
  <c r="J68" i="3"/>
  <c r="J67" i="3"/>
  <c r="J66" i="3"/>
  <c r="I69" i="3"/>
  <c r="H68" i="3"/>
  <c r="I68" i="3"/>
  <c r="I67" i="3"/>
  <c r="I66" i="3"/>
  <c r="H70" i="3"/>
  <c r="I70" i="3" s="1"/>
  <c r="H69" i="3"/>
  <c r="H67" i="3"/>
  <c r="H66" i="3"/>
  <c r="G70" i="3"/>
  <c r="G69" i="3"/>
  <c r="G68" i="3"/>
  <c r="G67" i="3"/>
  <c r="G66" i="3"/>
  <c r="G71" i="3" s="1"/>
  <c r="F66" i="3"/>
  <c r="I71" i="3" l="1"/>
  <c r="J70" i="3"/>
  <c r="J71" i="3" s="1"/>
  <c r="F70" i="3"/>
  <c r="R14" i="4"/>
  <c r="Q26" i="4"/>
  <c r="H71" i="3"/>
  <c r="S14" i="4" l="1"/>
  <c r="R26" i="4"/>
  <c r="T14" i="4" l="1"/>
  <c r="S26" i="4"/>
  <c r="U14" i="4" l="1"/>
  <c r="T26" i="4"/>
  <c r="U26" i="4" l="1"/>
  <c r="V14" i="4"/>
  <c r="W14" i="4" l="1"/>
  <c r="V26" i="4"/>
  <c r="E56" i="3"/>
  <c r="D45" i="3"/>
  <c r="D48" i="3"/>
  <c r="D53" i="3"/>
  <c r="D56" i="3"/>
  <c r="D57" i="3"/>
  <c r="D40" i="3"/>
  <c r="C56" i="3"/>
  <c r="C55" i="3"/>
  <c r="C54" i="3"/>
  <c r="C53" i="3"/>
  <c r="C51" i="3"/>
  <c r="C50" i="3"/>
  <c r="C49" i="3"/>
  <c r="C48" i="3"/>
  <c r="C47" i="3"/>
  <c r="C46" i="3"/>
  <c r="C45" i="3"/>
  <c r="C44" i="3"/>
  <c r="C43" i="3"/>
  <c r="C42" i="3"/>
  <c r="C41" i="3"/>
  <c r="C40" i="3"/>
  <c r="B58" i="3"/>
  <c r="B52" i="3"/>
  <c r="B53" i="3"/>
  <c r="B54" i="3"/>
  <c r="B55" i="3"/>
  <c r="B56" i="3"/>
  <c r="B57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35" i="3"/>
  <c r="C29" i="3"/>
  <c r="E57" i="3" s="1"/>
  <c r="D54" i="3"/>
  <c r="C27" i="3"/>
  <c r="E55" i="3" s="1"/>
  <c r="C28" i="3"/>
  <c r="E53" i="3"/>
  <c r="D42" i="3"/>
  <c r="D44" i="3"/>
  <c r="E45" i="3"/>
  <c r="D46" i="3"/>
  <c r="D47" i="3"/>
  <c r="E49" i="3"/>
  <c r="D50" i="3"/>
  <c r="D52" i="3"/>
  <c r="E40" i="3"/>
  <c r="J41" i="3" l="1"/>
  <c r="I41" i="3"/>
  <c r="H41" i="3"/>
  <c r="G41" i="3"/>
  <c r="F41" i="3"/>
  <c r="J51" i="3"/>
  <c r="I51" i="3"/>
  <c r="H51" i="3"/>
  <c r="G51" i="3"/>
  <c r="F51" i="3"/>
  <c r="J43" i="3"/>
  <c r="I43" i="3"/>
  <c r="H43" i="3"/>
  <c r="G43" i="3"/>
  <c r="F43" i="3"/>
  <c r="J50" i="3"/>
  <c r="I50" i="3"/>
  <c r="H50" i="3"/>
  <c r="G50" i="3"/>
  <c r="F50" i="3"/>
  <c r="J42" i="3"/>
  <c r="I42" i="3"/>
  <c r="H42" i="3"/>
  <c r="G42" i="3"/>
  <c r="F42" i="3"/>
  <c r="D49" i="3"/>
  <c r="D41" i="3"/>
  <c r="E52" i="3"/>
  <c r="E44" i="3"/>
  <c r="E51" i="3"/>
  <c r="J53" i="3"/>
  <c r="F68" i="3"/>
  <c r="I53" i="3"/>
  <c r="H53" i="3"/>
  <c r="G53" i="3"/>
  <c r="F53" i="3"/>
  <c r="D55" i="3"/>
  <c r="E50" i="3"/>
  <c r="E42" i="3"/>
  <c r="E43" i="3"/>
  <c r="J48" i="3"/>
  <c r="I48" i="3"/>
  <c r="H48" i="3"/>
  <c r="G48" i="3"/>
  <c r="F48" i="3"/>
  <c r="J47" i="3"/>
  <c r="I47" i="3"/>
  <c r="H47" i="3"/>
  <c r="G47" i="3"/>
  <c r="F47" i="3"/>
  <c r="J56" i="3"/>
  <c r="I56" i="3"/>
  <c r="H56" i="3"/>
  <c r="G56" i="3"/>
  <c r="F56" i="3"/>
  <c r="E41" i="3"/>
  <c r="J46" i="3"/>
  <c r="I46" i="3"/>
  <c r="H46" i="3"/>
  <c r="G46" i="3"/>
  <c r="F46" i="3"/>
  <c r="F67" i="3"/>
  <c r="J40" i="3"/>
  <c r="I40" i="3"/>
  <c r="H40" i="3"/>
  <c r="G40" i="3"/>
  <c r="F40" i="3"/>
  <c r="J45" i="3"/>
  <c r="I45" i="3"/>
  <c r="H45" i="3"/>
  <c r="G45" i="3"/>
  <c r="F45" i="3"/>
  <c r="J54" i="3"/>
  <c r="I54" i="3"/>
  <c r="H54" i="3"/>
  <c r="G54" i="3"/>
  <c r="F54" i="3"/>
  <c r="E47" i="3"/>
  <c r="J49" i="3"/>
  <c r="I49" i="3"/>
  <c r="H49" i="3"/>
  <c r="G49" i="3"/>
  <c r="F49" i="3"/>
  <c r="J55" i="3"/>
  <c r="I55" i="3"/>
  <c r="H55" i="3"/>
  <c r="G55" i="3"/>
  <c r="F55" i="3"/>
  <c r="E48" i="3"/>
  <c r="J52" i="3"/>
  <c r="I52" i="3"/>
  <c r="H52" i="3"/>
  <c r="G52" i="3"/>
  <c r="F52" i="3"/>
  <c r="J44" i="3"/>
  <c r="I44" i="3"/>
  <c r="H44" i="3"/>
  <c r="G44" i="3"/>
  <c r="F44" i="3"/>
  <c r="F69" i="3"/>
  <c r="J57" i="3"/>
  <c r="I57" i="3"/>
  <c r="H57" i="3"/>
  <c r="G57" i="3"/>
  <c r="F57" i="3"/>
  <c r="D51" i="3"/>
  <c r="D43" i="3"/>
  <c r="E54" i="3"/>
  <c r="E46" i="3"/>
  <c r="W26" i="4"/>
  <c r="X14" i="4"/>
  <c r="N2" i="3"/>
  <c r="N1" i="3"/>
  <c r="I3" i="3"/>
  <c r="I2" i="3"/>
  <c r="K3" i="3"/>
  <c r="K2" i="3"/>
  <c r="J3" i="3"/>
  <c r="J2" i="3"/>
  <c r="H3" i="3"/>
  <c r="H2" i="3"/>
  <c r="F71" i="3" l="1"/>
  <c r="J72" i="3" s="1"/>
  <c r="AD44" i="3"/>
  <c r="E59" i="3"/>
  <c r="AE42" i="3"/>
  <c r="J59" i="3"/>
  <c r="AF43" i="3"/>
  <c r="L49" i="3"/>
  <c r="L50" i="3" s="1"/>
  <c r="AD41" i="3"/>
  <c r="AF42" i="3"/>
  <c r="AD43" i="3"/>
  <c r="F59" i="3"/>
  <c r="AF44" i="3"/>
  <c r="D59" i="3"/>
  <c r="AF41" i="3"/>
  <c r="L46" i="3"/>
  <c r="L47" i="3" s="1"/>
  <c r="AD42" i="3"/>
  <c r="AE44" i="3"/>
  <c r="H59" i="3"/>
  <c r="AE41" i="3"/>
  <c r="G59" i="3"/>
  <c r="AE43" i="3"/>
  <c r="I59" i="3"/>
  <c r="X26" i="4"/>
  <c r="Y14" i="4"/>
  <c r="I34" i="2"/>
  <c r="I12" i="2"/>
  <c r="I13" i="2"/>
  <c r="I14" i="2"/>
  <c r="I35" i="2" s="1"/>
  <c r="I15" i="2"/>
  <c r="I16" i="2"/>
  <c r="I17" i="2"/>
  <c r="I18" i="2"/>
  <c r="I19" i="2"/>
  <c r="I20" i="2"/>
  <c r="I21" i="2"/>
  <c r="I22" i="2"/>
  <c r="I36" i="2" s="1"/>
  <c r="I23" i="2"/>
  <c r="I24" i="2"/>
  <c r="I25" i="2"/>
  <c r="I26" i="2"/>
  <c r="I27" i="2"/>
  <c r="I28" i="2"/>
  <c r="I11" i="2"/>
  <c r="I30" i="2" s="1"/>
  <c r="H12" i="2"/>
  <c r="H13" i="2"/>
  <c r="H14" i="2"/>
  <c r="H35" i="2" s="1"/>
  <c r="H15" i="2"/>
  <c r="H16" i="2"/>
  <c r="H17" i="2"/>
  <c r="H18" i="2"/>
  <c r="H19" i="2"/>
  <c r="H20" i="2"/>
  <c r="H21" i="2"/>
  <c r="H22" i="2"/>
  <c r="H23" i="2"/>
  <c r="H24" i="2"/>
  <c r="H25" i="2"/>
  <c r="H36" i="2" s="1"/>
  <c r="H26" i="2"/>
  <c r="H27" i="2"/>
  <c r="H28" i="2"/>
  <c r="H11" i="2"/>
  <c r="H30" i="2" s="1"/>
  <c r="J12" i="2"/>
  <c r="J13" i="2"/>
  <c r="J14" i="2"/>
  <c r="J15" i="2"/>
  <c r="G35" i="2" s="1"/>
  <c r="J16" i="2"/>
  <c r="J17" i="2"/>
  <c r="J18" i="2"/>
  <c r="J19" i="2"/>
  <c r="J20" i="2"/>
  <c r="G36" i="2" s="1"/>
  <c r="J21" i="2"/>
  <c r="J22" i="2"/>
  <c r="J23" i="2"/>
  <c r="J24" i="2"/>
  <c r="J25" i="2"/>
  <c r="J26" i="2"/>
  <c r="J27" i="2"/>
  <c r="J28" i="2"/>
  <c r="J11" i="2"/>
  <c r="G34" i="2" s="1"/>
  <c r="H72" i="3" l="1"/>
  <c r="G72" i="3"/>
  <c r="AG44" i="3"/>
  <c r="I72" i="3"/>
  <c r="H34" i="2"/>
  <c r="J30" i="2"/>
  <c r="AG43" i="3"/>
  <c r="AG42" i="3"/>
  <c r="AG41" i="3"/>
  <c r="Z14" i="4"/>
  <c r="Y26" i="4"/>
  <c r="Z26" i="4" l="1"/>
  <c r="AA14" i="4"/>
  <c r="AB14" i="4" l="1"/>
  <c r="AC14" i="4" s="1"/>
  <c r="AD14" i="4" s="1"/>
  <c r="AA26" i="4"/>
  <c r="AE14" i="4" l="1"/>
  <c r="AD26" i="4"/>
  <c r="AB26" i="4"/>
  <c r="AF14" i="4" l="1"/>
  <c r="AE26" i="4"/>
  <c r="AC26" i="4"/>
  <c r="AG14" i="4" l="1"/>
  <c r="AF26" i="4"/>
  <c r="AH14" i="4" l="1"/>
  <c r="AG26" i="4"/>
  <c r="AI14" i="4" l="1"/>
  <c r="AI26" i="4" s="1"/>
  <c r="AH26" i="4"/>
</calcChain>
</file>

<file path=xl/sharedStrings.xml><?xml version="1.0" encoding="utf-8"?>
<sst xmlns="http://schemas.openxmlformats.org/spreadsheetml/2006/main" count="198" uniqueCount="125">
  <si>
    <t>Hours</t>
  </si>
  <si>
    <t>Irradiance</t>
  </si>
  <si>
    <t>Average</t>
  </si>
  <si>
    <t>hours</t>
  </si>
  <si>
    <t>Hour</t>
  </si>
  <si>
    <t>Thermal Power (MWh)</t>
  </si>
  <si>
    <t>QSF</t>
  </si>
  <si>
    <t>SM 2</t>
  </si>
  <si>
    <t>SM2</t>
  </si>
  <si>
    <t>SM3</t>
  </si>
  <si>
    <t>SM1</t>
  </si>
  <si>
    <t>Surplus/ Deficit</t>
  </si>
  <si>
    <t>Discharging 1</t>
  </si>
  <si>
    <t>Charging</t>
  </si>
  <si>
    <t>Discharging 2</t>
  </si>
  <si>
    <t>Thermal power (MWh)</t>
  </si>
  <si>
    <t>To Produce 150 MW</t>
  </si>
  <si>
    <t>To Produce 100 MW</t>
  </si>
  <si>
    <t>SM1.5</t>
  </si>
  <si>
    <t>SM2.5</t>
  </si>
  <si>
    <t>in MWh</t>
  </si>
  <si>
    <t>SM1.75</t>
  </si>
  <si>
    <t>Q SF</t>
  </si>
  <si>
    <t>TES Calculation</t>
  </si>
  <si>
    <t>SM1 TES</t>
  </si>
  <si>
    <t>SUM</t>
  </si>
  <si>
    <t>Must be Zero</t>
  </si>
  <si>
    <t>SM1.5 TES</t>
  </si>
  <si>
    <t>SM1.75 TES</t>
  </si>
  <si>
    <t>SM2.0</t>
  </si>
  <si>
    <t>SM2.0 TES</t>
  </si>
  <si>
    <t>this one is the largest thermal power to determine receiver design</t>
  </si>
  <si>
    <t>from GE data 200 - 1200 MWth</t>
  </si>
  <si>
    <t>SM2 Winter</t>
  </si>
  <si>
    <t>Winter solstice</t>
  </si>
  <si>
    <t>Spring equinox</t>
  </si>
  <si>
    <t>Req. Q_SF</t>
  </si>
  <si>
    <t>Period</t>
  </si>
  <si>
    <t>00:00 - 05:00</t>
  </si>
  <si>
    <t>17:00 - 21:00</t>
  </si>
  <si>
    <t>21:00 - 22:00</t>
  </si>
  <si>
    <t>22:00 - 05:00</t>
  </si>
  <si>
    <t>Required Thermal Power (MWh)</t>
  </si>
  <si>
    <t>Generated Power from Receiver (MWh)</t>
  </si>
  <si>
    <t>Total Energy</t>
  </si>
  <si>
    <t>05:00 - 17:00</t>
  </si>
  <si>
    <t>SM2 Equinox</t>
  </si>
  <si>
    <t>Fall Equinox</t>
  </si>
  <si>
    <t>Spring</t>
  </si>
  <si>
    <t>Fall</t>
  </si>
  <si>
    <t>Day of Operation</t>
  </si>
  <si>
    <t>Summer Solstice</t>
  </si>
  <si>
    <t>Spring Equinox</t>
  </si>
  <si>
    <t>Winter Solstice</t>
  </si>
  <si>
    <t>Excess Power Generated (MWh)</t>
  </si>
  <si>
    <t>Supplementary Power - Morning (MWh)</t>
  </si>
  <si>
    <t>Supplementary Power - Evening (MWh)</t>
  </si>
  <si>
    <t>Charging - Discharging</t>
  </si>
  <si>
    <t>TES 9 Hours</t>
  </si>
  <si>
    <t>Gas Booster + TES</t>
  </si>
  <si>
    <t>TES 7 Hours</t>
  </si>
  <si>
    <t>TES 3 Hours</t>
  </si>
  <si>
    <t>Operating Mode</t>
  </si>
  <si>
    <t>Clock Time</t>
  </si>
  <si>
    <t>Electricity Ouput (Mwe)</t>
  </si>
  <si>
    <t>22:00 - 24:00</t>
  </si>
  <si>
    <t>USD/ MWh</t>
  </si>
  <si>
    <t>Discount Rate</t>
  </si>
  <si>
    <t>Electricity Price</t>
  </si>
  <si>
    <t>Production normal</t>
  </si>
  <si>
    <t>CAPEX</t>
  </si>
  <si>
    <t>OPEX</t>
  </si>
  <si>
    <t>USD</t>
  </si>
  <si>
    <t>USD/ year</t>
  </si>
  <si>
    <t>E_net</t>
  </si>
  <si>
    <t>E_net_peak</t>
  </si>
  <si>
    <t>MWh</t>
  </si>
  <si>
    <t>Revenue</t>
  </si>
  <si>
    <t>Hours Peak</t>
  </si>
  <si>
    <t>Hours Normal</t>
  </si>
  <si>
    <t>Max operating</t>
  </si>
  <si>
    <t>Cash Flow</t>
  </si>
  <si>
    <t>Decommission</t>
  </si>
  <si>
    <t>C_dec</t>
  </si>
  <si>
    <t>Discounted Cash Flow</t>
  </si>
  <si>
    <t>Investment</t>
  </si>
  <si>
    <t>Cumulative</t>
  </si>
  <si>
    <t>Year</t>
  </si>
  <si>
    <t>Time</t>
  </si>
  <si>
    <t>Months</t>
  </si>
  <si>
    <t>PBP</t>
  </si>
  <si>
    <t>years</t>
  </si>
  <si>
    <t>Operating Expense</t>
  </si>
  <si>
    <t>Cumulative Cash Flow</t>
  </si>
  <si>
    <t>Decommissioning Cost</t>
  </si>
  <si>
    <t>Cost</t>
  </si>
  <si>
    <t>Calculation</t>
  </si>
  <si>
    <t>Currency</t>
  </si>
  <si>
    <t>Value (Million)</t>
  </si>
  <si>
    <t>see appendix</t>
  </si>
  <si>
    <t>$</t>
  </si>
  <si>
    <t>Total</t>
  </si>
  <si>
    <t>scaled from reference</t>
  </si>
  <si>
    <t>Taxes</t>
  </si>
  <si>
    <t xml:space="preserve">Labor </t>
  </si>
  <si>
    <t xml:space="preserve">O&amp;M </t>
  </si>
  <si>
    <t>Fuel</t>
  </si>
  <si>
    <t xml:space="preserve">Equipment </t>
  </si>
  <si>
    <t xml:space="preserve">Engineering </t>
  </si>
  <si>
    <t xml:space="preserve">Installation </t>
  </si>
  <si>
    <t xml:space="preserve">Contingency </t>
  </si>
  <si>
    <t xml:space="preserve">Land </t>
  </si>
  <si>
    <t>Decomissioning</t>
  </si>
  <si>
    <t>EQ</t>
  </si>
  <si>
    <t>DEBT</t>
  </si>
  <si>
    <t>T corp</t>
  </si>
  <si>
    <t>I debt</t>
  </si>
  <si>
    <t>IRR Eq</t>
  </si>
  <si>
    <t>WACC</t>
  </si>
  <si>
    <t>IRR</t>
  </si>
  <si>
    <t>PROFIT</t>
  </si>
  <si>
    <t>Summer</t>
  </si>
  <si>
    <t xml:space="preserve">Winter </t>
  </si>
  <si>
    <t>Winter</t>
  </si>
  <si>
    <t>REQ Q_SF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</si>
</sst>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0.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FFFFFF"/>
      <name val="Californian FB"/>
      <family val="1"/>
    </font>
    <font>
      <b/>
      <sz val="12"/>
      <color theme="1"/>
      <name val="Californian FB"/>
      <family val="1"/>
    </font>
    <font>
      <sz val="12"/>
      <color theme="1"/>
      <name val="Californian FB"/>
      <family val="1"/>
    </font>
    <font>
      <sz val="11"/>
      <color rgb="FF000000"/>
      <name val="Californian FB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16" fontId="0" fillId="0" borderId="0" xfId="0" applyNumberFormat="1"/>
    <xf numFmtId="0" fontId="0" fillId="7" borderId="0" xfId="0" applyFill="1"/>
    <xf numFmtId="0" fontId="0" fillId="0" borderId="1" xfId="0" applyBorder="1"/>
    <xf numFmtId="166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  <xf numFmtId="0" fontId="0" fillId="8" borderId="0" xfId="0" applyFill="1"/>
    <xf numFmtId="0" fontId="0" fillId="0" borderId="1" xfId="0" applyBorder="1" applyAlignment="1">
      <alignment horizontal="left"/>
    </xf>
    <xf numFmtId="1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0" xfId="0" applyNumberFormat="1"/>
    <xf numFmtId="168" fontId="2" fillId="0" borderId="0" xfId="1" applyNumberFormat="1" applyFont="1"/>
    <xf numFmtId="0" fontId="3" fillId="0" borderId="0" xfId="0" applyFont="1"/>
    <xf numFmtId="168" fontId="3" fillId="0" borderId="0" xfId="1" applyNumberFormat="1" applyFont="1"/>
    <xf numFmtId="164" fontId="0" fillId="0" borderId="1" xfId="0" applyNumberFormat="1" applyBorder="1"/>
    <xf numFmtId="164" fontId="0" fillId="0" borderId="1" xfId="1" applyNumberFormat="1" applyFont="1" applyBorder="1"/>
    <xf numFmtId="167" fontId="0" fillId="0" borderId="1" xfId="1" applyNumberFormat="1" applyFont="1" applyBorder="1" applyAlignment="1">
      <alignment vertical="center"/>
    </xf>
    <xf numFmtId="0" fontId="0" fillId="9" borderId="1" xfId="0" applyFill="1" applyBorder="1" applyAlignment="1">
      <alignment horizontal="center"/>
    </xf>
    <xf numFmtId="168" fontId="0" fillId="9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2" fontId="0" fillId="0" borderId="0" xfId="0" applyNumberFormat="1" applyFill="1"/>
    <xf numFmtId="0" fontId="4" fillId="10" borderId="2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right" vertical="center" wrapText="1"/>
    </xf>
    <xf numFmtId="2" fontId="7" fillId="0" borderId="5" xfId="0" applyNumberFormat="1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0" xfId="0" applyNumberFormat="1"/>
    <xf numFmtId="16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Sheet1!$C$5:$C$41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</c:numCache>
            </c:numRef>
          </c:cat>
          <c:val>
            <c:numRef>
              <c:f>Sheet1!$D$5:$D$29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10.376404494381999</c:v>
                </c:pt>
                <c:pt idx="6">
                  <c:v>75.154494382022506</c:v>
                </c:pt>
                <c:pt idx="7">
                  <c:v>216.98033707865201</c:v>
                </c:pt>
                <c:pt idx="8">
                  <c:v>404.58988764044898</c:v>
                </c:pt>
                <c:pt idx="9">
                  <c:v>571.35674157303401</c:v>
                </c:pt>
                <c:pt idx="10">
                  <c:v>698.94943820224705</c:v>
                </c:pt>
                <c:pt idx="11">
                  <c:v>761.80898876404501</c:v>
                </c:pt>
                <c:pt idx="12">
                  <c:v>769.36235955056202</c:v>
                </c:pt>
                <c:pt idx="13">
                  <c:v>708.00842696629195</c:v>
                </c:pt>
                <c:pt idx="14">
                  <c:v>590.51123595505601</c:v>
                </c:pt>
                <c:pt idx="15">
                  <c:v>424.96910112359598</c:v>
                </c:pt>
                <c:pt idx="16">
                  <c:v>232.56460674157299</c:v>
                </c:pt>
                <c:pt idx="17">
                  <c:v>79.606741573033702</c:v>
                </c:pt>
                <c:pt idx="18">
                  <c:v>11.0337078651685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5-45E4-B523-F364269AD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</c:v>
                </c:pt>
                <c:pt idx="7">
                  <c:v>224</c:v>
                </c:pt>
                <c:pt idx="8">
                  <c:v>452</c:v>
                </c:pt>
                <c:pt idx="9">
                  <c:v>639</c:v>
                </c:pt>
                <c:pt idx="10">
                  <c:v>768</c:v>
                </c:pt>
                <c:pt idx="11">
                  <c:v>836</c:v>
                </c:pt>
                <c:pt idx="12">
                  <c:v>829</c:v>
                </c:pt>
                <c:pt idx="13">
                  <c:v>763</c:v>
                </c:pt>
                <c:pt idx="14">
                  <c:v>641</c:v>
                </c:pt>
                <c:pt idx="15">
                  <c:v>401</c:v>
                </c:pt>
                <c:pt idx="16">
                  <c:v>233</c:v>
                </c:pt>
                <c:pt idx="17">
                  <c:v>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B-4F93-888F-5C81444CAE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226</c:v>
                </c:pt>
                <c:pt idx="7">
                  <c:v>292</c:v>
                </c:pt>
                <c:pt idx="8">
                  <c:v>627</c:v>
                </c:pt>
                <c:pt idx="9">
                  <c:v>817</c:v>
                </c:pt>
                <c:pt idx="10">
                  <c:v>917</c:v>
                </c:pt>
                <c:pt idx="11">
                  <c:v>954</c:v>
                </c:pt>
                <c:pt idx="12">
                  <c:v>949</c:v>
                </c:pt>
                <c:pt idx="13">
                  <c:v>902</c:v>
                </c:pt>
                <c:pt idx="14">
                  <c:v>794</c:v>
                </c:pt>
                <c:pt idx="15">
                  <c:v>636</c:v>
                </c:pt>
                <c:pt idx="16">
                  <c:v>439</c:v>
                </c:pt>
                <c:pt idx="17">
                  <c:v>162</c:v>
                </c:pt>
                <c:pt idx="18">
                  <c:v>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B-4F93-888F-5C81444C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935711"/>
        <c:axId val="283147215"/>
      </c:lineChart>
      <c:catAx>
        <c:axId val="34193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47215"/>
        <c:crosses val="autoZero"/>
        <c:auto val="1"/>
        <c:lblAlgn val="ctr"/>
        <c:lblOffset val="100"/>
        <c:tickLblSkip val="1"/>
        <c:noMultiLvlLbl val="0"/>
      </c:catAx>
      <c:valAx>
        <c:axId val="2831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DNI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NOOR</a:t>
            </a:r>
            <a:r>
              <a:rPr lang="en-US" baseline="0"/>
              <a:t> Midelt CSP Power Plant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Cash Flow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A1-487F-9EB2-03B6B3726AB7}"/>
              </c:ext>
            </c:extLst>
          </c:dPt>
          <c:dPt>
            <c:idx val="1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1-487F-9EB2-03B6B3726AB7}"/>
              </c:ext>
            </c:extLst>
          </c:dPt>
          <c:dLbls>
            <c:dLbl>
              <c:idx val="1"/>
              <c:layout>
                <c:manualLayout>
                  <c:x val="2.9275338022156296E-2"/>
                  <c:y val="1.7694721658610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A1-487F-9EB2-03B6B3726AB7}"/>
                </c:ext>
              </c:extLst>
            </c:dLbl>
            <c:dLbl>
              <c:idx val="31"/>
              <c:layout>
                <c:manualLayout>
                  <c:x val="-9.712929435640448E-2"/>
                  <c:y val="-6.2947893809273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3D-4578-A8A4-D96974C1F4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Cashflow!$C$19:$AI$19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_(* #\ ##0_);_(* \(#\ ##0\);_(* &quot;-&quot;??_);_(@_)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Cashflow!$C$26:$AI$26</c:f>
              <c:numCache>
                <c:formatCode>_(* #\ ##0.0_);_(* \(#\ ##0.0\);_(* "-"??_);_(@_)</c:formatCode>
                <c:ptCount val="33"/>
                <c:pt idx="0">
                  <c:v>-273.18308518999999</c:v>
                </c:pt>
                <c:pt idx="1">
                  <c:v>-521.53134445363639</c:v>
                </c:pt>
                <c:pt idx="2">
                  <c:v>-468.77650631314049</c:v>
                </c:pt>
                <c:pt idx="3">
                  <c:v>-420.81756254905338</c:v>
                </c:pt>
                <c:pt idx="4">
                  <c:v>-377.21852276351956</c:v>
                </c:pt>
                <c:pt idx="5">
                  <c:v>-337.58303204939801</c:v>
                </c:pt>
                <c:pt idx="6">
                  <c:v>-301.55076776383294</c:v>
                </c:pt>
                <c:pt idx="7">
                  <c:v>-268.79416386786465</c:v>
                </c:pt>
                <c:pt idx="8">
                  <c:v>-239.01543305334806</c:v>
                </c:pt>
                <c:pt idx="9">
                  <c:v>-211.94385958560571</c:v>
                </c:pt>
                <c:pt idx="10">
                  <c:v>-187.33333825129449</c:v>
                </c:pt>
                <c:pt idx="11">
                  <c:v>-164.96013703828427</c:v>
                </c:pt>
                <c:pt idx="12">
                  <c:v>-144.62086320827498</c:v>
                </c:pt>
                <c:pt idx="13">
                  <c:v>-126.13061427190291</c:v>
                </c:pt>
                <c:pt idx="14">
                  <c:v>-109.32129705701922</c:v>
                </c:pt>
                <c:pt idx="15">
                  <c:v>-94.040099588943121</c:v>
                </c:pt>
                <c:pt idx="16">
                  <c:v>-80.148101890692132</c:v>
                </c:pt>
                <c:pt idx="17">
                  <c:v>-67.519013074100314</c:v>
                </c:pt>
                <c:pt idx="18">
                  <c:v>-56.038023240835031</c:v>
                </c:pt>
                <c:pt idx="19">
                  <c:v>-45.600759756048419</c:v>
                </c:pt>
                <c:pt idx="20">
                  <c:v>-36.112338406242401</c:v>
                </c:pt>
                <c:pt idx="21">
                  <c:v>-27.486500815509661</c:v>
                </c:pt>
                <c:pt idx="22">
                  <c:v>-19.644830278479901</c:v>
                </c:pt>
                <c:pt idx="23">
                  <c:v>-12.516038881180116</c:v>
                </c:pt>
                <c:pt idx="24">
                  <c:v>-6.0353194290894008</c:v>
                </c:pt>
                <c:pt idx="25">
                  <c:v>-0.14375629082511737</c:v>
                </c:pt>
                <c:pt idx="26">
                  <c:v>5.2122101985060496</c:v>
                </c:pt>
                <c:pt idx="27">
                  <c:v>10.081270643352564</c:v>
                </c:pt>
                <c:pt idx="28">
                  <c:v>14.50768922957667</c:v>
                </c:pt>
                <c:pt idx="29">
                  <c:v>18.531706126144037</c:v>
                </c:pt>
                <c:pt idx="30">
                  <c:v>22.189903304841643</c:v>
                </c:pt>
                <c:pt idx="31">
                  <c:v>25.51553710365765</c:v>
                </c:pt>
                <c:pt idx="32">
                  <c:v>24.307432471424356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1-487F-9EB2-03B6B372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339871"/>
        <c:axId val="691960223"/>
      </c:lineChart>
      <c:catAx>
        <c:axId val="84633987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60223"/>
        <c:crosses val="autoZero"/>
        <c:auto val="1"/>
        <c:lblAlgn val="ctr"/>
        <c:lblOffset val="100"/>
        <c:noMultiLvlLbl val="0"/>
      </c:catAx>
      <c:valAx>
        <c:axId val="6919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Discounted Cumulative Cash Flow (Million</a:t>
                </a:r>
                <a:r>
                  <a:rPr lang="en-US" baseline="0"/>
                  <a:t> USD)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.0_);_(* \(#\ 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39871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0-42D2-BBDE-88EFD936C1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0-42D2-BBDE-88EFD936C1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B0-42D2-BBDE-88EFD936C1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B0-42D2-BBDE-88EFD936C1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B0-42D2-BBDE-88EFD936C16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B0-42D2-BBDE-88EFD936C1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Cashflow!$N$33:$N$38</c:f>
              <c:strCache>
                <c:ptCount val="6"/>
                <c:pt idx="0">
                  <c:v>Equipment </c:v>
                </c:pt>
                <c:pt idx="1">
                  <c:v>Engineering </c:v>
                </c:pt>
                <c:pt idx="2">
                  <c:v>Taxes</c:v>
                </c:pt>
                <c:pt idx="3">
                  <c:v>Installation </c:v>
                </c:pt>
                <c:pt idx="4">
                  <c:v>Contingency </c:v>
                </c:pt>
                <c:pt idx="5">
                  <c:v>Land </c:v>
                </c:pt>
              </c:strCache>
            </c:strRef>
          </c:cat>
          <c:val>
            <c:numRef>
              <c:f>Cashflow!$M$33:$M$38</c:f>
              <c:numCache>
                <c:formatCode>General</c:formatCode>
                <c:ptCount val="6"/>
                <c:pt idx="0">
                  <c:v>401886267.72000003</c:v>
                </c:pt>
                <c:pt idx="1">
                  <c:v>63554539.479999997</c:v>
                </c:pt>
                <c:pt idx="2">
                  <c:v>40471568.18</c:v>
                </c:pt>
                <c:pt idx="3">
                  <c:v>23241257.059999999</c:v>
                </c:pt>
                <c:pt idx="4">
                  <c:v>14680147.949999999</c:v>
                </c:pt>
                <c:pt idx="5">
                  <c:v>2532390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1-4E37-BEC4-DC7019723B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78188568236955"/>
          <c:y val="0.27622712037839475"/>
          <c:w val="0.25116089519931506"/>
          <c:h val="0.44754575924321049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F-4479-A027-E2BCD43C78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F-4479-A027-E2BCD43C78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F-4479-A027-E2BCD43C78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Cashflow!$N$44:$N$46</c:f>
              <c:strCache>
                <c:ptCount val="3"/>
                <c:pt idx="0">
                  <c:v>O&amp;M </c:v>
                </c:pt>
                <c:pt idx="1">
                  <c:v>Labor </c:v>
                </c:pt>
                <c:pt idx="2">
                  <c:v>Fuel</c:v>
                </c:pt>
              </c:strCache>
            </c:strRef>
          </c:cat>
          <c:val>
            <c:numRef>
              <c:f>Cashflow!$L$44:$L$46</c:f>
              <c:numCache>
                <c:formatCode>0.00</c:formatCode>
                <c:ptCount val="3"/>
                <c:pt idx="0">
                  <c:v>5.91347369</c:v>
                </c:pt>
                <c:pt idx="1">
                  <c:v>1.02226927</c:v>
                </c:pt>
                <c:pt idx="2">
                  <c:v>5.4902890000000003E-2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8D-477D-A5A0-78E98A122D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99738766812713"/>
          <c:y val="0.34289382009067049"/>
          <c:w val="0.18970232925735278"/>
          <c:h val="0.30682032927702219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Sheet2!$E$6:$E$29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8.3271512129132308</c:v>
                </c:pt>
                <c:pt idx="6">
                  <c:v>62.809479408403597</c:v>
                </c:pt>
                <c:pt idx="7">
                  <c:v>188.465593218734</c:v>
                </c:pt>
                <c:pt idx="8">
                  <c:v>354.73529666694702</c:v>
                </c:pt>
                <c:pt idx="9">
                  <c:v>509.45942574882599</c:v>
                </c:pt>
                <c:pt idx="10">
                  <c:v>627.97028420783704</c:v>
                </c:pt>
                <c:pt idx="11">
                  <c:v>681.543294562602</c:v>
                </c:pt>
                <c:pt idx="12">
                  <c:v>657.71147591399995</c:v>
                </c:pt>
                <c:pt idx="13">
                  <c:v>583.78312005165299</c:v>
                </c:pt>
                <c:pt idx="14">
                  <c:v>472.67555164662099</c:v>
                </c:pt>
                <c:pt idx="15">
                  <c:v>323.07711122590302</c:v>
                </c:pt>
                <c:pt idx="16">
                  <c:v>172.180683181501</c:v>
                </c:pt>
                <c:pt idx="17">
                  <c:v>56.434877543425202</c:v>
                </c:pt>
                <c:pt idx="18">
                  <c:v>7.9245597277303998</c:v>
                </c:pt>
                <c:pt idx="19">
                  <c:v>6.9794947947683803E-2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4E5B-813B-9CAA4F0F9E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Sheet2!$G$6:$G$29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B-4E5B-813B-9CAA4F0F9E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Sheet2!$F$6:$F$29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10.819305072035799</c:v>
                </c:pt>
                <c:pt idx="6">
                  <c:v>81.563835638352202</c:v>
                </c:pt>
                <c:pt idx="7">
                  <c:v>244.677607722522</c:v>
                </c:pt>
                <c:pt idx="8">
                  <c:v>460.45217069610902</c:v>
                </c:pt>
                <c:pt idx="9">
                  <c:v>661.19983885219699</c:v>
                </c:pt>
                <c:pt idx="10">
                  <c:v>814.95771447279299</c:v>
                </c:pt>
                <c:pt idx="11">
                  <c:v>884.48878774439902</c:v>
                </c:pt>
                <c:pt idx="12">
                  <c:v>853.62421264736395</c:v>
                </c:pt>
                <c:pt idx="13">
                  <c:v>757.78221073759403</c:v>
                </c:pt>
                <c:pt idx="14">
                  <c:v>613.69076120734098</c:v>
                </c:pt>
                <c:pt idx="15">
                  <c:v>419.59083418158798</c:v>
                </c:pt>
                <c:pt idx="16">
                  <c:v>223.69943700087799</c:v>
                </c:pt>
                <c:pt idx="17">
                  <c:v>73.353041595675606</c:v>
                </c:pt>
                <c:pt idx="18">
                  <c:v>10.3073509710811</c:v>
                </c:pt>
                <c:pt idx="19">
                  <c:v>9.0947912419041502E-2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B-4E5B-813B-9CAA4F0F9E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5.7001859749779804</c:v>
                </c:pt>
                <c:pt idx="6">
                  <c:v>43.0788601209794</c:v>
                </c:pt>
                <c:pt idx="7">
                  <c:v>129.38214562808099</c:v>
                </c:pt>
                <c:pt idx="8">
                  <c:v>243.688549584665</c:v>
                </c:pt>
                <c:pt idx="9">
                  <c:v>350.129737384973</c:v>
                </c:pt>
                <c:pt idx="10">
                  <c:v>431.64923574346602</c:v>
                </c:pt>
                <c:pt idx="11">
                  <c:v>468.425461470946</c:v>
                </c:pt>
                <c:pt idx="12">
                  <c:v>451.878745990325</c:v>
                </c:pt>
                <c:pt idx="13">
                  <c:v>400.83269717227398</c:v>
                </c:pt>
                <c:pt idx="14">
                  <c:v>324.24603847306503</c:v>
                </c:pt>
                <c:pt idx="15">
                  <c:v>221.34243107281301</c:v>
                </c:pt>
                <c:pt idx="16">
                  <c:v>117.784383132462</c:v>
                </c:pt>
                <c:pt idx="17">
                  <c:v>38.538498103553998</c:v>
                </c:pt>
                <c:pt idx="18">
                  <c:v>5.3975625112995802</c:v>
                </c:pt>
                <c:pt idx="19">
                  <c:v>4.7190552592938299E-2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B-4E5B-813B-9CAA4F0F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29007"/>
        <c:axId val="1543470943"/>
      </c:lineChart>
      <c:catAx>
        <c:axId val="165102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70943"/>
        <c:crosses val="autoZero"/>
        <c:auto val="1"/>
        <c:lblAlgn val="ctr"/>
        <c:lblOffset val="100"/>
        <c:noMultiLvlLbl val="0"/>
      </c:catAx>
      <c:valAx>
        <c:axId val="15434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Sheet3!$D$7:$D$30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22.203675899215256</c:v>
                </c:pt>
                <c:pt idx="6">
                  <c:v>75.093990431256685</c:v>
                </c:pt>
                <c:pt idx="7">
                  <c:v>141.82458956573592</c:v>
                </c:pt>
                <c:pt idx="8">
                  <c:v>279.07102138032849</c:v>
                </c:pt>
                <c:pt idx="9">
                  <c:v>447.44429639531631</c:v>
                </c:pt>
                <c:pt idx="10">
                  <c:v>518.37757742511542</c:v>
                </c:pt>
                <c:pt idx="11">
                  <c:v>558.90439734477036</c:v>
                </c:pt>
                <c:pt idx="12">
                  <c:v>477.66481567387939</c:v>
                </c:pt>
                <c:pt idx="13">
                  <c:v>325.82602889575907</c:v>
                </c:pt>
                <c:pt idx="14">
                  <c:v>311.05648066742015</c:v>
                </c:pt>
                <c:pt idx="15">
                  <c:v>156.44493931924384</c:v>
                </c:pt>
                <c:pt idx="16">
                  <c:v>111.22513521213737</c:v>
                </c:pt>
                <c:pt idx="17">
                  <c:v>63.034734349767781</c:v>
                </c:pt>
                <c:pt idx="18">
                  <c:v>13.850097345176604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E54-BA08-AE02CC3CE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E54-BA08-AE02CC3C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</a:t>
                </a:r>
                <a:r>
                  <a:rPr lang="en-US" baseline="0"/>
                  <a:t> Power (MWh)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Sheet3!$E$7:$E$30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33.355805760015464</c:v>
                </c:pt>
                <c:pt idx="6">
                  <c:v>112.57797508857652</c:v>
                </c:pt>
                <c:pt idx="7">
                  <c:v>212.35531012463784</c:v>
                </c:pt>
                <c:pt idx="8">
                  <c:v>417.55163113230446</c:v>
                </c:pt>
                <c:pt idx="9">
                  <c:v>669.22046284847886</c:v>
                </c:pt>
                <c:pt idx="10">
                  <c:v>775.22496292677749</c:v>
                </c:pt>
                <c:pt idx="11">
                  <c:v>835.92998264577443</c:v>
                </c:pt>
                <c:pt idx="12">
                  <c:v>714.66104987455378</c:v>
                </c:pt>
                <c:pt idx="13">
                  <c:v>487.75724790949062</c:v>
                </c:pt>
                <c:pt idx="14">
                  <c:v>466.02206965431611</c:v>
                </c:pt>
                <c:pt idx="15">
                  <c:v>234.64301500662805</c:v>
                </c:pt>
                <c:pt idx="16">
                  <c:v>167.06701956585445</c:v>
                </c:pt>
                <c:pt idx="17">
                  <c:v>94.86791803578032</c:v>
                </c:pt>
                <c:pt idx="18">
                  <c:v>20.902658855287402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3A8-9500-9DA0D25186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3A8-9500-9DA0D251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Hourly</a:t>
            </a:r>
            <a:r>
              <a:rPr lang="en-US" sz="1100" baseline="0"/>
              <a:t> Operation on reference date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Summer Solstice</c:v>
          </c:tx>
          <c:spPr>
            <a:ln w="34925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Sheet3!$G$7:$G$30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44.598690951908608</c:v>
                </c:pt>
                <c:pt idx="6">
                  <c:v>150.22437593676486</c:v>
                </c:pt>
                <c:pt idx="7">
                  <c:v>283.03238069127116</c:v>
                </c:pt>
                <c:pt idx="8">
                  <c:v>556.1329012482737</c:v>
                </c:pt>
                <c:pt idx="9">
                  <c:v>890.99422768390548</c:v>
                </c:pt>
                <c:pt idx="10">
                  <c:v>1032.0006666815962</c:v>
                </c:pt>
                <c:pt idx="11">
                  <c:v>1112.9149350688449</c:v>
                </c:pt>
                <c:pt idx="12">
                  <c:v>951.74306684779106</c:v>
                </c:pt>
                <c:pt idx="13">
                  <c:v>649.89208430709539</c:v>
                </c:pt>
                <c:pt idx="14">
                  <c:v>621.38817914158699</c:v>
                </c:pt>
                <c:pt idx="15">
                  <c:v>313.18734988156433</c:v>
                </c:pt>
                <c:pt idx="16">
                  <c:v>223.29523532137131</c:v>
                </c:pt>
                <c:pt idx="17">
                  <c:v>127.02707835177449</c:v>
                </c:pt>
                <c:pt idx="18">
                  <c:v>28.062413975062881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6-488F-8DEC-722AB472CFD4}"/>
            </c:ext>
          </c:extLst>
        </c:ser>
        <c:ser>
          <c:idx val="1"/>
          <c:order val="1"/>
          <c:tx>
            <c:v>Req. Q_SF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6-488F-8DEC-722AB472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noFill/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SM2 Winter</a:t>
            </a:r>
            <a:r>
              <a:rPr lang="en-US" baseline="0"/>
              <a:t> Solstice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Sheet3!$H$7:$H$30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23.245744492545143</c:v>
                </c:pt>
                <c:pt idx="8">
                  <c:v>100.27799138782747</c:v>
                </c:pt>
                <c:pt idx="9">
                  <c:v>182.67938543811016</c:v>
                </c:pt>
                <c:pt idx="10">
                  <c:v>356.04684033283723</c:v>
                </c:pt>
                <c:pt idx="11">
                  <c:v>392.53894161250048</c:v>
                </c:pt>
                <c:pt idx="12">
                  <c:v>431.49854486757295</c:v>
                </c:pt>
                <c:pt idx="13">
                  <c:v>340.26232675510465</c:v>
                </c:pt>
                <c:pt idx="14">
                  <c:v>227.38874222428919</c:v>
                </c:pt>
                <c:pt idx="15">
                  <c:v>134.44979985698905</c:v>
                </c:pt>
                <c:pt idx="16">
                  <c:v>30.783142567953782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C-415F-9E3D-E8A48A2CF932}"/>
            </c:ext>
          </c:extLst>
        </c:ser>
        <c:ser>
          <c:idx val="3"/>
          <c:order val="1"/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C-415F-9E3D-E8A48A2CF932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Sheet3!$H$7:$H$30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23.245744492545143</c:v>
                </c:pt>
                <c:pt idx="8">
                  <c:v>100.27799138782747</c:v>
                </c:pt>
                <c:pt idx="9">
                  <c:v>182.67938543811016</c:v>
                </c:pt>
                <c:pt idx="10">
                  <c:v>356.04684033283723</c:v>
                </c:pt>
                <c:pt idx="11">
                  <c:v>392.53894161250048</c:v>
                </c:pt>
                <c:pt idx="12">
                  <c:v>431.49854486757295</c:v>
                </c:pt>
                <c:pt idx="13">
                  <c:v>340.26232675510465</c:v>
                </c:pt>
                <c:pt idx="14">
                  <c:v>227.38874222428919</c:v>
                </c:pt>
                <c:pt idx="15">
                  <c:v>134.44979985698905</c:v>
                </c:pt>
                <c:pt idx="16">
                  <c:v>30.783142567953782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C-415F-9E3D-E8A48A2CF932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C-415F-9E3D-E8A48A2C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SM2 Equinox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Sheet3!$I$7:$I$30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38.731823377508213</c:v>
                </c:pt>
                <c:pt idx="7">
                  <c:v>210.86021451192124</c:v>
                </c:pt>
                <c:pt idx="8">
                  <c:v>440.21218795309807</c:v>
                </c:pt>
                <c:pt idx="9">
                  <c:v>660.62633570160142</c:v>
                </c:pt>
                <c:pt idx="10">
                  <c:v>831.29852988802907</c:v>
                </c:pt>
                <c:pt idx="11">
                  <c:v>898.3348542915769</c:v>
                </c:pt>
                <c:pt idx="12">
                  <c:v>928.51156713359114</c:v>
                </c:pt>
                <c:pt idx="13">
                  <c:v>832.86411998434301</c:v>
                </c:pt>
                <c:pt idx="14">
                  <c:v>634.90313623207919</c:v>
                </c:pt>
                <c:pt idx="15">
                  <c:v>438.65232520785537</c:v>
                </c:pt>
                <c:pt idx="16">
                  <c:v>220.76668535938322</c:v>
                </c:pt>
                <c:pt idx="17">
                  <c:v>42.52350405733015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9-42E2-912E-5A6B499CF505}"/>
            </c:ext>
          </c:extLst>
        </c:ser>
        <c:ser>
          <c:idx val="1"/>
          <c:order val="1"/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9-42E2-912E-5A6B499C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Multiple (SM) Impact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Sheet3!$C$6</c:f>
              <c:strCache>
                <c:ptCount val="1"/>
                <c:pt idx="0">
                  <c:v>Req. Q_SF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CCA-9F2A-1E5E03039732}"/>
            </c:ext>
          </c:extLst>
        </c:ser>
        <c:ser>
          <c:idx val="0"/>
          <c:order val="1"/>
          <c:tx>
            <c:strRef>
              <c:f>Sheet3!$D$5</c:f>
              <c:strCache>
                <c:ptCount val="1"/>
                <c:pt idx="0">
                  <c:v>SM1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Sheet3!$D$7:$D$30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22.203675899215256</c:v>
                </c:pt>
                <c:pt idx="6">
                  <c:v>75.093990431256685</c:v>
                </c:pt>
                <c:pt idx="7">
                  <c:v>141.82458956573592</c:v>
                </c:pt>
                <c:pt idx="8">
                  <c:v>279.07102138032849</c:v>
                </c:pt>
                <c:pt idx="9">
                  <c:v>447.44429639531631</c:v>
                </c:pt>
                <c:pt idx="10">
                  <c:v>518.37757742511542</c:v>
                </c:pt>
                <c:pt idx="11">
                  <c:v>558.90439734477036</c:v>
                </c:pt>
                <c:pt idx="12">
                  <c:v>477.66481567387939</c:v>
                </c:pt>
                <c:pt idx="13">
                  <c:v>325.82602889575907</c:v>
                </c:pt>
                <c:pt idx="14">
                  <c:v>311.05648066742015</c:v>
                </c:pt>
                <c:pt idx="15">
                  <c:v>156.44493931924384</c:v>
                </c:pt>
                <c:pt idx="16">
                  <c:v>111.22513521213737</c:v>
                </c:pt>
                <c:pt idx="17">
                  <c:v>63.034734349767781</c:v>
                </c:pt>
                <c:pt idx="18">
                  <c:v>13.850097345176604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CCA-9F2A-1E5E03039732}"/>
            </c:ext>
          </c:extLst>
        </c:ser>
        <c:ser>
          <c:idx val="2"/>
          <c:order val="2"/>
          <c:tx>
            <c:strRef>
              <c:f>Sheet3!$E$5</c:f>
              <c:strCache>
                <c:ptCount val="1"/>
                <c:pt idx="0">
                  <c:v>SM1.5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Sheet3!$E$7:$E$30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33.355805760015464</c:v>
                </c:pt>
                <c:pt idx="6">
                  <c:v>112.57797508857652</c:v>
                </c:pt>
                <c:pt idx="7">
                  <c:v>212.35531012463784</c:v>
                </c:pt>
                <c:pt idx="8">
                  <c:v>417.55163113230446</c:v>
                </c:pt>
                <c:pt idx="9">
                  <c:v>669.22046284847886</c:v>
                </c:pt>
                <c:pt idx="10">
                  <c:v>775.22496292677749</c:v>
                </c:pt>
                <c:pt idx="11">
                  <c:v>835.92998264577443</c:v>
                </c:pt>
                <c:pt idx="12">
                  <c:v>714.66104987455378</c:v>
                </c:pt>
                <c:pt idx="13">
                  <c:v>487.75724790949062</c:v>
                </c:pt>
                <c:pt idx="14">
                  <c:v>466.02206965431611</c:v>
                </c:pt>
                <c:pt idx="15">
                  <c:v>234.64301500662805</c:v>
                </c:pt>
                <c:pt idx="16">
                  <c:v>167.06701956585445</c:v>
                </c:pt>
                <c:pt idx="17">
                  <c:v>94.86791803578032</c:v>
                </c:pt>
                <c:pt idx="18">
                  <c:v>20.902658855287402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8-4CCA-9F2A-1E5E03039732}"/>
            </c:ext>
          </c:extLst>
        </c:ser>
        <c:ser>
          <c:idx val="3"/>
          <c:order val="3"/>
          <c:tx>
            <c:strRef>
              <c:f>Sheet3!$F$5</c:f>
              <c:strCache>
                <c:ptCount val="1"/>
                <c:pt idx="0">
                  <c:v>SM1.75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Sheet3!$F$7:$F$30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38.992865959688004</c:v>
                </c:pt>
                <c:pt idx="6">
                  <c:v>131.42282554375294</c:v>
                </c:pt>
                <c:pt idx="7">
                  <c:v>247.69971249586303</c:v>
                </c:pt>
                <c:pt idx="8">
                  <c:v>486.81382655913393</c:v>
                </c:pt>
                <c:pt idx="9">
                  <c:v>780.02957511382351</c:v>
                </c:pt>
                <c:pt idx="10">
                  <c:v>903.51404098679996</c:v>
                </c:pt>
                <c:pt idx="11">
                  <c:v>974.33295936503544</c:v>
                </c:pt>
                <c:pt idx="12">
                  <c:v>833.16129547043386</c:v>
                </c:pt>
                <c:pt idx="13">
                  <c:v>568.83616043887389</c:v>
                </c:pt>
                <c:pt idx="14">
                  <c:v>543.76957767630813</c:v>
                </c:pt>
                <c:pt idx="15">
                  <c:v>273.98410635307238</c:v>
                </c:pt>
                <c:pt idx="16">
                  <c:v>195.26465104354108</c:v>
                </c:pt>
                <c:pt idx="17">
                  <c:v>111.02064510027776</c:v>
                </c:pt>
                <c:pt idx="18">
                  <c:v>24.506531363947509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8-4CCA-9F2A-1E5E03039732}"/>
            </c:ext>
          </c:extLst>
        </c:ser>
        <c:ser>
          <c:idx val="4"/>
          <c:order val="4"/>
          <c:tx>
            <c:strRef>
              <c:f>Sheet3!$G$5</c:f>
              <c:strCache>
                <c:ptCount val="1"/>
                <c:pt idx="0">
                  <c:v>SM2.0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Sheet3!$G$7:$G$30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44.598690951908608</c:v>
                </c:pt>
                <c:pt idx="6">
                  <c:v>150.22437593676486</c:v>
                </c:pt>
                <c:pt idx="7">
                  <c:v>283.03238069127116</c:v>
                </c:pt>
                <c:pt idx="8">
                  <c:v>556.1329012482737</c:v>
                </c:pt>
                <c:pt idx="9">
                  <c:v>890.99422768390548</c:v>
                </c:pt>
                <c:pt idx="10">
                  <c:v>1032.0006666815962</c:v>
                </c:pt>
                <c:pt idx="11">
                  <c:v>1112.9149350688449</c:v>
                </c:pt>
                <c:pt idx="12">
                  <c:v>951.74306684779106</c:v>
                </c:pt>
                <c:pt idx="13">
                  <c:v>649.89208430709539</c:v>
                </c:pt>
                <c:pt idx="14">
                  <c:v>621.38817914158699</c:v>
                </c:pt>
                <c:pt idx="15">
                  <c:v>313.18734988156433</c:v>
                </c:pt>
                <c:pt idx="16">
                  <c:v>223.29523532137131</c:v>
                </c:pt>
                <c:pt idx="17">
                  <c:v>127.02707835177449</c:v>
                </c:pt>
                <c:pt idx="18">
                  <c:v>28.062413975062881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8-4CCA-9F2A-1E5E0303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on Different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Summer Solstice</c:v>
          </c:tx>
          <c:spPr>
            <a:ln w="22225" cap="rnd" cmpd="sng" algn="ctr">
              <a:solidFill>
                <a:schemeClr val="accent6">
                  <a:alpha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Sheet3!$G$7:$G$30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44.598690951908608</c:v>
                </c:pt>
                <c:pt idx="6">
                  <c:v>150.22437593676486</c:v>
                </c:pt>
                <c:pt idx="7">
                  <c:v>283.03238069127116</c:v>
                </c:pt>
                <c:pt idx="8">
                  <c:v>556.1329012482737</c:v>
                </c:pt>
                <c:pt idx="9">
                  <c:v>890.99422768390548</c:v>
                </c:pt>
                <c:pt idx="10">
                  <c:v>1032.0006666815962</c:v>
                </c:pt>
                <c:pt idx="11">
                  <c:v>1112.9149350688449</c:v>
                </c:pt>
                <c:pt idx="12">
                  <c:v>951.74306684779106</c:v>
                </c:pt>
                <c:pt idx="13">
                  <c:v>649.89208430709539</c:v>
                </c:pt>
                <c:pt idx="14">
                  <c:v>621.38817914158699</c:v>
                </c:pt>
                <c:pt idx="15">
                  <c:v>313.18734988156433</c:v>
                </c:pt>
                <c:pt idx="16">
                  <c:v>223.29523532137131</c:v>
                </c:pt>
                <c:pt idx="17">
                  <c:v>127.02707835177449</c:v>
                </c:pt>
                <c:pt idx="18">
                  <c:v>28.062413975062881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D-4303-A6F5-AD743AA49B21}"/>
            </c:ext>
          </c:extLst>
        </c:ser>
        <c:ser>
          <c:idx val="0"/>
          <c:order val="1"/>
          <c:tx>
            <c:v>Winter Solstice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Sheet3!$H$7:$H$30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23.245744492545143</c:v>
                </c:pt>
                <c:pt idx="8">
                  <c:v>100.27799138782747</c:v>
                </c:pt>
                <c:pt idx="9">
                  <c:v>182.67938543811016</c:v>
                </c:pt>
                <c:pt idx="10">
                  <c:v>356.04684033283723</c:v>
                </c:pt>
                <c:pt idx="11">
                  <c:v>392.53894161250048</c:v>
                </c:pt>
                <c:pt idx="12">
                  <c:v>431.49854486757295</c:v>
                </c:pt>
                <c:pt idx="13">
                  <c:v>340.26232675510465</c:v>
                </c:pt>
                <c:pt idx="14">
                  <c:v>227.38874222428919</c:v>
                </c:pt>
                <c:pt idx="15">
                  <c:v>134.44979985698905</c:v>
                </c:pt>
                <c:pt idx="16">
                  <c:v>30.783142567953782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D-4303-A6F5-AD743AA49B21}"/>
            </c:ext>
          </c:extLst>
        </c:ser>
        <c:ser>
          <c:idx val="2"/>
          <c:order val="2"/>
          <c:tx>
            <c:v>Spring Equinox</c:v>
          </c:tx>
          <c:spPr>
            <a:ln w="25400" cap="rnd" cmpd="tri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Sheet3!$I$7:$I$30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38.731823377508213</c:v>
                </c:pt>
                <c:pt idx="7">
                  <c:v>210.86021451192124</c:v>
                </c:pt>
                <c:pt idx="8">
                  <c:v>440.21218795309807</c:v>
                </c:pt>
                <c:pt idx="9">
                  <c:v>660.62633570160142</c:v>
                </c:pt>
                <c:pt idx="10">
                  <c:v>831.29852988802907</c:v>
                </c:pt>
                <c:pt idx="11">
                  <c:v>898.3348542915769</c:v>
                </c:pt>
                <c:pt idx="12">
                  <c:v>928.51156713359114</c:v>
                </c:pt>
                <c:pt idx="13">
                  <c:v>832.86411998434301</c:v>
                </c:pt>
                <c:pt idx="14">
                  <c:v>634.90313623207919</c:v>
                </c:pt>
                <c:pt idx="15">
                  <c:v>438.65232520785537</c:v>
                </c:pt>
                <c:pt idx="16">
                  <c:v>220.76668535938322</c:v>
                </c:pt>
                <c:pt idx="17">
                  <c:v>42.52350405733015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D-4303-A6F5-AD743AA49B21}"/>
            </c:ext>
          </c:extLst>
        </c:ser>
        <c:ser>
          <c:idx val="3"/>
          <c:order val="3"/>
          <c:tx>
            <c:v>Fall Equinox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Sheet3!$J$7:$J$30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59.124046356383346</c:v>
                </c:pt>
                <c:pt idx="7">
                  <c:v>269.87367366169144</c:v>
                </c:pt>
                <c:pt idx="8">
                  <c:v>510.60407333778858</c:v>
                </c:pt>
                <c:pt idx="9">
                  <c:v>739.22219033576641</c:v>
                </c:pt>
                <c:pt idx="10">
                  <c:v>896.81932519084501</c:v>
                </c:pt>
                <c:pt idx="11">
                  <c:v>971.47243244246908</c:v>
                </c:pt>
                <c:pt idx="12">
                  <c:v>973.03746371687544</c:v>
                </c:pt>
                <c:pt idx="13">
                  <c:v>895.62145729308611</c:v>
                </c:pt>
                <c:pt idx="14">
                  <c:v>741.58563376475502</c:v>
                </c:pt>
                <c:pt idx="15">
                  <c:v>524.21851012980267</c:v>
                </c:pt>
                <c:pt idx="16">
                  <c:v>276.63216019205231</c:v>
                </c:pt>
                <c:pt idx="17">
                  <c:v>59.037558488190164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D8-9734-9974AB888602}"/>
            </c:ext>
          </c:extLst>
        </c:ser>
        <c:ser>
          <c:idx val="1"/>
          <c:order val="4"/>
          <c:tx>
            <c:strRef>
              <c:f>Sheet3!$C$6</c:f>
              <c:strCache>
                <c:ptCount val="1"/>
                <c:pt idx="0">
                  <c:v>Req. Q_SF</c:v>
                </c:pt>
              </c:strCache>
            </c:strRef>
          </c:tx>
          <c:spPr>
            <a:ln w="28575" cap="rnd" cmpd="sng" algn="ctr">
              <a:solidFill>
                <a:schemeClr val="accent6">
                  <a:alpha val="88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Sheet3!$B$7:$B$30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Sheet3!$C$7:$C$30</c:f>
              <c:numCache>
                <c:formatCode>General</c:formatCode>
                <c:ptCount val="24"/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D-4303-A6F5-AD743AA49B21}"/>
            </c:ext>
          </c:extLst>
        </c:ser>
        <c:ser>
          <c:idx val="6"/>
          <c:order val="5"/>
          <c:tx>
            <c:strRef>
              <c:f>Sheet3!$F$88</c:f>
              <c:strCache>
                <c:ptCount val="1"/>
                <c:pt idx="0">
                  <c:v>Req. Q_SF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Sheet3!$F$89:$F$112</c:f>
              <c:numCache>
                <c:formatCode>General</c:formatCode>
                <c:ptCount val="24"/>
                <c:pt idx="5">
                  <c:v>112.28133583923666</c:v>
                </c:pt>
                <c:pt idx="6">
                  <c:v>112.28133583923666</c:v>
                </c:pt>
                <c:pt idx="7">
                  <c:v>112.28133583923666</c:v>
                </c:pt>
                <c:pt idx="8">
                  <c:v>112.28133583923666</c:v>
                </c:pt>
                <c:pt idx="9">
                  <c:v>112.28133583923666</c:v>
                </c:pt>
                <c:pt idx="10">
                  <c:v>112.28133583923666</c:v>
                </c:pt>
                <c:pt idx="11">
                  <c:v>112.28133583923666</c:v>
                </c:pt>
                <c:pt idx="12">
                  <c:v>112.28133583923666</c:v>
                </c:pt>
                <c:pt idx="13">
                  <c:v>112.28133583923666</c:v>
                </c:pt>
                <c:pt idx="14">
                  <c:v>112.28133583923666</c:v>
                </c:pt>
                <c:pt idx="15">
                  <c:v>112.28133583923666</c:v>
                </c:pt>
                <c:pt idx="16">
                  <c:v>112.28133583923666</c:v>
                </c:pt>
                <c:pt idx="17">
                  <c:v>112.28133583923666</c:v>
                </c:pt>
                <c:pt idx="18">
                  <c:v>166.81798467543732</c:v>
                </c:pt>
                <c:pt idx="19">
                  <c:v>166.81798467543732</c:v>
                </c:pt>
                <c:pt idx="20">
                  <c:v>166.81798467543732</c:v>
                </c:pt>
                <c:pt idx="21">
                  <c:v>166.81798467543732</c:v>
                </c:pt>
                <c:pt idx="22">
                  <c:v>112.28133583923666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F-46E5-A57C-4334C7FAA4C6}"/>
            </c:ext>
          </c:extLst>
        </c:ser>
        <c:ser>
          <c:idx val="7"/>
          <c:order val="6"/>
          <c:tx>
            <c:strRef>
              <c:f>Sheet3!$G$88</c:f>
              <c:strCache>
                <c:ptCount val="1"/>
                <c:pt idx="0">
                  <c:v>Req. Q_SF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Sheet3!$G$89:$G$112</c:f>
              <c:numCache>
                <c:formatCode>General</c:formatCode>
                <c:ptCount val="24"/>
                <c:pt idx="5">
                  <c:v>308.6598236229579</c:v>
                </c:pt>
                <c:pt idx="6">
                  <c:v>308.6598236229579</c:v>
                </c:pt>
                <c:pt idx="7">
                  <c:v>308.6598236229579</c:v>
                </c:pt>
                <c:pt idx="8">
                  <c:v>308.6598236229579</c:v>
                </c:pt>
                <c:pt idx="9">
                  <c:v>308.6598236229579</c:v>
                </c:pt>
                <c:pt idx="10">
                  <c:v>308.6598236229579</c:v>
                </c:pt>
                <c:pt idx="11">
                  <c:v>308.6598236229579</c:v>
                </c:pt>
                <c:pt idx="12">
                  <c:v>308.6598236229579</c:v>
                </c:pt>
                <c:pt idx="13">
                  <c:v>308.6598236229579</c:v>
                </c:pt>
                <c:pt idx="14">
                  <c:v>308.6598236229579</c:v>
                </c:pt>
                <c:pt idx="15">
                  <c:v>308.6598236229579</c:v>
                </c:pt>
                <c:pt idx="16">
                  <c:v>308.6598236229579</c:v>
                </c:pt>
                <c:pt idx="17">
                  <c:v>308.6598236229579</c:v>
                </c:pt>
                <c:pt idx="18">
                  <c:v>458.58030938268035</c:v>
                </c:pt>
                <c:pt idx="19">
                  <c:v>458.58030938268035</c:v>
                </c:pt>
                <c:pt idx="20">
                  <c:v>458.58030938268035</c:v>
                </c:pt>
                <c:pt idx="21">
                  <c:v>458.58030938268035</c:v>
                </c:pt>
                <c:pt idx="22">
                  <c:v>308.6598236229579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F-46E5-A57C-4334C7FAA4C6}"/>
            </c:ext>
          </c:extLst>
        </c:ser>
        <c:ser>
          <c:idx val="5"/>
          <c:order val="7"/>
          <c:tx>
            <c:strRef>
              <c:f>Sheet3!$E$88</c:f>
              <c:strCache>
                <c:ptCount val="1"/>
                <c:pt idx="0">
                  <c:v>Req. Q_SF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Sheet3!$E$89:$E$112</c:f>
              <c:numCache>
                <c:formatCode>General</c:formatCode>
                <c:ptCount val="24"/>
                <c:pt idx="5">
                  <c:v>328.89981205725024</c:v>
                </c:pt>
                <c:pt idx="6">
                  <c:v>328.89981205725024</c:v>
                </c:pt>
                <c:pt idx="7">
                  <c:v>328.89981205725024</c:v>
                </c:pt>
                <c:pt idx="8">
                  <c:v>328.89981205725024</c:v>
                </c:pt>
                <c:pt idx="9">
                  <c:v>328.89981205725024</c:v>
                </c:pt>
                <c:pt idx="10">
                  <c:v>328.89981205725024</c:v>
                </c:pt>
                <c:pt idx="11">
                  <c:v>328.89981205725024</c:v>
                </c:pt>
                <c:pt idx="12">
                  <c:v>328.89981205725024</c:v>
                </c:pt>
                <c:pt idx="13">
                  <c:v>328.89981205725024</c:v>
                </c:pt>
                <c:pt idx="14">
                  <c:v>328.89981205725024</c:v>
                </c:pt>
                <c:pt idx="15">
                  <c:v>328.89981205725024</c:v>
                </c:pt>
                <c:pt idx="16">
                  <c:v>328.89981205725024</c:v>
                </c:pt>
                <c:pt idx="17">
                  <c:v>328.89981205725024</c:v>
                </c:pt>
                <c:pt idx="18">
                  <c:v>488.65114934220037</c:v>
                </c:pt>
                <c:pt idx="19">
                  <c:v>488.65114934220037</c:v>
                </c:pt>
                <c:pt idx="20">
                  <c:v>488.65114934220037</c:v>
                </c:pt>
                <c:pt idx="21">
                  <c:v>488.65114934220037</c:v>
                </c:pt>
                <c:pt idx="22">
                  <c:v>328.89981205725024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F-46E5-A57C-4334C7FA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3271375"/>
        <c:axId val="1383336287"/>
      </c:lineChart>
      <c:catAx>
        <c:axId val="154327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287"/>
        <c:crosses val="autoZero"/>
        <c:auto val="1"/>
        <c:lblAlgn val="ctr"/>
        <c:lblOffset val="100"/>
        <c:noMultiLvlLbl val="0"/>
      </c:catAx>
      <c:valAx>
        <c:axId val="1383336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713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0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1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chart" Target="../charts/chart12.xml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95250</xdr:rowOff>
    </xdr:from>
    <xdr:to>
      <xdr:col>20</xdr:col>
      <xdr:colOff>447675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AED6C-985E-40C8-9EEE-98BB677D5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210792</xdr:colOff>
      <xdr:row>1</xdr:row>
      <xdr:rowOff>124652</xdr:rowOff>
    </xdr:from>
    <xdr:to>
      <xdr:col>19</xdr:col>
      <xdr:colOff>515592</xdr:colOff>
      <xdr:row>16</xdr:row>
      <xdr:rowOff>10352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523CA-DE22-48E7-A656-7A2229056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275105</xdr:colOff>
      <xdr:row>4</xdr:row>
      <xdr:rowOff>100292</xdr:rowOff>
    </xdr:from>
    <xdr:to>
      <xdr:col>18</xdr:col>
      <xdr:colOff>198905</xdr:colOff>
      <xdr:row>18</xdr:row>
      <xdr:rowOff>176492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FB6FC-5C16-45DA-B336-1B8338EBB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497542</xdr:colOff>
      <xdr:row>4</xdr:row>
      <xdr:rowOff>66675</xdr:rowOff>
    </xdr:from>
    <xdr:to>
      <xdr:col>26</xdr:col>
      <xdr:colOff>192741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41134-02AD-4308-BC2D-5E9878F9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237003</xdr:colOff>
      <xdr:row>19</xdr:row>
      <xdr:rowOff>125505</xdr:rowOff>
    </xdr:from>
    <xdr:to>
      <xdr:col>19</xdr:col>
      <xdr:colOff>17929</xdr:colOff>
      <xdr:row>33</xdr:row>
      <xdr:rowOff>86845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7333C0-191B-4638-A1D8-FF2257ECC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49867</xdr:colOff>
      <xdr:row>20</xdr:row>
      <xdr:rowOff>100853</xdr:rowOff>
    </xdr:from>
    <xdr:to>
      <xdr:col>25</xdr:col>
      <xdr:colOff>145676</xdr:colOff>
      <xdr:row>33</xdr:row>
      <xdr:rowOff>150159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539FF2-C4BE-4F6B-B741-891FE576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34</xdr:row>
      <xdr:rowOff>180975</xdr:rowOff>
    </xdr:from>
    <xdr:to>
      <xdr:col>21</xdr:col>
      <xdr:colOff>304800</xdr:colOff>
      <xdr:row>49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62F2DA-B3C6-48BD-B658-E379B3CB1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280147</xdr:colOff>
      <xdr:row>2</xdr:row>
      <xdr:rowOff>179293</xdr:rowOff>
    </xdr:from>
    <xdr:to>
      <xdr:col>34</xdr:col>
      <xdr:colOff>549088</xdr:colOff>
      <xdr:row>18</xdr:row>
      <xdr:rowOff>134469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FC405F-5FBA-4E2C-AAE3-7A5FF8CF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48185</xdr:colOff>
      <xdr:row>19</xdr:row>
      <xdr:rowOff>143994</xdr:rowOff>
    </xdr:from>
    <xdr:to>
      <xdr:col>36</xdr:col>
      <xdr:colOff>152400</xdr:colOff>
      <xdr:row>38</xdr:row>
      <xdr:rowOff>171449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33FFBF-8F66-4D6C-83AE-26BC525D2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235324</xdr:colOff>
      <xdr:row>23</xdr:row>
      <xdr:rowOff>114982</xdr:rowOff>
    </xdr:from>
    <xdr:to>
      <xdr:col>12</xdr:col>
      <xdr:colOff>235324</xdr:colOff>
      <xdr:row>30</xdr:row>
      <xdr:rowOff>171011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D9E03C4-9E9E-41AC-823D-8FA6FD319E48}"/>
            </a:ext>
          </a:extLst>
        </xdr:cNvPr>
        <xdr:cNvCxnSpPr/>
      </xdr:nvCxnSpPr>
      <xdr:spPr>
        <a:xfrm flipV="1">
          <a:off x="11093824" y="4496482"/>
          <a:ext cx="0" cy="1389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589430</xdr:colOff>
      <xdr:row>23</xdr:row>
      <xdr:rowOff>118783</xdr:rowOff>
    </xdr:from>
    <xdr:to>
      <xdr:col>12</xdr:col>
      <xdr:colOff>589430</xdr:colOff>
      <xdr:row>30</xdr:row>
      <xdr:rowOff>174812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EBC0FE2-5C96-4A37-BDE3-95668BADF042}"/>
            </a:ext>
          </a:extLst>
        </xdr:cNvPr>
        <xdr:cNvCxnSpPr/>
      </xdr:nvCxnSpPr>
      <xdr:spPr>
        <a:xfrm flipV="1">
          <a:off x="11403106" y="4500283"/>
          <a:ext cx="0" cy="1389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601512</xdr:colOff>
      <xdr:row>23</xdr:row>
      <xdr:rowOff>114302</xdr:rowOff>
    </xdr:from>
    <xdr:to>
      <xdr:col>14</xdr:col>
      <xdr:colOff>601512</xdr:colOff>
      <xdr:row>30</xdr:row>
      <xdr:rowOff>170331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E1EA14-79AC-4D55-A799-5DAF3DD9AAA4}"/>
            </a:ext>
          </a:extLst>
        </xdr:cNvPr>
        <xdr:cNvCxnSpPr/>
      </xdr:nvCxnSpPr>
      <xdr:spPr>
        <a:xfrm flipV="1">
          <a:off x="12685838" y="4495802"/>
          <a:ext cx="0" cy="1389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513228</xdr:colOff>
      <xdr:row>23</xdr:row>
      <xdr:rowOff>109819</xdr:rowOff>
    </xdr:from>
    <xdr:to>
      <xdr:col>16</xdr:col>
      <xdr:colOff>513228</xdr:colOff>
      <xdr:row>30</xdr:row>
      <xdr:rowOff>165848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4C5EC9-CEDD-43A2-9C7F-E35816A3836C}"/>
            </a:ext>
          </a:extLst>
        </xdr:cNvPr>
        <xdr:cNvCxnSpPr/>
      </xdr:nvCxnSpPr>
      <xdr:spPr>
        <a:xfrm flipV="1">
          <a:off x="13823380" y="4491319"/>
          <a:ext cx="0" cy="13895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0.13641</cdr:x>
      <cdr:y>0.53249</cdr:y>
    </cdr:from>
    <cdr:to>
      <cdr:x>0.25553</cdr:x>
      <cdr:y>0.80673</cdr:y>
    </cdr:to>
    <cdr:sp macro="" textlink="">
      <cdr:nvSpPr>
        <cdr:cNvPr id="11" name="textruta 10">
          <a:extLst xmlns:a="http://schemas.openxmlformats.org/drawingml/2006/main">
            <a:ext uri="{FF2B5EF4-FFF2-40B4-BE49-F238E27FC236}">
              <a16:creationId xmlns:a16="http://schemas.microsoft.com/office/drawing/2014/main" id="{955502BB-F25F-4A7B-928B-9A82C5658D84}"/>
            </a:ext>
          </a:extLst>
        </cdr:cNvPr>
        <cdr:cNvSpPr txBox="1"/>
      </cdr:nvSpPr>
      <cdr:spPr>
        <a:xfrm xmlns:a="http://schemas.openxmlformats.org/drawingml/2006/main">
          <a:off x="1047190" y="1941981"/>
          <a:ext cx="91440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100 MWe</a:t>
          </a:r>
        </a:p>
        <a:p xmlns:a="http://schemas.openxmlformats.org/drawingml/2006/main">
          <a:r>
            <a:rPr lang="en-GB" sz="1100"/>
            <a:t>93 MWe</a:t>
          </a:r>
        </a:p>
        <a:p xmlns:a="http://schemas.openxmlformats.org/drawingml/2006/main">
          <a:r>
            <a:rPr lang="en-GB" sz="1100"/>
            <a:t>88 MWe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23 MWe</a:t>
          </a:r>
        </a:p>
      </cdr:txBody>
    </cdr:sp>
  </cdr:relSizeAnchor>
  <cdr:relSizeAnchor xmlns:cdr="http://schemas.openxmlformats.org/drawingml/2006/chartDrawing">
    <cdr:from>
      <cdr:x>0.22575</cdr:x>
      <cdr:y>0.57689</cdr:y>
    </cdr:from>
    <cdr:to>
      <cdr:x>0.28903</cdr:x>
      <cdr:y>0.66569</cdr:y>
    </cdr:to>
    <cdr:cxnSp macro="">
      <cdr:nvCxnSpPr>
        <cdr:cNvPr id="13" name="Rak pilkoppling 12">
          <a:extLst xmlns:a="http://schemas.openxmlformats.org/drawingml/2006/main">
            <a:ext uri="{FF2B5EF4-FFF2-40B4-BE49-F238E27FC236}">
              <a16:creationId xmlns:a16="http://schemas.microsoft.com/office/drawing/2014/main" id="{10F2EFAE-286F-4072-9294-5F1A8478F95F}"/>
            </a:ext>
          </a:extLst>
        </cdr:cNvPr>
        <cdr:cNvCxnSpPr/>
      </cdr:nvCxnSpPr>
      <cdr:spPr>
        <a:xfrm xmlns:a="http://schemas.openxmlformats.org/drawingml/2006/main">
          <a:off x="1732990" y="2103906"/>
          <a:ext cx="485775" cy="3238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0.21706</cdr:x>
      <cdr:y>0.62391</cdr:y>
    </cdr:from>
    <cdr:to>
      <cdr:x>0.28531</cdr:x>
      <cdr:y>0.68136</cdr:y>
    </cdr:to>
    <cdr:cxnSp macro="">
      <cdr:nvCxnSpPr>
        <cdr:cNvPr id="15" name="Rak pilkoppling 14">
          <a:extLst xmlns:a="http://schemas.openxmlformats.org/drawingml/2006/main">
            <a:ext uri="{FF2B5EF4-FFF2-40B4-BE49-F238E27FC236}">
              <a16:creationId xmlns:a16="http://schemas.microsoft.com/office/drawing/2014/main" id="{8CB4B567-27B1-4E56-A8B0-1602D9516384}"/>
            </a:ext>
          </a:extLst>
        </cdr:cNvPr>
        <cdr:cNvCxnSpPr/>
      </cdr:nvCxnSpPr>
      <cdr:spPr>
        <a:xfrm xmlns:a="http://schemas.openxmlformats.org/drawingml/2006/main">
          <a:off x="1666315" y="2275356"/>
          <a:ext cx="523875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0.21582</cdr:x>
      <cdr:y>0.66569</cdr:y>
    </cdr:from>
    <cdr:to>
      <cdr:x>0.28531</cdr:x>
      <cdr:y>0.69704</cdr:y>
    </cdr:to>
    <cdr:cxnSp macro="">
      <cdr:nvCxnSpPr>
        <cdr:cNvPr id="17" name="Rak pilkoppling 16">
          <a:extLst xmlns:a="http://schemas.openxmlformats.org/drawingml/2006/main">
            <a:ext uri="{FF2B5EF4-FFF2-40B4-BE49-F238E27FC236}">
              <a16:creationId xmlns:a16="http://schemas.microsoft.com/office/drawing/2014/main" id="{5EF321B3-7990-4208-B840-B1C07123565C}"/>
            </a:ext>
          </a:extLst>
        </cdr:cNvPr>
        <cdr:cNvCxnSpPr/>
      </cdr:nvCxnSpPr>
      <cdr:spPr>
        <a:xfrm xmlns:a="http://schemas.openxmlformats.org/drawingml/2006/main">
          <a:off x="1656790" y="2427756"/>
          <a:ext cx="533400" cy="114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0.21831</cdr:x>
      <cdr:y>0.75972</cdr:y>
    </cdr:from>
    <cdr:to>
      <cdr:x>0.28828</cdr:x>
      <cdr:y>0.79224</cdr:y>
    </cdr:to>
    <cdr:cxnSp macro="">
      <cdr:nvCxnSpPr>
        <cdr:cNvPr id="23" name="Rak pilkoppling 22">
          <a:extLst xmlns:a="http://schemas.openxmlformats.org/drawingml/2006/main">
            <a:ext uri="{FF2B5EF4-FFF2-40B4-BE49-F238E27FC236}">
              <a16:creationId xmlns:a16="http://schemas.microsoft.com/office/drawing/2014/main" id="{986F3C42-6FCE-48B8-84C4-6C39CC03CD72}"/>
            </a:ext>
          </a:extLst>
        </cdr:cNvPr>
        <cdr:cNvCxnSpPr/>
      </cdr:nvCxnSpPr>
      <cdr:spPr>
        <a:xfrm xmlns:a="http://schemas.openxmlformats.org/drawingml/2006/main">
          <a:off x="1675840" y="2770656"/>
          <a:ext cx="537135" cy="1185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0.88088</cdr:x>
      <cdr:y>0.22548</cdr:y>
    </cdr:from>
    <cdr:to>
      <cdr:x>1</cdr:x>
      <cdr:y>0.49972</cdr:y>
    </cdr:to>
    <cdr:sp macro="" textlink="">
      <cdr:nvSpPr>
        <cdr:cNvPr id="25" name="textruta 1">
          <a:extLst xmlns:a="http://schemas.openxmlformats.org/drawingml/2006/main">
            <a:ext uri="{FF2B5EF4-FFF2-40B4-BE49-F238E27FC236}">
              <a16:creationId xmlns:a16="http://schemas.microsoft.com/office/drawing/2014/main" id="{BD4C24F5-C31D-48C3-B3E9-70FD15FFF94D}"/>
            </a:ext>
          </a:extLst>
        </cdr:cNvPr>
        <cdr:cNvSpPr txBox="1"/>
      </cdr:nvSpPr>
      <cdr:spPr>
        <a:xfrm xmlns:a="http://schemas.openxmlformats.org/drawingml/2006/main">
          <a:off x="6762190" y="822325"/>
          <a:ext cx="91440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150 MWe</a:t>
          </a:r>
        </a:p>
        <a:p xmlns:a="http://schemas.openxmlformats.org/drawingml/2006/main">
          <a:r>
            <a:rPr lang="en-GB" sz="1100"/>
            <a:t>140 MWe</a:t>
          </a:r>
        </a:p>
        <a:p xmlns:a="http://schemas.openxmlformats.org/drawingml/2006/main">
          <a:r>
            <a:rPr lang="en-GB" sz="1100"/>
            <a:t>132 MWe</a:t>
          </a:r>
        </a:p>
        <a:p xmlns:a="http://schemas.openxmlformats.org/drawingml/2006/main">
          <a:endParaRPr lang="en-GB" sz="1100"/>
        </a:p>
        <a:p xmlns:a="http://schemas.openxmlformats.org/drawingml/2006/main">
          <a:r>
            <a:rPr lang="en-GB" sz="1100"/>
            <a:t>48 MWe</a:t>
          </a:r>
        </a:p>
      </cdr:txBody>
    </cdr:sp>
  </cdr:relSizeAnchor>
  <cdr:relSizeAnchor xmlns:cdr="http://schemas.openxmlformats.org/drawingml/2006/chartDrawing">
    <cdr:from>
      <cdr:x>0.82753</cdr:x>
      <cdr:y>0.27249</cdr:y>
    </cdr:from>
    <cdr:to>
      <cdr:x>0.88261</cdr:x>
      <cdr:y>0.57428</cdr:y>
    </cdr:to>
    <cdr:cxnSp macro="">
      <cdr:nvCxnSpPr>
        <cdr:cNvPr id="26" name="Rak pilkoppling 25">
          <a:extLst xmlns:a="http://schemas.openxmlformats.org/drawingml/2006/main">
            <a:ext uri="{FF2B5EF4-FFF2-40B4-BE49-F238E27FC236}">
              <a16:creationId xmlns:a16="http://schemas.microsoft.com/office/drawing/2014/main" id="{10EA06B6-5950-48D4-9FEB-E6BD50B99905}"/>
            </a:ext>
          </a:extLst>
        </cdr:cNvPr>
        <cdr:cNvCxnSpPr/>
      </cdr:nvCxnSpPr>
      <cdr:spPr>
        <a:xfrm xmlns:a="http://schemas.openxmlformats.org/drawingml/2006/main" flipH="1">
          <a:off x="6352615" y="993775"/>
          <a:ext cx="422835" cy="11006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0.83249</cdr:x>
      <cdr:y>0.32212</cdr:y>
    </cdr:from>
    <cdr:to>
      <cdr:x>0.88558</cdr:x>
      <cdr:y>0.60824</cdr:y>
    </cdr:to>
    <cdr:cxnSp macro="">
      <cdr:nvCxnSpPr>
        <cdr:cNvPr id="29" name="Rak pilkoppling 28">
          <a:extLst xmlns:a="http://schemas.openxmlformats.org/drawingml/2006/main">
            <a:ext uri="{FF2B5EF4-FFF2-40B4-BE49-F238E27FC236}">
              <a16:creationId xmlns:a16="http://schemas.microsoft.com/office/drawing/2014/main" id="{026959B8-0EB2-46BB-B145-9178F10140BB}"/>
            </a:ext>
          </a:extLst>
        </cdr:cNvPr>
        <cdr:cNvCxnSpPr/>
      </cdr:nvCxnSpPr>
      <cdr:spPr>
        <a:xfrm xmlns:a="http://schemas.openxmlformats.org/drawingml/2006/main" flipH="1">
          <a:off x="6390715" y="1174750"/>
          <a:ext cx="407521" cy="1043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0.84242</cdr:x>
      <cdr:y>0.36129</cdr:y>
    </cdr:from>
    <cdr:to>
      <cdr:x>0.89103</cdr:x>
      <cdr:y>0.62391</cdr:y>
    </cdr:to>
    <cdr:cxnSp macro="">
      <cdr:nvCxnSpPr>
        <cdr:cNvPr id="32" name="Rak pilkoppling 31">
          <a:extLst xmlns:a="http://schemas.openxmlformats.org/drawingml/2006/main">
            <a:ext uri="{FF2B5EF4-FFF2-40B4-BE49-F238E27FC236}">
              <a16:creationId xmlns:a16="http://schemas.microsoft.com/office/drawing/2014/main" id="{5D46DA5D-7B48-41BD-855C-0B718E5DE912}"/>
            </a:ext>
          </a:extLst>
        </cdr:cNvPr>
        <cdr:cNvCxnSpPr/>
      </cdr:nvCxnSpPr>
      <cdr:spPr>
        <a:xfrm xmlns:a="http://schemas.openxmlformats.org/drawingml/2006/main" flipH="1">
          <a:off x="6466915" y="1317625"/>
          <a:ext cx="373157" cy="95773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0.83794</cdr:x>
      <cdr:y>0.46315</cdr:y>
    </cdr:from>
    <cdr:to>
      <cdr:x>0.89103</cdr:x>
      <cdr:y>0.74927</cdr:y>
    </cdr:to>
    <cdr:cxnSp macro="">
      <cdr:nvCxnSpPr>
        <cdr:cNvPr id="34" name="Rak pilkoppling 33">
          <a:extLst xmlns:a="http://schemas.openxmlformats.org/drawingml/2006/main">
            <a:ext uri="{FF2B5EF4-FFF2-40B4-BE49-F238E27FC236}">
              <a16:creationId xmlns:a16="http://schemas.microsoft.com/office/drawing/2014/main" id="{5D46DA5D-7B48-41BD-855C-0B718E5DE912}"/>
            </a:ext>
          </a:extLst>
        </cdr:cNvPr>
        <cdr:cNvCxnSpPr/>
      </cdr:nvCxnSpPr>
      <cdr:spPr>
        <a:xfrm xmlns:a="http://schemas.openxmlformats.org/drawingml/2006/main" flipH="1">
          <a:off x="6432550" y="1689100"/>
          <a:ext cx="407521" cy="1043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73960</xdr:colOff>
      <xdr:row>27</xdr:row>
      <xdr:rowOff>126625</xdr:rowOff>
    </xdr:from>
    <xdr:to>
      <xdr:col>6</xdr:col>
      <xdr:colOff>280147</xdr:colOff>
      <xdr:row>45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C7255-D646-412B-A01D-34348D1EE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8</xdr:col>
      <xdr:colOff>295275</xdr:colOff>
      <xdr:row>32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077A5-D1E4-40F3-8C8F-A81BFC40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5962650"/>
          <a:ext cx="295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314325</xdr:colOff>
      <xdr:row>35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A72ADB-2B71-4CD2-8098-0350BEDF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6172200"/>
          <a:ext cx="314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35</xdr:row>
      <xdr:rowOff>0</xdr:rowOff>
    </xdr:from>
    <xdr:to>
      <xdr:col>9</xdr:col>
      <xdr:colOff>819150</xdr:colOff>
      <xdr:row>35</xdr:row>
      <xdr:rowOff>200025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4A64BE-D2D2-48E1-947A-E7163D03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6172200"/>
          <a:ext cx="819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304800</xdr:colOff>
      <xdr:row>33</xdr:row>
      <xdr:rowOff>200025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2C8B0B-A098-4CBF-BB08-900054CC5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6381750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904875</xdr:colOff>
      <xdr:row>33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ADF34D-9E40-455C-9A5A-726A49901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6381750"/>
          <a:ext cx="904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36</xdr:row>
      <xdr:rowOff>0</xdr:rowOff>
    </xdr:from>
    <xdr:to>
      <xdr:col>8</xdr:col>
      <xdr:colOff>333375</xdr:colOff>
      <xdr:row>36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1EDEF6-8324-43CA-A13A-13DD75CC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6591300"/>
          <a:ext cx="333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36</xdr:row>
      <xdr:rowOff>0</xdr:rowOff>
    </xdr:from>
    <xdr:to>
      <xdr:col>9</xdr:col>
      <xdr:colOff>952500</xdr:colOff>
      <xdr:row>36</xdr:row>
      <xdr:rowOff>200025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A36DF7-DCE3-407E-9722-6A2AECD5E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6591300"/>
          <a:ext cx="952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8</xdr:col>
      <xdr:colOff>352425</xdr:colOff>
      <xdr:row>37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414C19-B4B9-48C8-BA20-411121D9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6800850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37</xdr:row>
      <xdr:rowOff>0</xdr:rowOff>
    </xdr:from>
    <xdr:to>
      <xdr:col>9</xdr:col>
      <xdr:colOff>981075</xdr:colOff>
      <xdr:row>37</xdr:row>
      <xdr:rowOff>200025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4B622C-0AD5-4BEB-9268-7BF71DC6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6800850"/>
          <a:ext cx="981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276225</xdr:colOff>
      <xdr:row>34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65ECA3-3076-4FBD-B2C0-059E45EA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701040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1181100</xdr:colOff>
      <xdr:row>34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BDD5991-EC5B-454B-A0C9-76817A9C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7010400"/>
          <a:ext cx="1181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276225</xdr:colOff>
      <xdr:row>31</xdr:row>
      <xdr:rowOff>180975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FC645BE-00B3-4F03-917C-70CB679AF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7219950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43</xdr:row>
      <xdr:rowOff>0</xdr:rowOff>
    </xdr:from>
    <xdr:to>
      <xdr:col>8</xdr:col>
      <xdr:colOff>352425</xdr:colOff>
      <xdr:row>43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A0A942-3B3C-4BFD-A511-D071CD3E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8220075"/>
          <a:ext cx="3524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43</xdr:row>
      <xdr:rowOff>0</xdr:rowOff>
    </xdr:from>
    <xdr:to>
      <xdr:col>9</xdr:col>
      <xdr:colOff>857250</xdr:colOff>
      <xdr:row>43</xdr:row>
      <xdr:rowOff>200025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5322805-6FB3-4419-8C86-005EBCA59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8220075"/>
          <a:ext cx="857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45</xdr:row>
      <xdr:rowOff>0</xdr:rowOff>
    </xdr:from>
    <xdr:to>
      <xdr:col>8</xdr:col>
      <xdr:colOff>333375</xdr:colOff>
      <xdr:row>45</xdr:row>
      <xdr:rowOff>200025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96AF912-459B-4A00-8108-68FBB7D74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8429625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45</xdr:row>
      <xdr:rowOff>0</xdr:rowOff>
    </xdr:from>
    <xdr:to>
      <xdr:col>9</xdr:col>
      <xdr:colOff>695325</xdr:colOff>
      <xdr:row>45</xdr:row>
      <xdr:rowOff>200025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337F95-DA83-4F59-8CAE-98A19E4D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8429625"/>
          <a:ext cx="695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44</xdr:row>
      <xdr:rowOff>0</xdr:rowOff>
    </xdr:from>
    <xdr:to>
      <xdr:col>8</xdr:col>
      <xdr:colOff>390525</xdr:colOff>
      <xdr:row>44</xdr:row>
      <xdr:rowOff>180975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D59F2D9-BF42-4CA5-B7B4-484B66AA5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8639175"/>
          <a:ext cx="390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8</xdr:col>
      <xdr:colOff>400050</xdr:colOff>
      <xdr:row>42</xdr:row>
      <xdr:rowOff>180975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8168ED-7A8F-4C13-8100-D3E453108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8848725"/>
          <a:ext cx="4000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28</xdr:row>
      <xdr:rowOff>123263</xdr:rowOff>
    </xdr:from>
    <xdr:to>
      <xdr:col>16</xdr:col>
      <xdr:colOff>358588</xdr:colOff>
      <xdr:row>37</xdr:row>
      <xdr:rowOff>200210</xdr:rowOff>
    </xdr:to>
    <xdr:pic>
      <xdr:nvPicPr>
        <xdr:cNvPr id="21" name="Bildobjekt 28" descr="APEX.png">
          <a:extLst>
            <a:ext uri="{FF2B5EF4-FFF2-40B4-BE49-F238E27FC236}">
              <a16:creationId xmlns:a16="http://schemas.microsoft.com/office/drawing/2014/main" id="{CACE3D62-7F06-4061-BA13-948BFCFB87B3}"/>
            </a:ext>
          </a:extLst>
        </xdr:cNvPr>
        <xdr:cNvPicPr/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6971" y="5490881"/>
          <a:ext cx="3148852" cy="19595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268940</xdr:colOff>
      <xdr:row>39</xdr:row>
      <xdr:rowOff>140505</xdr:rowOff>
    </xdr:from>
    <xdr:to>
      <xdr:col>15</xdr:col>
      <xdr:colOff>1329017</xdr:colOff>
      <xdr:row>47</xdr:row>
      <xdr:rowOff>62754</xdr:rowOff>
    </xdr:to>
    <xdr:pic>
      <xdr:nvPicPr>
        <xdr:cNvPr id="22" name="Bildobjekt 26" descr="PEX.png">
          <a:extLst>
            <a:ext uri="{FF2B5EF4-FFF2-40B4-BE49-F238E27FC236}">
              <a16:creationId xmlns:a16="http://schemas.microsoft.com/office/drawing/2014/main" id="{2BC5BEE7-E0EA-4831-9586-74F068531C2B}"/>
            </a:ext>
          </a:extLst>
        </xdr:cNvPr>
        <xdr:cNvPicPr/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15411" y="7794123"/>
          <a:ext cx="2550459" cy="15695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493058</xdr:colOff>
      <xdr:row>27</xdr:row>
      <xdr:rowOff>17928</xdr:rowOff>
    </xdr:from>
    <xdr:to>
      <xdr:col>19</xdr:col>
      <xdr:colOff>190500</xdr:colOff>
      <xdr:row>39</xdr:row>
      <xdr:rowOff>22411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BB93E1B-456E-42A3-8DE1-3652A9E15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358589</xdr:colOff>
      <xdr:row>39</xdr:row>
      <xdr:rowOff>179295</xdr:rowOff>
    </xdr:from>
    <xdr:to>
      <xdr:col>18</xdr:col>
      <xdr:colOff>1434353</xdr:colOff>
      <xdr:row>50</xdr:row>
      <xdr:rowOff>56031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FFFF40-F36D-4A8F-AC8B-519B10C8D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</xdr:col>
      <xdr:colOff>1019734</xdr:colOff>
      <xdr:row>46</xdr:row>
      <xdr:rowOff>123264</xdr:rowOff>
    </xdr:from>
    <xdr:to>
      <xdr:col>6</xdr:col>
      <xdr:colOff>248680</xdr:colOff>
      <xdr:row>49</xdr:row>
      <xdr:rowOff>56526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CFA1CD5-3056-4932-993A-BB7AEF130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081616" y="9233646"/>
          <a:ext cx="5190476" cy="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2"/>
  <sheetViews>
    <sheetView workbookViewId="0">
      <selection activeCell="I12" sqref="I12"/>
    </sheetView>
  </sheetViews>
  <sheetFormatPr defaultRowHeight="15" x14ac:dyDescent="0.25"/>
  <sheetData>
    <row r="4" spans="3:7" x14ac:dyDescent="0.25">
      <c r="C4" t="s">
        <v>0</v>
      </c>
      <c r="D4" t="s">
        <v>1</v>
      </c>
      <c r="E4" t="s">
        <v>2</v>
      </c>
      <c r="F4" s="8">
        <v>42815</v>
      </c>
      <c r="G4" s="8">
        <v>42907</v>
      </c>
    </row>
    <row r="5" spans="3:7" x14ac:dyDescent="0.25">
      <c r="C5">
        <v>0</v>
      </c>
      <c r="D5">
        <v>0</v>
      </c>
      <c r="F5">
        <v>0</v>
      </c>
      <c r="G5">
        <v>0</v>
      </c>
    </row>
    <row r="6" spans="3:7" x14ac:dyDescent="0.25">
      <c r="C6">
        <v>1</v>
      </c>
      <c r="D6">
        <v>0</v>
      </c>
      <c r="F6">
        <v>0</v>
      </c>
      <c r="G6">
        <v>0</v>
      </c>
    </row>
    <row r="7" spans="3:7" x14ac:dyDescent="0.25">
      <c r="C7">
        <v>2</v>
      </c>
      <c r="D7">
        <v>0</v>
      </c>
      <c r="F7">
        <v>0</v>
      </c>
      <c r="G7">
        <v>0</v>
      </c>
    </row>
    <row r="8" spans="3:7" x14ac:dyDescent="0.25">
      <c r="C8">
        <v>3</v>
      </c>
      <c r="D8">
        <v>0</v>
      </c>
      <c r="F8">
        <v>0</v>
      </c>
      <c r="G8">
        <v>0</v>
      </c>
    </row>
    <row r="9" spans="3:7" x14ac:dyDescent="0.25">
      <c r="C9">
        <v>4</v>
      </c>
      <c r="D9">
        <v>0</v>
      </c>
      <c r="F9">
        <v>0</v>
      </c>
      <c r="G9">
        <v>0</v>
      </c>
    </row>
    <row r="10" spans="3:7" x14ac:dyDescent="0.25">
      <c r="C10">
        <v>5</v>
      </c>
      <c r="D10" s="1">
        <v>10.376404494381999</v>
      </c>
      <c r="F10">
        <v>0</v>
      </c>
      <c r="G10">
        <v>53</v>
      </c>
    </row>
    <row r="11" spans="3:7" x14ac:dyDescent="0.25">
      <c r="C11">
        <v>6</v>
      </c>
      <c r="D11">
        <v>75.154494382022506</v>
      </c>
      <c r="F11">
        <v>44</v>
      </c>
      <c r="G11">
        <v>226</v>
      </c>
    </row>
    <row r="12" spans="3:7" x14ac:dyDescent="0.25">
      <c r="C12">
        <v>7</v>
      </c>
      <c r="D12">
        <v>216.98033707865201</v>
      </c>
      <c r="F12">
        <v>224</v>
      </c>
      <c r="G12">
        <v>292</v>
      </c>
    </row>
    <row r="13" spans="3:7" x14ac:dyDescent="0.25">
      <c r="C13">
        <v>8</v>
      </c>
      <c r="D13">
        <v>404.58988764044898</v>
      </c>
      <c r="F13">
        <v>452</v>
      </c>
      <c r="G13">
        <v>627</v>
      </c>
    </row>
    <row r="14" spans="3:7" x14ac:dyDescent="0.25">
      <c r="C14">
        <v>9</v>
      </c>
      <c r="D14" s="2">
        <v>571.35674157303401</v>
      </c>
      <c r="F14">
        <v>639</v>
      </c>
      <c r="G14">
        <v>817</v>
      </c>
    </row>
    <row r="15" spans="3:7" x14ac:dyDescent="0.25">
      <c r="C15">
        <v>10</v>
      </c>
      <c r="D15" s="2">
        <v>698.94943820224705</v>
      </c>
      <c r="F15">
        <v>768</v>
      </c>
      <c r="G15">
        <v>917</v>
      </c>
    </row>
    <row r="16" spans="3:7" x14ac:dyDescent="0.25">
      <c r="C16">
        <v>11</v>
      </c>
      <c r="D16" s="2">
        <v>761.80898876404501</v>
      </c>
      <c r="F16">
        <v>836</v>
      </c>
      <c r="G16">
        <v>954</v>
      </c>
    </row>
    <row r="17" spans="3:8" x14ac:dyDescent="0.25">
      <c r="C17">
        <v>12</v>
      </c>
      <c r="D17" s="2">
        <v>769.36235955056202</v>
      </c>
      <c r="F17">
        <v>829</v>
      </c>
      <c r="G17">
        <v>949</v>
      </c>
    </row>
    <row r="18" spans="3:8" x14ac:dyDescent="0.25">
      <c r="C18">
        <v>13</v>
      </c>
      <c r="D18" s="2">
        <v>708.00842696629195</v>
      </c>
      <c r="F18">
        <v>763</v>
      </c>
      <c r="G18">
        <v>902</v>
      </c>
    </row>
    <row r="19" spans="3:8" x14ac:dyDescent="0.25">
      <c r="C19">
        <v>14</v>
      </c>
      <c r="D19" s="2">
        <v>590.51123595505601</v>
      </c>
      <c r="F19">
        <v>641</v>
      </c>
      <c r="G19">
        <v>794</v>
      </c>
    </row>
    <row r="20" spans="3:8" x14ac:dyDescent="0.25">
      <c r="C20">
        <v>15</v>
      </c>
      <c r="D20">
        <v>424.96910112359598</v>
      </c>
      <c r="F20">
        <v>401</v>
      </c>
      <c r="G20">
        <v>636</v>
      </c>
    </row>
    <row r="21" spans="3:8" x14ac:dyDescent="0.25">
      <c r="C21">
        <v>16</v>
      </c>
      <c r="D21">
        <v>232.56460674157299</v>
      </c>
      <c r="F21">
        <v>233</v>
      </c>
      <c r="G21">
        <v>439</v>
      </c>
      <c r="H21" s="4"/>
    </row>
    <row r="22" spans="3:8" x14ac:dyDescent="0.25">
      <c r="C22">
        <v>17</v>
      </c>
      <c r="D22">
        <v>79.606741573033702</v>
      </c>
      <c r="F22">
        <v>57</v>
      </c>
      <c r="G22">
        <v>162</v>
      </c>
    </row>
    <row r="23" spans="3:8" x14ac:dyDescent="0.25">
      <c r="C23">
        <v>18</v>
      </c>
      <c r="D23" s="1">
        <v>11.0337078651685</v>
      </c>
      <c r="F23">
        <v>0</v>
      </c>
      <c r="G23">
        <v>19</v>
      </c>
    </row>
    <row r="24" spans="3:8" x14ac:dyDescent="0.25">
      <c r="C24">
        <v>19</v>
      </c>
      <c r="D24">
        <v>0</v>
      </c>
      <c r="F24">
        <v>0</v>
      </c>
      <c r="G24">
        <v>0</v>
      </c>
    </row>
    <row r="25" spans="3:8" x14ac:dyDescent="0.25">
      <c r="C25">
        <v>20</v>
      </c>
      <c r="D25">
        <v>0</v>
      </c>
      <c r="F25">
        <v>0</v>
      </c>
      <c r="G25">
        <v>0</v>
      </c>
    </row>
    <row r="26" spans="3:8" x14ac:dyDescent="0.25">
      <c r="C26">
        <v>21</v>
      </c>
      <c r="D26">
        <v>0</v>
      </c>
      <c r="F26">
        <v>0</v>
      </c>
      <c r="G26">
        <v>0</v>
      </c>
    </row>
    <row r="27" spans="3:8" x14ac:dyDescent="0.25">
      <c r="C27">
        <v>22</v>
      </c>
      <c r="D27">
        <v>0</v>
      </c>
      <c r="F27">
        <v>0</v>
      </c>
      <c r="G27">
        <v>0</v>
      </c>
    </row>
    <row r="28" spans="3:8" x14ac:dyDescent="0.25">
      <c r="C28">
        <v>23</v>
      </c>
      <c r="D28">
        <v>0</v>
      </c>
      <c r="F28">
        <v>0</v>
      </c>
      <c r="G28">
        <v>0</v>
      </c>
    </row>
    <row r="29" spans="3:8" x14ac:dyDescent="0.25">
      <c r="C29">
        <v>0</v>
      </c>
      <c r="D29">
        <v>0</v>
      </c>
    </row>
    <row r="32" spans="3:8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36"/>
  <sheetViews>
    <sheetView topLeftCell="F1" zoomScaleNormal="100" workbookViewId="0">
      <selection activeCell="V10" sqref="V10"/>
    </sheetView>
  </sheetViews>
  <sheetFormatPr defaultRowHeight="15" x14ac:dyDescent="0.25"/>
  <cols>
    <col min="4" max="5" width="21.42578125" bestFit="1" customWidth="1"/>
    <col min="6" max="6" width="21.42578125" customWidth="1"/>
  </cols>
  <sheetData>
    <row r="4" spans="3:10" x14ac:dyDescent="0.25">
      <c r="D4" t="s">
        <v>10</v>
      </c>
      <c r="E4" t="s">
        <v>7</v>
      </c>
      <c r="F4" t="s">
        <v>9</v>
      </c>
      <c r="H4" t="s">
        <v>11</v>
      </c>
    </row>
    <row r="5" spans="3:10" x14ac:dyDescent="0.25">
      <c r="C5" t="s">
        <v>4</v>
      </c>
      <c r="D5" t="s">
        <v>5</v>
      </c>
      <c r="E5" t="s">
        <v>5</v>
      </c>
      <c r="F5" t="s">
        <v>5</v>
      </c>
      <c r="G5" t="s">
        <v>6</v>
      </c>
      <c r="H5" t="s">
        <v>8</v>
      </c>
      <c r="I5" t="s">
        <v>9</v>
      </c>
      <c r="J5" t="s">
        <v>10</v>
      </c>
    </row>
    <row r="6" spans="3:10" x14ac:dyDescent="0.25">
      <c r="C6">
        <v>0</v>
      </c>
      <c r="D6">
        <v>0</v>
      </c>
      <c r="E6">
        <v>0</v>
      </c>
      <c r="F6">
        <v>0</v>
      </c>
    </row>
    <row r="7" spans="3:10" x14ac:dyDescent="0.25">
      <c r="C7">
        <v>1</v>
      </c>
      <c r="D7">
        <v>0</v>
      </c>
      <c r="E7">
        <v>0</v>
      </c>
      <c r="F7">
        <v>0</v>
      </c>
    </row>
    <row r="8" spans="3:10" x14ac:dyDescent="0.25">
      <c r="C8">
        <v>2</v>
      </c>
      <c r="D8">
        <v>0</v>
      </c>
      <c r="E8">
        <v>0</v>
      </c>
      <c r="F8">
        <v>0</v>
      </c>
    </row>
    <row r="9" spans="3:10" x14ac:dyDescent="0.25">
      <c r="C9">
        <v>3</v>
      </c>
      <c r="D9">
        <v>0</v>
      </c>
      <c r="E9">
        <v>0</v>
      </c>
      <c r="F9">
        <v>0</v>
      </c>
    </row>
    <row r="10" spans="3:10" x14ac:dyDescent="0.25">
      <c r="C10">
        <v>4</v>
      </c>
      <c r="D10">
        <v>0</v>
      </c>
      <c r="E10">
        <v>0</v>
      </c>
      <c r="F10">
        <v>0</v>
      </c>
    </row>
    <row r="11" spans="3:10" x14ac:dyDescent="0.25">
      <c r="C11">
        <v>5</v>
      </c>
      <c r="D11">
        <v>5.7001859749779804</v>
      </c>
      <c r="E11">
        <v>8.3271512129132308</v>
      </c>
      <c r="F11">
        <v>10.819305072035799</v>
      </c>
      <c r="G11">
        <v>350</v>
      </c>
      <c r="H11" s="3">
        <f>E11-G11</f>
        <v>-341.67284878708676</v>
      </c>
      <c r="I11" s="3">
        <f>F11-G11</f>
        <v>-339.18069492796423</v>
      </c>
      <c r="J11" s="5">
        <f>D11-G11</f>
        <v>-344.29981402502204</v>
      </c>
    </row>
    <row r="12" spans="3:10" x14ac:dyDescent="0.25">
      <c r="C12">
        <v>6</v>
      </c>
      <c r="D12">
        <v>43.0788601209794</v>
      </c>
      <c r="E12">
        <v>62.809479408403597</v>
      </c>
      <c r="F12">
        <v>81.563835638352202</v>
      </c>
      <c r="G12">
        <v>350</v>
      </c>
      <c r="H12" s="3">
        <f t="shared" ref="H12:H28" si="0">E12-G12</f>
        <v>-287.1905205915964</v>
      </c>
      <c r="I12" s="3">
        <f t="shared" ref="I12:I28" si="1">F12-G12</f>
        <v>-268.4361643616478</v>
      </c>
      <c r="J12" s="5">
        <f t="shared" ref="J12:J28" si="2">D12-G12</f>
        <v>-306.92113987902059</v>
      </c>
    </row>
    <row r="13" spans="3:10" x14ac:dyDescent="0.25">
      <c r="C13">
        <v>7</v>
      </c>
      <c r="D13">
        <v>129.38214562808099</v>
      </c>
      <c r="E13">
        <v>188.465593218734</v>
      </c>
      <c r="F13">
        <v>244.677607722522</v>
      </c>
      <c r="G13">
        <v>350</v>
      </c>
      <c r="H13" s="3">
        <f t="shared" si="0"/>
        <v>-161.534406781266</v>
      </c>
      <c r="I13" s="3">
        <f t="shared" si="1"/>
        <v>-105.322392277478</v>
      </c>
      <c r="J13" s="5">
        <f t="shared" si="2"/>
        <v>-220.61785437191901</v>
      </c>
    </row>
    <row r="14" spans="3:10" x14ac:dyDescent="0.25">
      <c r="C14">
        <v>8</v>
      </c>
      <c r="D14">
        <v>243.688549584665</v>
      </c>
      <c r="E14">
        <v>354.73529666694702</v>
      </c>
      <c r="F14">
        <v>460.45217069610902</v>
      </c>
      <c r="G14">
        <v>350</v>
      </c>
      <c r="H14" s="3">
        <f t="shared" si="0"/>
        <v>4.735296666947022</v>
      </c>
      <c r="I14" s="3">
        <f t="shared" si="1"/>
        <v>110.45217069610902</v>
      </c>
      <c r="J14" s="5">
        <f t="shared" si="2"/>
        <v>-106.311450415335</v>
      </c>
    </row>
    <row r="15" spans="3:10" x14ac:dyDescent="0.25">
      <c r="C15">
        <v>9</v>
      </c>
      <c r="D15">
        <v>350.129737384973</v>
      </c>
      <c r="E15">
        <v>509.45942574882599</v>
      </c>
      <c r="F15">
        <v>661.19983885219699</v>
      </c>
      <c r="G15">
        <v>350</v>
      </c>
      <c r="H15" s="3">
        <f t="shared" si="0"/>
        <v>159.45942574882599</v>
      </c>
      <c r="I15" s="3">
        <f t="shared" si="1"/>
        <v>311.19983885219699</v>
      </c>
      <c r="J15" s="7">
        <f t="shared" si="2"/>
        <v>0.12973738497299792</v>
      </c>
    </row>
    <row r="16" spans="3:10" x14ac:dyDescent="0.25">
      <c r="C16">
        <v>10</v>
      </c>
      <c r="D16">
        <v>431.64923574346602</v>
      </c>
      <c r="E16">
        <v>627.97028420783704</v>
      </c>
      <c r="F16">
        <v>814.95771447279299</v>
      </c>
      <c r="G16">
        <v>350</v>
      </c>
      <c r="H16" s="3">
        <f t="shared" si="0"/>
        <v>277.97028420783704</v>
      </c>
      <c r="I16" s="3">
        <f t="shared" si="1"/>
        <v>464.95771447279299</v>
      </c>
      <c r="J16" s="7">
        <f t="shared" si="2"/>
        <v>81.649235743466022</v>
      </c>
    </row>
    <row r="17" spans="3:10" x14ac:dyDescent="0.25">
      <c r="C17">
        <v>11</v>
      </c>
      <c r="D17">
        <v>468.425461470946</v>
      </c>
      <c r="E17">
        <v>681.543294562602</v>
      </c>
      <c r="F17">
        <v>884.48878774439902</v>
      </c>
      <c r="G17">
        <v>350</v>
      </c>
      <c r="H17" s="3">
        <f t="shared" si="0"/>
        <v>331.543294562602</v>
      </c>
      <c r="I17" s="3">
        <f t="shared" si="1"/>
        <v>534.48878774439902</v>
      </c>
      <c r="J17" s="7">
        <f t="shared" si="2"/>
        <v>118.425461470946</v>
      </c>
    </row>
    <row r="18" spans="3:10" x14ac:dyDescent="0.25">
      <c r="C18">
        <v>12</v>
      </c>
      <c r="D18">
        <v>451.878745990325</v>
      </c>
      <c r="E18">
        <v>657.71147591399995</v>
      </c>
      <c r="F18">
        <v>853.62421264736395</v>
      </c>
      <c r="G18">
        <v>350</v>
      </c>
      <c r="H18" s="3">
        <f t="shared" si="0"/>
        <v>307.71147591399995</v>
      </c>
      <c r="I18" s="3">
        <f t="shared" si="1"/>
        <v>503.62421264736395</v>
      </c>
      <c r="J18" s="7">
        <f t="shared" si="2"/>
        <v>101.878745990325</v>
      </c>
    </row>
    <row r="19" spans="3:10" x14ac:dyDescent="0.25">
      <c r="C19">
        <v>13</v>
      </c>
      <c r="D19">
        <v>400.83269717227398</v>
      </c>
      <c r="E19">
        <v>583.78312005165299</v>
      </c>
      <c r="F19">
        <v>757.78221073759403</v>
      </c>
      <c r="G19">
        <v>350</v>
      </c>
      <c r="H19" s="3">
        <f t="shared" si="0"/>
        <v>233.78312005165299</v>
      </c>
      <c r="I19" s="3">
        <f t="shared" si="1"/>
        <v>407.78221073759403</v>
      </c>
      <c r="J19" s="7">
        <f t="shared" si="2"/>
        <v>50.832697172273981</v>
      </c>
    </row>
    <row r="20" spans="3:10" x14ac:dyDescent="0.25">
      <c r="C20">
        <v>14</v>
      </c>
      <c r="D20">
        <v>324.24603847306503</v>
      </c>
      <c r="E20">
        <v>472.67555164662099</v>
      </c>
      <c r="F20">
        <v>613.69076120734098</v>
      </c>
      <c r="G20">
        <v>350</v>
      </c>
      <c r="H20" s="3">
        <f t="shared" si="0"/>
        <v>122.67555164662099</v>
      </c>
      <c r="I20" s="3">
        <f t="shared" si="1"/>
        <v>263.69076120734098</v>
      </c>
      <c r="J20" s="5">
        <f t="shared" si="2"/>
        <v>-25.753961526934972</v>
      </c>
    </row>
    <row r="21" spans="3:10" x14ac:dyDescent="0.25">
      <c r="C21">
        <v>15</v>
      </c>
      <c r="D21">
        <v>221.34243107281301</v>
      </c>
      <c r="E21">
        <v>323.07711122590302</v>
      </c>
      <c r="F21">
        <v>419.59083418158798</v>
      </c>
      <c r="G21">
        <v>350</v>
      </c>
      <c r="H21" s="3">
        <f t="shared" si="0"/>
        <v>-26.922888774096975</v>
      </c>
      <c r="I21" s="3">
        <f t="shared" si="1"/>
        <v>69.590834181587979</v>
      </c>
      <c r="J21" s="5">
        <f t="shared" si="2"/>
        <v>-128.65756892718699</v>
      </c>
    </row>
    <row r="22" spans="3:10" x14ac:dyDescent="0.25">
      <c r="C22">
        <v>16</v>
      </c>
      <c r="D22">
        <v>117.784383132462</v>
      </c>
      <c r="E22">
        <v>172.180683181501</v>
      </c>
      <c r="F22">
        <v>223.69943700087799</v>
      </c>
      <c r="G22">
        <v>350</v>
      </c>
      <c r="H22" s="3">
        <f t="shared" si="0"/>
        <v>-177.819316818499</v>
      </c>
      <c r="I22" s="3">
        <f t="shared" si="1"/>
        <v>-126.30056299912201</v>
      </c>
      <c r="J22" s="5">
        <f t="shared" si="2"/>
        <v>-232.21561686753802</v>
      </c>
    </row>
    <row r="23" spans="3:10" x14ac:dyDescent="0.25">
      <c r="C23">
        <v>17</v>
      </c>
      <c r="D23">
        <v>38.538498103553998</v>
      </c>
      <c r="E23">
        <v>56.434877543425202</v>
      </c>
      <c r="F23">
        <v>73.353041595675606</v>
      </c>
      <c r="G23">
        <v>520</v>
      </c>
      <c r="H23" s="3">
        <f t="shared" si="0"/>
        <v>-463.56512245657478</v>
      </c>
      <c r="I23" s="3">
        <f t="shared" si="1"/>
        <v>-446.64695840432438</v>
      </c>
      <c r="J23" s="5">
        <f t="shared" si="2"/>
        <v>-481.46150189644601</v>
      </c>
    </row>
    <row r="24" spans="3:10" x14ac:dyDescent="0.25">
      <c r="C24">
        <v>18</v>
      </c>
      <c r="D24">
        <v>5.3975625112995802</v>
      </c>
      <c r="E24">
        <v>7.9245597277303998</v>
      </c>
      <c r="F24">
        <v>10.3073509710811</v>
      </c>
      <c r="G24">
        <v>520</v>
      </c>
      <c r="H24" s="3">
        <f t="shared" si="0"/>
        <v>-512.07544027226959</v>
      </c>
      <c r="I24" s="3">
        <f t="shared" si="1"/>
        <v>-509.69264902891888</v>
      </c>
      <c r="J24" s="5">
        <f t="shared" si="2"/>
        <v>-514.60243748870039</v>
      </c>
    </row>
    <row r="25" spans="3:10" x14ac:dyDescent="0.25">
      <c r="C25">
        <v>19</v>
      </c>
      <c r="D25">
        <v>4.7190552592938299E-2</v>
      </c>
      <c r="E25">
        <v>6.9794947947683803E-2</v>
      </c>
      <c r="F25">
        <v>9.0947912419041502E-2</v>
      </c>
      <c r="G25">
        <v>520</v>
      </c>
      <c r="H25" s="3">
        <f t="shared" si="0"/>
        <v>-519.93020505205232</v>
      </c>
      <c r="I25" s="3">
        <f t="shared" si="1"/>
        <v>-519.9090520875809</v>
      </c>
      <c r="J25" s="5">
        <f t="shared" si="2"/>
        <v>-519.95280944740705</v>
      </c>
    </row>
    <row r="26" spans="3:10" x14ac:dyDescent="0.25">
      <c r="C26">
        <v>20</v>
      </c>
      <c r="D26">
        <v>0</v>
      </c>
      <c r="E26">
        <v>0</v>
      </c>
      <c r="F26">
        <v>0</v>
      </c>
      <c r="G26">
        <v>520</v>
      </c>
      <c r="H26" s="3">
        <f t="shared" si="0"/>
        <v>-520</v>
      </c>
      <c r="I26" s="3">
        <f t="shared" si="1"/>
        <v>-520</v>
      </c>
      <c r="J26" s="5">
        <f t="shared" si="2"/>
        <v>-520</v>
      </c>
    </row>
    <row r="27" spans="3:10" x14ac:dyDescent="0.25">
      <c r="C27">
        <v>21</v>
      </c>
      <c r="D27">
        <v>0</v>
      </c>
      <c r="E27">
        <v>0</v>
      </c>
      <c r="F27">
        <v>0</v>
      </c>
      <c r="G27">
        <v>520</v>
      </c>
      <c r="H27" s="3">
        <f t="shared" si="0"/>
        <v>-520</v>
      </c>
      <c r="I27" s="3">
        <f t="shared" si="1"/>
        <v>-520</v>
      </c>
      <c r="J27" s="5">
        <f t="shared" si="2"/>
        <v>-520</v>
      </c>
    </row>
    <row r="28" spans="3:10" x14ac:dyDescent="0.25">
      <c r="C28">
        <v>22</v>
      </c>
      <c r="D28">
        <v>0</v>
      </c>
      <c r="E28">
        <v>0</v>
      </c>
      <c r="F28">
        <v>0</v>
      </c>
      <c r="G28">
        <v>350</v>
      </c>
      <c r="H28" s="3">
        <f t="shared" si="0"/>
        <v>-350</v>
      </c>
      <c r="I28" s="3">
        <f t="shared" si="1"/>
        <v>-350</v>
      </c>
      <c r="J28" s="5">
        <f t="shared" si="2"/>
        <v>-350</v>
      </c>
    </row>
    <row r="29" spans="3:10" x14ac:dyDescent="0.25">
      <c r="C29">
        <v>23</v>
      </c>
      <c r="D29">
        <v>0</v>
      </c>
      <c r="E29">
        <v>0</v>
      </c>
      <c r="F29">
        <v>0</v>
      </c>
    </row>
    <row r="30" spans="3:10" x14ac:dyDescent="0.25">
      <c r="H30">
        <f t="shared" ref="H30" si="3">SUM(H11:H28)</f>
        <v>-2442.8323007349559</v>
      </c>
      <c r="I30">
        <f>SUM(I11:I28)</f>
        <v>-1039.7019435476511</v>
      </c>
      <c r="J30">
        <f>SUM(J11:J28)</f>
        <v>-3917.878277083526</v>
      </c>
    </row>
    <row r="33" spans="6:9" x14ac:dyDescent="0.25">
      <c r="G33" t="s">
        <v>10</v>
      </c>
      <c r="H33" t="s">
        <v>8</v>
      </c>
      <c r="I33" t="s">
        <v>9</v>
      </c>
    </row>
    <row r="34" spans="6:9" x14ac:dyDescent="0.25">
      <c r="F34" t="s">
        <v>12</v>
      </c>
      <c r="G34" s="4">
        <f>SUM(J11:J14)</f>
        <v>-978.15025869129659</v>
      </c>
      <c r="H34">
        <f>SUM(H11:H13)</f>
        <v>-790.39777615994922</v>
      </c>
      <c r="I34">
        <f>SUM(I11:I13)</f>
        <v>-712.93925156708997</v>
      </c>
    </row>
    <row r="35" spans="6:9" x14ac:dyDescent="0.25">
      <c r="F35" t="s">
        <v>13</v>
      </c>
      <c r="G35" s="4">
        <f>SUM(J15:J19)</f>
        <v>352.91587776198401</v>
      </c>
      <c r="H35">
        <f>SUM(H14:H20)</f>
        <v>1437.878448798486</v>
      </c>
      <c r="I35">
        <f>SUM(I14:I21)</f>
        <v>2665.7865305393852</v>
      </c>
    </row>
    <row r="36" spans="6:9" x14ac:dyDescent="0.25">
      <c r="F36" t="s">
        <v>14</v>
      </c>
      <c r="G36" s="4">
        <f>SUM(J20:J28)</f>
        <v>-3292.6438961542135</v>
      </c>
      <c r="H36">
        <f>SUM(H21:H28)</f>
        <v>-3090.3129733734927</v>
      </c>
      <c r="I36">
        <f>SUM(I22:I28)</f>
        <v>-2992.5492225199459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2"/>
  <sheetViews>
    <sheetView topLeftCell="V19" zoomScaleNormal="100" workbookViewId="0">
      <selection activeCell="AJ35" sqref="AJ35"/>
    </sheetView>
  </sheetViews>
  <sheetFormatPr defaultRowHeight="15" x14ac:dyDescent="0.25"/>
  <cols>
    <col min="4" max="6" width="21.42578125" bestFit="1" customWidth="1"/>
    <col min="7" max="7" width="17.5703125" customWidth="1"/>
    <col min="8" max="8" width="12.5703125" customWidth="1"/>
    <col min="29" max="29" width="16.140625" bestFit="1" customWidth="1"/>
    <col min="30" max="30" width="10.5703125" bestFit="1" customWidth="1"/>
    <col min="31" max="33" width="11.28515625" bestFit="1" customWidth="1"/>
    <col min="34" max="34" width="16.42578125" bestFit="1" customWidth="1"/>
  </cols>
  <sheetData>
    <row r="1" spans="2:15" x14ac:dyDescent="0.25">
      <c r="G1" t="s">
        <v>10</v>
      </c>
      <c r="H1" t="s">
        <v>18</v>
      </c>
      <c r="I1" t="s">
        <v>21</v>
      </c>
      <c r="J1" t="s">
        <v>8</v>
      </c>
      <c r="K1" t="s">
        <v>19</v>
      </c>
      <c r="L1" t="s">
        <v>9</v>
      </c>
      <c r="N1">
        <f>3.8</f>
        <v>3.8</v>
      </c>
    </row>
    <row r="2" spans="2:15" x14ac:dyDescent="0.25">
      <c r="E2" t="s">
        <v>20</v>
      </c>
      <c r="F2" t="s">
        <v>17</v>
      </c>
      <c r="G2">
        <v>350</v>
      </c>
      <c r="H2">
        <f>1.5*G2</f>
        <v>525</v>
      </c>
      <c r="I2">
        <f>G2*1.75</f>
        <v>612.5</v>
      </c>
      <c r="J2">
        <f>2*G2</f>
        <v>700</v>
      </c>
      <c r="K2">
        <f>2.5*G2</f>
        <v>875</v>
      </c>
      <c r="N2">
        <f>N1*1.5</f>
        <v>5.6999999999999993</v>
      </c>
    </row>
    <row r="3" spans="2:15" x14ac:dyDescent="0.25">
      <c r="E3" t="s">
        <v>20</v>
      </c>
      <c r="F3" t="s">
        <v>16</v>
      </c>
      <c r="G3">
        <v>520</v>
      </c>
      <c r="H3">
        <f>1.5*G3</f>
        <v>780</v>
      </c>
      <c r="I3">
        <f>G3*1.75</f>
        <v>910</v>
      </c>
      <c r="J3">
        <f>2*G3</f>
        <v>1040</v>
      </c>
      <c r="K3">
        <f>2.5*G3</f>
        <v>1300</v>
      </c>
    </row>
    <row r="4" spans="2:15" x14ac:dyDescent="0.25">
      <c r="H4" t="s">
        <v>31</v>
      </c>
      <c r="O4" t="s">
        <v>32</v>
      </c>
    </row>
    <row r="5" spans="2:15" x14ac:dyDescent="0.25">
      <c r="D5" t="s">
        <v>10</v>
      </c>
      <c r="E5" t="s">
        <v>18</v>
      </c>
      <c r="F5" t="s">
        <v>21</v>
      </c>
      <c r="G5" t="s">
        <v>29</v>
      </c>
      <c r="H5" t="s">
        <v>8</v>
      </c>
      <c r="I5" t="s">
        <v>8</v>
      </c>
      <c r="J5" t="s">
        <v>8</v>
      </c>
    </row>
    <row r="6" spans="2:15" x14ac:dyDescent="0.25">
      <c r="B6" t="s">
        <v>4</v>
      </c>
      <c r="C6" t="s">
        <v>36</v>
      </c>
      <c r="D6" t="s">
        <v>15</v>
      </c>
      <c r="E6" t="s">
        <v>15</v>
      </c>
      <c r="F6" t="s">
        <v>15</v>
      </c>
      <c r="G6" t="s">
        <v>15</v>
      </c>
      <c r="H6" t="s">
        <v>34</v>
      </c>
      <c r="I6" t="s">
        <v>35</v>
      </c>
      <c r="J6" t="s">
        <v>47</v>
      </c>
    </row>
    <row r="7" spans="2:15" x14ac:dyDescent="0.25">
      <c r="B7">
        <v>0</v>
      </c>
      <c r="D7">
        <v>0</v>
      </c>
      <c r="E7" s="9">
        <v>0</v>
      </c>
      <c r="F7" s="9">
        <v>0</v>
      </c>
      <c r="G7" s="9">
        <v>0</v>
      </c>
      <c r="H7" s="1">
        <v>0</v>
      </c>
      <c r="I7" s="1">
        <v>0</v>
      </c>
      <c r="J7" s="17">
        <v>0</v>
      </c>
    </row>
    <row r="8" spans="2:15" x14ac:dyDescent="0.25">
      <c r="B8">
        <v>1</v>
      </c>
      <c r="D8">
        <v>0</v>
      </c>
      <c r="E8" s="9">
        <v>0</v>
      </c>
      <c r="F8" s="9">
        <v>0</v>
      </c>
      <c r="G8" s="9">
        <v>0</v>
      </c>
      <c r="H8" s="1">
        <v>0</v>
      </c>
      <c r="I8" s="1">
        <v>0</v>
      </c>
      <c r="J8" s="17">
        <v>0</v>
      </c>
    </row>
    <row r="9" spans="2:15" x14ac:dyDescent="0.25">
      <c r="B9">
        <v>2</v>
      </c>
      <c r="D9">
        <v>0</v>
      </c>
      <c r="E9" s="9">
        <v>0</v>
      </c>
      <c r="F9" s="9">
        <v>0</v>
      </c>
      <c r="G9" s="9">
        <v>0</v>
      </c>
      <c r="H9" s="1">
        <v>0</v>
      </c>
      <c r="I9" s="1">
        <v>0</v>
      </c>
      <c r="J9" s="17">
        <v>0</v>
      </c>
    </row>
    <row r="10" spans="2:15" x14ac:dyDescent="0.25">
      <c r="B10">
        <v>3</v>
      </c>
      <c r="D10">
        <v>0</v>
      </c>
      <c r="E10" s="9">
        <v>0</v>
      </c>
      <c r="F10" s="9">
        <v>0</v>
      </c>
      <c r="G10" s="9">
        <v>0</v>
      </c>
      <c r="H10" s="1">
        <v>0</v>
      </c>
      <c r="I10" s="1">
        <v>0</v>
      </c>
      <c r="J10" s="17">
        <v>0</v>
      </c>
    </row>
    <row r="11" spans="2:15" x14ac:dyDescent="0.25">
      <c r="B11">
        <v>4</v>
      </c>
      <c r="D11">
        <v>0</v>
      </c>
      <c r="E11" s="9">
        <v>0</v>
      </c>
      <c r="F11" s="9">
        <v>0</v>
      </c>
      <c r="G11" s="9">
        <v>0</v>
      </c>
      <c r="H11" s="1">
        <v>0</v>
      </c>
      <c r="I11" s="1">
        <v>0</v>
      </c>
      <c r="J11" s="17">
        <v>0</v>
      </c>
    </row>
    <row r="12" spans="2:15" x14ac:dyDescent="0.25">
      <c r="B12">
        <v>5</v>
      </c>
      <c r="C12">
        <f>$G$2</f>
        <v>350</v>
      </c>
      <c r="D12">
        <v>22.203675899215256</v>
      </c>
      <c r="E12" s="9">
        <v>33.355805760015464</v>
      </c>
      <c r="F12" s="9">
        <v>38.992865959688004</v>
      </c>
      <c r="G12" s="9">
        <v>44.598690951908608</v>
      </c>
      <c r="H12" s="1">
        <v>0</v>
      </c>
      <c r="I12" s="1">
        <v>0</v>
      </c>
      <c r="J12" s="17">
        <v>0</v>
      </c>
    </row>
    <row r="13" spans="2:15" x14ac:dyDescent="0.25">
      <c r="B13">
        <v>6</v>
      </c>
      <c r="C13">
        <f t="shared" ref="C13:C24" si="0">$G$2</f>
        <v>350</v>
      </c>
      <c r="D13">
        <v>75.093990431256685</v>
      </c>
      <c r="E13" s="9">
        <v>112.57797508857652</v>
      </c>
      <c r="F13" s="9">
        <v>131.42282554375294</v>
      </c>
      <c r="G13" s="9">
        <v>150.22437593676486</v>
      </c>
      <c r="H13" s="1">
        <v>0</v>
      </c>
      <c r="I13" s="1">
        <v>38.731823377508213</v>
      </c>
      <c r="J13" s="17">
        <v>59.124046356383346</v>
      </c>
    </row>
    <row r="14" spans="2:15" x14ac:dyDescent="0.25">
      <c r="B14">
        <v>7</v>
      </c>
      <c r="C14">
        <f t="shared" si="0"/>
        <v>350</v>
      </c>
      <c r="D14">
        <v>141.82458956573592</v>
      </c>
      <c r="E14" s="9">
        <v>212.35531012463784</v>
      </c>
      <c r="F14" s="9">
        <v>247.69971249586303</v>
      </c>
      <c r="G14" s="9">
        <v>283.03238069127116</v>
      </c>
      <c r="H14" s="1">
        <v>23.245744492545143</v>
      </c>
      <c r="I14" s="1">
        <v>210.86021451192124</v>
      </c>
      <c r="J14" s="17">
        <v>269.87367366169144</v>
      </c>
    </row>
    <row r="15" spans="2:15" x14ac:dyDescent="0.25">
      <c r="B15">
        <v>8</v>
      </c>
      <c r="C15">
        <f t="shared" si="0"/>
        <v>350</v>
      </c>
      <c r="D15">
        <v>279.07102138032849</v>
      </c>
      <c r="E15" s="9">
        <v>417.55163113230446</v>
      </c>
      <c r="F15" s="9">
        <v>486.81382655913393</v>
      </c>
      <c r="G15" s="9">
        <v>556.1329012482737</v>
      </c>
      <c r="H15" s="1">
        <v>100.27799138782747</v>
      </c>
      <c r="I15" s="1">
        <v>440.21218795309807</v>
      </c>
      <c r="J15" s="17">
        <v>510.60407333778858</v>
      </c>
    </row>
    <row r="16" spans="2:15" x14ac:dyDescent="0.25">
      <c r="B16">
        <v>9</v>
      </c>
      <c r="C16">
        <f t="shared" si="0"/>
        <v>350</v>
      </c>
      <c r="D16">
        <v>447.44429639531631</v>
      </c>
      <c r="E16" s="9">
        <v>669.22046284847886</v>
      </c>
      <c r="F16" s="9">
        <v>780.02957511382351</v>
      </c>
      <c r="G16" s="9">
        <v>890.99422768390548</v>
      </c>
      <c r="H16" s="1">
        <v>182.67938543811016</v>
      </c>
      <c r="I16" s="1">
        <v>660.62633570160142</v>
      </c>
      <c r="J16" s="17">
        <v>739.22219033576641</v>
      </c>
    </row>
    <row r="17" spans="2:10" x14ac:dyDescent="0.25">
      <c r="B17">
        <v>10</v>
      </c>
      <c r="C17">
        <f t="shared" si="0"/>
        <v>350</v>
      </c>
      <c r="D17">
        <v>518.37757742511542</v>
      </c>
      <c r="E17" s="9">
        <v>775.22496292677749</v>
      </c>
      <c r="F17" s="9">
        <v>903.51404098679996</v>
      </c>
      <c r="G17" s="9">
        <v>1032.0006666815962</v>
      </c>
      <c r="H17" s="17">
        <v>356.04684033283723</v>
      </c>
      <c r="I17" s="1">
        <v>831.29852988802907</v>
      </c>
      <c r="J17" s="17">
        <v>896.81932519084501</v>
      </c>
    </row>
    <row r="18" spans="2:10" x14ac:dyDescent="0.25">
      <c r="B18">
        <v>11</v>
      </c>
      <c r="C18">
        <f t="shared" si="0"/>
        <v>350</v>
      </c>
      <c r="D18">
        <v>558.90439734477036</v>
      </c>
      <c r="E18" s="9">
        <v>835.92998264577443</v>
      </c>
      <c r="F18" s="9">
        <v>974.33295936503544</v>
      </c>
      <c r="G18" s="9">
        <v>1112.9149350688449</v>
      </c>
      <c r="H18" s="17">
        <v>392.53894161250048</v>
      </c>
      <c r="I18" s="1">
        <v>898.3348542915769</v>
      </c>
      <c r="J18" s="17">
        <v>971.47243244246908</v>
      </c>
    </row>
    <row r="19" spans="2:10" x14ac:dyDescent="0.25">
      <c r="B19">
        <v>12</v>
      </c>
      <c r="C19">
        <f t="shared" si="0"/>
        <v>350</v>
      </c>
      <c r="D19">
        <v>477.66481567387939</v>
      </c>
      <c r="E19" s="9">
        <v>714.66104987455378</v>
      </c>
      <c r="F19" s="9">
        <v>833.16129547043386</v>
      </c>
      <c r="G19" s="9">
        <v>951.74306684779106</v>
      </c>
      <c r="H19" s="17">
        <v>431.49854486757295</v>
      </c>
      <c r="I19" s="1">
        <v>928.51156713359114</v>
      </c>
      <c r="J19" s="17">
        <v>973.03746371687544</v>
      </c>
    </row>
    <row r="20" spans="2:10" x14ac:dyDescent="0.25">
      <c r="B20">
        <v>13</v>
      </c>
      <c r="C20">
        <f t="shared" si="0"/>
        <v>350</v>
      </c>
      <c r="D20">
        <v>325.82602889575907</v>
      </c>
      <c r="E20" s="9">
        <v>487.75724790949062</v>
      </c>
      <c r="F20" s="9">
        <v>568.83616043887389</v>
      </c>
      <c r="G20" s="9">
        <v>649.89208430709539</v>
      </c>
      <c r="H20" s="17">
        <v>340.26232675510465</v>
      </c>
      <c r="I20" s="1">
        <v>832.86411998434301</v>
      </c>
      <c r="J20" s="17">
        <v>895.62145729308611</v>
      </c>
    </row>
    <row r="21" spans="2:10" x14ac:dyDescent="0.25">
      <c r="B21">
        <v>14</v>
      </c>
      <c r="C21">
        <f t="shared" si="0"/>
        <v>350</v>
      </c>
      <c r="D21">
        <v>311.05648066742015</v>
      </c>
      <c r="E21" s="9">
        <v>466.02206965431611</v>
      </c>
      <c r="F21" s="9">
        <v>543.76957767630813</v>
      </c>
      <c r="G21" s="9">
        <v>621.38817914158699</v>
      </c>
      <c r="H21" s="1">
        <v>227.38874222428919</v>
      </c>
      <c r="I21" s="1">
        <v>634.90313623207919</v>
      </c>
      <c r="J21" s="17">
        <v>741.58563376475502</v>
      </c>
    </row>
    <row r="22" spans="2:10" x14ac:dyDescent="0.25">
      <c r="B22">
        <v>15</v>
      </c>
      <c r="C22">
        <f t="shared" si="0"/>
        <v>350</v>
      </c>
      <c r="D22">
        <v>156.44493931924384</v>
      </c>
      <c r="E22" s="9">
        <v>234.64301500662805</v>
      </c>
      <c r="F22" s="9">
        <v>273.98410635307238</v>
      </c>
      <c r="G22" s="9">
        <v>313.18734988156433</v>
      </c>
      <c r="H22" s="1">
        <v>134.44979985698905</v>
      </c>
      <c r="I22" s="1">
        <v>438.65232520785537</v>
      </c>
      <c r="J22" s="17">
        <v>524.21851012980267</v>
      </c>
    </row>
    <row r="23" spans="2:10" x14ac:dyDescent="0.25">
      <c r="B23">
        <v>16</v>
      </c>
      <c r="C23">
        <f t="shared" si="0"/>
        <v>350</v>
      </c>
      <c r="D23">
        <v>111.22513521213737</v>
      </c>
      <c r="E23" s="9">
        <v>167.06701956585445</v>
      </c>
      <c r="F23" s="9">
        <v>195.26465104354108</v>
      </c>
      <c r="G23" s="9">
        <v>223.29523532137131</v>
      </c>
      <c r="H23" s="1">
        <v>30.783142567953782</v>
      </c>
      <c r="I23" s="1">
        <v>220.76668535938322</v>
      </c>
      <c r="J23" s="17">
        <v>276.63216019205231</v>
      </c>
    </row>
    <row r="24" spans="2:10" x14ac:dyDescent="0.25">
      <c r="B24">
        <v>17</v>
      </c>
      <c r="C24">
        <f t="shared" si="0"/>
        <v>350</v>
      </c>
      <c r="D24">
        <v>63.034734349767781</v>
      </c>
      <c r="E24" s="9">
        <v>94.86791803578032</v>
      </c>
      <c r="F24" s="9">
        <v>111.02064510027776</v>
      </c>
      <c r="G24" s="9">
        <v>127.02707835177449</v>
      </c>
      <c r="H24" s="1">
        <v>0</v>
      </c>
      <c r="I24" s="1">
        <v>42.52350405733015</v>
      </c>
      <c r="J24" s="17">
        <v>59.037558488190164</v>
      </c>
    </row>
    <row r="25" spans="2:10" x14ac:dyDescent="0.25">
      <c r="B25">
        <v>18</v>
      </c>
      <c r="C25">
        <f>$G$3</f>
        <v>520</v>
      </c>
      <c r="D25">
        <v>13.850097345176604</v>
      </c>
      <c r="E25" s="9">
        <v>20.902658855287402</v>
      </c>
      <c r="F25" s="9">
        <v>24.506531363947509</v>
      </c>
      <c r="G25" s="9">
        <v>28.062413975062881</v>
      </c>
      <c r="H25" s="1">
        <v>0</v>
      </c>
      <c r="I25" s="1">
        <v>0</v>
      </c>
      <c r="J25" s="17">
        <v>0</v>
      </c>
    </row>
    <row r="26" spans="2:10" x14ac:dyDescent="0.25">
      <c r="B26">
        <v>19</v>
      </c>
      <c r="C26">
        <f t="shared" ref="C26:C28" si="1">$G$3</f>
        <v>520</v>
      </c>
      <c r="D26">
        <v>0</v>
      </c>
      <c r="E26" s="9">
        <v>0</v>
      </c>
      <c r="F26" s="9">
        <v>0</v>
      </c>
      <c r="G26" s="9">
        <v>0</v>
      </c>
      <c r="H26" s="1">
        <v>0</v>
      </c>
      <c r="I26" s="1">
        <v>0</v>
      </c>
      <c r="J26" s="17">
        <v>0</v>
      </c>
    </row>
    <row r="27" spans="2:10" x14ac:dyDescent="0.25">
      <c r="B27">
        <v>20</v>
      </c>
      <c r="C27">
        <f t="shared" si="1"/>
        <v>520</v>
      </c>
      <c r="D27">
        <v>0</v>
      </c>
      <c r="E27" s="9">
        <v>0</v>
      </c>
      <c r="F27" s="9">
        <v>0</v>
      </c>
      <c r="G27" s="9">
        <v>0</v>
      </c>
      <c r="H27" s="1">
        <v>0</v>
      </c>
      <c r="I27" s="1">
        <v>0</v>
      </c>
      <c r="J27" s="17">
        <v>0</v>
      </c>
    </row>
    <row r="28" spans="2:10" x14ac:dyDescent="0.25">
      <c r="B28">
        <v>21</v>
      </c>
      <c r="C28">
        <f t="shared" si="1"/>
        <v>520</v>
      </c>
      <c r="D28">
        <v>0</v>
      </c>
      <c r="E28" s="9">
        <v>0</v>
      </c>
      <c r="F28" s="9">
        <v>0</v>
      </c>
      <c r="G28" s="9">
        <v>0</v>
      </c>
      <c r="H28" s="1">
        <v>0</v>
      </c>
      <c r="I28" s="1">
        <v>0</v>
      </c>
      <c r="J28" s="17">
        <v>0</v>
      </c>
    </row>
    <row r="29" spans="2:10" x14ac:dyDescent="0.25">
      <c r="B29">
        <v>22</v>
      </c>
      <c r="C29">
        <f>G2</f>
        <v>350</v>
      </c>
      <c r="D29">
        <v>0</v>
      </c>
      <c r="E29" s="9">
        <v>0</v>
      </c>
      <c r="F29" s="9">
        <v>0</v>
      </c>
      <c r="G29" s="9">
        <v>0</v>
      </c>
      <c r="H29" s="1">
        <v>0</v>
      </c>
      <c r="I29" s="1">
        <v>0</v>
      </c>
      <c r="J29" s="17">
        <v>0</v>
      </c>
    </row>
    <row r="30" spans="2:10" x14ac:dyDescent="0.25">
      <c r="B30">
        <v>23</v>
      </c>
      <c r="D30">
        <v>0</v>
      </c>
      <c r="E30" s="9">
        <v>0</v>
      </c>
      <c r="F30" s="9">
        <v>0</v>
      </c>
      <c r="G30" s="9">
        <v>0</v>
      </c>
      <c r="H30" s="1">
        <v>0</v>
      </c>
      <c r="I30" s="1">
        <v>0</v>
      </c>
      <c r="J30" s="17">
        <v>0</v>
      </c>
    </row>
    <row r="31" spans="2:10" x14ac:dyDescent="0.25">
      <c r="J31" s="17"/>
    </row>
    <row r="33" spans="2:34" x14ac:dyDescent="0.25">
      <c r="B33" t="s">
        <v>23</v>
      </c>
    </row>
    <row r="34" spans="2:34" x14ac:dyDescent="0.25">
      <c r="B34" t="s">
        <v>3</v>
      </c>
      <c r="C34" t="s">
        <v>22</v>
      </c>
      <c r="D34" t="s">
        <v>24</v>
      </c>
      <c r="E34" t="s">
        <v>27</v>
      </c>
      <c r="F34" t="s">
        <v>28</v>
      </c>
      <c r="G34" t="s">
        <v>30</v>
      </c>
      <c r="H34" t="s">
        <v>33</v>
      </c>
      <c r="I34" t="s">
        <v>46</v>
      </c>
    </row>
    <row r="35" spans="2:34" x14ac:dyDescent="0.25">
      <c r="B35">
        <f>B7</f>
        <v>0</v>
      </c>
      <c r="I35" t="s">
        <v>48</v>
      </c>
      <c r="J35" t="s">
        <v>49</v>
      </c>
    </row>
    <row r="36" spans="2:34" x14ac:dyDescent="0.25">
      <c r="B36">
        <f t="shared" ref="B36:B57" si="2">B8</f>
        <v>1</v>
      </c>
      <c r="K36">
        <v>5</v>
      </c>
      <c r="L36">
        <v>5</v>
      </c>
    </row>
    <row r="37" spans="2:34" x14ac:dyDescent="0.25">
      <c r="B37">
        <f t="shared" si="2"/>
        <v>2</v>
      </c>
      <c r="K37">
        <v>0</v>
      </c>
      <c r="L37">
        <v>1200</v>
      </c>
    </row>
    <row r="38" spans="2:34" x14ac:dyDescent="0.25">
      <c r="B38">
        <f t="shared" si="2"/>
        <v>3</v>
      </c>
    </row>
    <row r="39" spans="2:34" x14ac:dyDescent="0.25">
      <c r="B39">
        <f t="shared" si="2"/>
        <v>4</v>
      </c>
    </row>
    <row r="40" spans="2:34" x14ac:dyDescent="0.25">
      <c r="B40">
        <f t="shared" si="2"/>
        <v>5</v>
      </c>
      <c r="C40">
        <f>$G$2</f>
        <v>350</v>
      </c>
      <c r="D40">
        <f>D12-C12</f>
        <v>-327.79632410078477</v>
      </c>
      <c r="E40">
        <f>E12-C12</f>
        <v>-316.64419423998453</v>
      </c>
      <c r="F40">
        <f>F12-C12</f>
        <v>-311.007134040312</v>
      </c>
      <c r="G40">
        <f>G12-C12</f>
        <v>-305.40130904809138</v>
      </c>
      <c r="H40">
        <f>H12-C12</f>
        <v>-350</v>
      </c>
      <c r="I40">
        <f>I12-C12</f>
        <v>-350</v>
      </c>
      <c r="J40">
        <f>J12-C12</f>
        <v>-350</v>
      </c>
      <c r="AC40" s="10" t="s">
        <v>50</v>
      </c>
      <c r="AD40" s="10" t="s">
        <v>54</v>
      </c>
      <c r="AE40" s="10" t="s">
        <v>55</v>
      </c>
      <c r="AF40" s="10" t="s">
        <v>56</v>
      </c>
      <c r="AG40" s="10" t="s">
        <v>57</v>
      </c>
      <c r="AH40" s="12" t="s">
        <v>62</v>
      </c>
    </row>
    <row r="41" spans="2:34" x14ac:dyDescent="0.25">
      <c r="B41">
        <f t="shared" si="2"/>
        <v>6</v>
      </c>
      <c r="C41">
        <f t="shared" ref="C41:C52" si="3">$G$2</f>
        <v>350</v>
      </c>
      <c r="D41">
        <f t="shared" ref="D41:D57" si="4">D13-C13</f>
        <v>-274.90600956874334</v>
      </c>
      <c r="E41">
        <f t="shared" ref="E41:E57" si="5">E13-C13</f>
        <v>-237.42202491142348</v>
      </c>
      <c r="F41">
        <f t="shared" ref="F41:F57" si="6">F13-C13</f>
        <v>-218.57717445624706</v>
      </c>
      <c r="G41">
        <f t="shared" ref="G41:G57" si="7">G13-C13</f>
        <v>-199.77562406323514</v>
      </c>
      <c r="H41">
        <f t="shared" ref="H41:H57" si="8">H13-C13</f>
        <v>-350</v>
      </c>
      <c r="I41">
        <f t="shared" ref="I41:I57" si="9">I13-C13</f>
        <v>-311.26817662249181</v>
      </c>
      <c r="J41">
        <f t="shared" ref="J41:J57" si="10">J13-C13</f>
        <v>-290.87595364361664</v>
      </c>
      <c r="AC41" s="10" t="s">
        <v>51</v>
      </c>
      <c r="AD41" s="11">
        <f>SUM(G43:G49)</f>
        <v>3365.0660609790939</v>
      </c>
      <c r="AE41" s="11">
        <f>SUM(G40:G42)</f>
        <v>-572.14455242005533</v>
      </c>
      <c r="AF41" s="11">
        <f>SUM(G50:G57)</f>
        <v>-2788.4279224702268</v>
      </c>
      <c r="AG41" s="11">
        <f>SUM(AD41:AF41)</f>
        <v>4.4935860888117531</v>
      </c>
      <c r="AH41" s="10" t="s">
        <v>58</v>
      </c>
    </row>
    <row r="42" spans="2:34" x14ac:dyDescent="0.25">
      <c r="B42">
        <f t="shared" si="2"/>
        <v>7</v>
      </c>
      <c r="C42">
        <f t="shared" si="3"/>
        <v>350</v>
      </c>
      <c r="D42">
        <f t="shared" si="4"/>
        <v>-208.17541043426408</v>
      </c>
      <c r="E42">
        <f t="shared" si="5"/>
        <v>-137.64468987536216</v>
      </c>
      <c r="F42">
        <f t="shared" si="6"/>
        <v>-102.30028750413697</v>
      </c>
      <c r="G42">
        <f t="shared" si="7"/>
        <v>-66.967619308728842</v>
      </c>
      <c r="H42">
        <f t="shared" si="8"/>
        <v>-326.75425550745484</v>
      </c>
      <c r="I42">
        <f t="shared" si="9"/>
        <v>-139.13978548807876</v>
      </c>
      <c r="J42">
        <f t="shared" si="10"/>
        <v>-80.126326338308559</v>
      </c>
      <c r="AC42" s="10" t="s">
        <v>47</v>
      </c>
      <c r="AD42" s="11">
        <f>SUM(J43:J50)</f>
        <v>3452.5810862113885</v>
      </c>
      <c r="AE42" s="11">
        <f>SUM(J40:J42)</f>
        <v>-721.0022799819252</v>
      </c>
      <c r="AF42" s="11">
        <f>SUM(J51:J57)</f>
        <v>-2794.3302813197574</v>
      </c>
      <c r="AG42" s="11">
        <f>SUM(AD42:AF42)</f>
        <v>-62.751475090294207</v>
      </c>
      <c r="AH42" s="10" t="s">
        <v>59</v>
      </c>
    </row>
    <row r="43" spans="2:34" x14ac:dyDescent="0.25">
      <c r="B43">
        <f t="shared" si="2"/>
        <v>8</v>
      </c>
      <c r="C43">
        <f t="shared" si="3"/>
        <v>350</v>
      </c>
      <c r="D43">
        <f t="shared" si="4"/>
        <v>-70.928978619671511</v>
      </c>
      <c r="E43">
        <f t="shared" si="5"/>
        <v>67.551631132304465</v>
      </c>
      <c r="F43">
        <f t="shared" si="6"/>
        <v>136.81382655913393</v>
      </c>
      <c r="G43">
        <f t="shared" si="7"/>
        <v>206.1329012482737</v>
      </c>
      <c r="H43">
        <f t="shared" si="8"/>
        <v>-249.72200861217254</v>
      </c>
      <c r="I43">
        <f t="shared" si="9"/>
        <v>90.212187953098066</v>
      </c>
      <c r="J43">
        <f t="shared" si="10"/>
        <v>160.60407333778858</v>
      </c>
      <c r="AC43" s="10" t="s">
        <v>52</v>
      </c>
      <c r="AD43" s="11">
        <f>SUM(I43:I50)</f>
        <v>2865.4030563921747</v>
      </c>
      <c r="AE43" s="11">
        <f>SUM(I40:I42)</f>
        <v>-800.40796211057068</v>
      </c>
      <c r="AF43" s="11">
        <f>SUM(I51:I57)</f>
        <v>-2866.7098105832865</v>
      </c>
      <c r="AG43" s="11">
        <f>SUM(AD43:AF43)</f>
        <v>-801.71471630168253</v>
      </c>
      <c r="AH43" s="10" t="s">
        <v>60</v>
      </c>
    </row>
    <row r="44" spans="2:34" x14ac:dyDescent="0.25">
      <c r="B44">
        <f t="shared" si="2"/>
        <v>9</v>
      </c>
      <c r="C44">
        <f t="shared" si="3"/>
        <v>350</v>
      </c>
      <c r="D44">
        <f t="shared" si="4"/>
        <v>97.444296395316314</v>
      </c>
      <c r="E44">
        <f t="shared" si="5"/>
        <v>319.22046284847886</v>
      </c>
      <c r="F44">
        <f t="shared" si="6"/>
        <v>430.02957511382351</v>
      </c>
      <c r="G44">
        <f t="shared" si="7"/>
        <v>540.99422768390548</v>
      </c>
      <c r="H44">
        <f t="shared" si="8"/>
        <v>-167.32061456188984</v>
      </c>
      <c r="I44">
        <f t="shared" si="9"/>
        <v>310.62633570160142</v>
      </c>
      <c r="J44">
        <f t="shared" si="10"/>
        <v>389.22219033576641</v>
      </c>
      <c r="AC44" s="10" t="s">
        <v>53</v>
      </c>
      <c r="AD44" s="11">
        <f>SUM(H45:H47)</f>
        <v>130.08432681291066</v>
      </c>
      <c r="AE44" s="11">
        <f>SUM(H40:H44)</f>
        <v>-1443.7968786815175</v>
      </c>
      <c r="AF44" s="11">
        <f>SUM(H48:H57)</f>
        <v>-3447.1159885956631</v>
      </c>
      <c r="AG44" s="11">
        <f>SUM(AD44:AF44)</f>
        <v>-4760.8285404642702</v>
      </c>
      <c r="AH44" s="10" t="s">
        <v>61</v>
      </c>
    </row>
    <row r="45" spans="2:34" x14ac:dyDescent="0.25">
      <c r="B45">
        <f t="shared" si="2"/>
        <v>10</v>
      </c>
      <c r="C45">
        <f t="shared" si="3"/>
        <v>350</v>
      </c>
      <c r="D45">
        <f t="shared" si="4"/>
        <v>168.37757742511542</v>
      </c>
      <c r="E45">
        <f t="shared" si="5"/>
        <v>425.22496292677749</v>
      </c>
      <c r="F45">
        <f t="shared" si="6"/>
        <v>553.51404098679996</v>
      </c>
      <c r="G45">
        <f t="shared" si="7"/>
        <v>682.00066668159616</v>
      </c>
      <c r="H45">
        <f t="shared" si="8"/>
        <v>6.0468403328372347</v>
      </c>
      <c r="I45">
        <f t="shared" si="9"/>
        <v>481.29852988802907</v>
      </c>
      <c r="J45">
        <f t="shared" si="10"/>
        <v>546.81932519084501</v>
      </c>
    </row>
    <row r="46" spans="2:34" x14ac:dyDescent="0.25">
      <c r="B46">
        <f t="shared" si="2"/>
        <v>11</v>
      </c>
      <c r="C46">
        <f t="shared" si="3"/>
        <v>350</v>
      </c>
      <c r="D46">
        <f t="shared" si="4"/>
        <v>208.90439734477036</v>
      </c>
      <c r="E46">
        <f t="shared" si="5"/>
        <v>485.92998264577443</v>
      </c>
      <c r="F46">
        <f t="shared" si="6"/>
        <v>624.33295936503544</v>
      </c>
      <c r="G46">
        <f t="shared" si="7"/>
        <v>762.9149350688449</v>
      </c>
      <c r="H46">
        <f t="shared" si="8"/>
        <v>42.53894161250048</v>
      </c>
      <c r="I46">
        <f t="shared" si="9"/>
        <v>548.3348542915769</v>
      </c>
      <c r="J46">
        <f t="shared" si="10"/>
        <v>621.47243244246908</v>
      </c>
      <c r="L46">
        <f>SUM(J43:J50)</f>
        <v>3452.5810862113885</v>
      </c>
    </row>
    <row r="47" spans="2:34" x14ac:dyDescent="0.25">
      <c r="B47">
        <f t="shared" si="2"/>
        <v>12</v>
      </c>
      <c r="C47">
        <f t="shared" si="3"/>
        <v>350</v>
      </c>
      <c r="D47">
        <f t="shared" si="4"/>
        <v>127.66481567387939</v>
      </c>
      <c r="E47">
        <f t="shared" si="5"/>
        <v>364.66104987455378</v>
      </c>
      <c r="F47">
        <f t="shared" si="6"/>
        <v>483.16129547043386</v>
      </c>
      <c r="G47">
        <f t="shared" si="7"/>
        <v>601.74306684779106</v>
      </c>
      <c r="H47">
        <f t="shared" si="8"/>
        <v>81.498544867572946</v>
      </c>
      <c r="I47">
        <f t="shared" si="9"/>
        <v>578.51156713359114</v>
      </c>
      <c r="J47">
        <f t="shared" si="10"/>
        <v>623.03746371687544</v>
      </c>
      <c r="L47">
        <f>L46-721</f>
        <v>2731.5810862113885</v>
      </c>
    </row>
    <row r="48" spans="2:34" x14ac:dyDescent="0.25">
      <c r="B48">
        <f t="shared" si="2"/>
        <v>13</v>
      </c>
      <c r="C48">
        <f t="shared" si="3"/>
        <v>350</v>
      </c>
      <c r="D48">
        <f t="shared" si="4"/>
        <v>-24.173971104240934</v>
      </c>
      <c r="E48">
        <f t="shared" si="5"/>
        <v>137.75724790949062</v>
      </c>
      <c r="F48">
        <f t="shared" si="6"/>
        <v>218.83616043887389</v>
      </c>
      <c r="G48">
        <f t="shared" si="7"/>
        <v>299.89208430709539</v>
      </c>
      <c r="H48">
        <f t="shared" si="8"/>
        <v>-9.7376732448953476</v>
      </c>
      <c r="I48">
        <f t="shared" si="9"/>
        <v>482.86411998434301</v>
      </c>
      <c r="J48">
        <f t="shared" si="10"/>
        <v>545.62145729308611</v>
      </c>
    </row>
    <row r="49" spans="2:12" x14ac:dyDescent="0.25">
      <c r="B49">
        <f t="shared" si="2"/>
        <v>14</v>
      </c>
      <c r="C49">
        <f t="shared" si="3"/>
        <v>350</v>
      </c>
      <c r="D49">
        <f t="shared" si="4"/>
        <v>-38.943519332579854</v>
      </c>
      <c r="E49">
        <f t="shared" si="5"/>
        <v>116.02206965431611</v>
      </c>
      <c r="F49">
        <f t="shared" si="6"/>
        <v>193.76957767630813</v>
      </c>
      <c r="G49">
        <f t="shared" si="7"/>
        <v>271.38817914158699</v>
      </c>
      <c r="H49">
        <f t="shared" si="8"/>
        <v>-122.61125777571081</v>
      </c>
      <c r="I49">
        <f t="shared" si="9"/>
        <v>284.90313623207919</v>
      </c>
      <c r="J49">
        <f t="shared" si="10"/>
        <v>391.58563376475502</v>
      </c>
      <c r="L49">
        <f>SUM(G43:G49)</f>
        <v>3365.0660609790939</v>
      </c>
    </row>
    <row r="50" spans="2:12" x14ac:dyDescent="0.25">
      <c r="B50">
        <f t="shared" si="2"/>
        <v>15</v>
      </c>
      <c r="C50">
        <f t="shared" si="3"/>
        <v>350</v>
      </c>
      <c r="D50">
        <f t="shared" si="4"/>
        <v>-193.55506068075616</v>
      </c>
      <c r="E50">
        <f t="shared" si="5"/>
        <v>-115.35698499337195</v>
      </c>
      <c r="F50">
        <f t="shared" si="6"/>
        <v>-76.015893646927623</v>
      </c>
      <c r="G50">
        <f t="shared" si="7"/>
        <v>-36.81265011843567</v>
      </c>
      <c r="H50">
        <f t="shared" si="8"/>
        <v>-215.55020014301095</v>
      </c>
      <c r="I50">
        <f t="shared" si="9"/>
        <v>88.65232520785537</v>
      </c>
      <c r="J50">
        <f t="shared" si="10"/>
        <v>174.21851012980267</v>
      </c>
      <c r="L50">
        <f>L49*1.15</f>
        <v>3869.8259701259576</v>
      </c>
    </row>
    <row r="51" spans="2:12" x14ac:dyDescent="0.25">
      <c r="B51">
        <f t="shared" si="2"/>
        <v>16</v>
      </c>
      <c r="C51">
        <f t="shared" si="3"/>
        <v>350</v>
      </c>
      <c r="D51">
        <f t="shared" si="4"/>
        <v>-238.77486478786261</v>
      </c>
      <c r="E51">
        <f t="shared" si="5"/>
        <v>-182.93298043414555</v>
      </c>
      <c r="F51">
        <f t="shared" si="6"/>
        <v>-154.73534895645892</v>
      </c>
      <c r="G51">
        <f t="shared" si="7"/>
        <v>-126.70476467862869</v>
      </c>
      <c r="H51">
        <f t="shared" si="8"/>
        <v>-319.2168574320462</v>
      </c>
      <c r="I51">
        <f t="shared" si="9"/>
        <v>-129.23331464061678</v>
      </c>
      <c r="J51">
        <f t="shared" si="10"/>
        <v>-73.367839807947689</v>
      </c>
    </row>
    <row r="52" spans="2:12" x14ac:dyDescent="0.25">
      <c r="B52">
        <f>B24</f>
        <v>17</v>
      </c>
      <c r="C52">
        <f t="shared" si="3"/>
        <v>350</v>
      </c>
      <c r="D52">
        <f t="shared" si="4"/>
        <v>-286.9652656502322</v>
      </c>
      <c r="E52">
        <f t="shared" si="5"/>
        <v>-255.13208196421968</v>
      </c>
      <c r="F52">
        <f t="shared" si="6"/>
        <v>-238.97935489972224</v>
      </c>
      <c r="G52">
        <f t="shared" si="7"/>
        <v>-222.97292164822551</v>
      </c>
      <c r="H52">
        <f t="shared" si="8"/>
        <v>-350</v>
      </c>
      <c r="I52">
        <f t="shared" si="9"/>
        <v>-307.47649594266983</v>
      </c>
      <c r="J52">
        <f t="shared" si="10"/>
        <v>-290.96244151180986</v>
      </c>
    </row>
    <row r="53" spans="2:12" x14ac:dyDescent="0.25">
      <c r="B53">
        <f t="shared" si="2"/>
        <v>18</v>
      </c>
      <c r="C53">
        <f>$G$3</f>
        <v>520</v>
      </c>
      <c r="D53">
        <f t="shared" si="4"/>
        <v>-506.14990265482339</v>
      </c>
      <c r="E53">
        <f t="shared" si="5"/>
        <v>-499.09734114471257</v>
      </c>
      <c r="F53">
        <f t="shared" si="6"/>
        <v>-495.49346863605251</v>
      </c>
      <c r="G53">
        <f t="shared" si="7"/>
        <v>-491.9375860249371</v>
      </c>
      <c r="H53">
        <f t="shared" si="8"/>
        <v>-520</v>
      </c>
      <c r="I53">
        <f t="shared" si="9"/>
        <v>-520</v>
      </c>
      <c r="J53">
        <f t="shared" si="10"/>
        <v>-520</v>
      </c>
    </row>
    <row r="54" spans="2:12" x14ac:dyDescent="0.25">
      <c r="B54">
        <f t="shared" si="2"/>
        <v>19</v>
      </c>
      <c r="C54">
        <f t="shared" ref="C54:C56" si="11">$G$3</f>
        <v>520</v>
      </c>
      <c r="D54">
        <f t="shared" si="4"/>
        <v>-520</v>
      </c>
      <c r="E54">
        <f t="shared" si="5"/>
        <v>-520</v>
      </c>
      <c r="F54">
        <f t="shared" si="6"/>
        <v>-520</v>
      </c>
      <c r="G54">
        <f t="shared" si="7"/>
        <v>-520</v>
      </c>
      <c r="H54">
        <f t="shared" si="8"/>
        <v>-520</v>
      </c>
      <c r="I54">
        <f t="shared" si="9"/>
        <v>-520</v>
      </c>
      <c r="J54">
        <f t="shared" si="10"/>
        <v>-520</v>
      </c>
    </row>
    <row r="55" spans="2:12" x14ac:dyDescent="0.25">
      <c r="B55">
        <f t="shared" si="2"/>
        <v>20</v>
      </c>
      <c r="C55">
        <f t="shared" si="11"/>
        <v>520</v>
      </c>
      <c r="D55">
        <f t="shared" si="4"/>
        <v>-520</v>
      </c>
      <c r="E55">
        <f t="shared" si="5"/>
        <v>-520</v>
      </c>
      <c r="F55">
        <f t="shared" si="6"/>
        <v>-520</v>
      </c>
      <c r="G55">
        <f t="shared" si="7"/>
        <v>-520</v>
      </c>
      <c r="H55">
        <f t="shared" si="8"/>
        <v>-520</v>
      </c>
      <c r="I55">
        <f t="shared" si="9"/>
        <v>-520</v>
      </c>
      <c r="J55">
        <f t="shared" si="10"/>
        <v>-520</v>
      </c>
    </row>
    <row r="56" spans="2:12" x14ac:dyDescent="0.25">
      <c r="B56">
        <f t="shared" si="2"/>
        <v>21</v>
      </c>
      <c r="C56">
        <f t="shared" si="11"/>
        <v>520</v>
      </c>
      <c r="D56">
        <f t="shared" si="4"/>
        <v>-520</v>
      </c>
      <c r="E56">
        <f t="shared" si="5"/>
        <v>-520</v>
      </c>
      <c r="F56">
        <f t="shared" si="6"/>
        <v>-520</v>
      </c>
      <c r="G56">
        <f t="shared" si="7"/>
        <v>-520</v>
      </c>
      <c r="H56">
        <f t="shared" si="8"/>
        <v>-520</v>
      </c>
      <c r="I56">
        <f t="shared" si="9"/>
        <v>-520</v>
      </c>
      <c r="J56">
        <f t="shared" si="10"/>
        <v>-520</v>
      </c>
    </row>
    <row r="57" spans="2:12" x14ac:dyDescent="0.25">
      <c r="B57">
        <f t="shared" si="2"/>
        <v>22</v>
      </c>
      <c r="C57">
        <f>G30</f>
        <v>0</v>
      </c>
      <c r="D57">
        <f t="shared" si="4"/>
        <v>-350</v>
      </c>
      <c r="E57">
        <f t="shared" si="5"/>
        <v>-350</v>
      </c>
      <c r="F57">
        <f t="shared" si="6"/>
        <v>-350</v>
      </c>
      <c r="G57">
        <f t="shared" si="7"/>
        <v>-350</v>
      </c>
      <c r="H57">
        <f t="shared" si="8"/>
        <v>-350</v>
      </c>
      <c r="I57">
        <f t="shared" si="9"/>
        <v>-350</v>
      </c>
      <c r="J57">
        <f t="shared" si="10"/>
        <v>-350</v>
      </c>
    </row>
    <row r="58" spans="2:12" x14ac:dyDescent="0.25">
      <c r="B58">
        <f>B30</f>
        <v>23</v>
      </c>
    </row>
    <row r="59" spans="2:12" x14ac:dyDescent="0.25">
      <c r="C59" t="s">
        <v>25</v>
      </c>
      <c r="D59">
        <f>SUM(D40:D57)</f>
        <v>-3477.9782200948775</v>
      </c>
      <c r="E59">
        <f>SUM(E40:E57)</f>
        <v>-1737.8628905715241</v>
      </c>
      <c r="F59">
        <f>SUM(F40:F57)</f>
        <v>-866.65122652944888</v>
      </c>
      <c r="G59" s="6">
        <f>SUM(G40:G57)</f>
        <v>4.4935860888117531</v>
      </c>
      <c r="H59">
        <f>SUM(H40:H58)</f>
        <v>-4760.8285404642702</v>
      </c>
      <c r="I59">
        <f>SUM(I40:I57)</f>
        <v>-801.71471630168298</v>
      </c>
      <c r="J59">
        <f>SUM(J40:J57)</f>
        <v>-62.751475090294662</v>
      </c>
    </row>
    <row r="60" spans="2:12" x14ac:dyDescent="0.25">
      <c r="C60" s="4" t="s">
        <v>26</v>
      </c>
    </row>
    <row r="64" spans="2:12" x14ac:dyDescent="0.25">
      <c r="E64" s="54" t="s">
        <v>37</v>
      </c>
      <c r="F64" s="54" t="s">
        <v>42</v>
      </c>
      <c r="G64" s="55" t="s">
        <v>43</v>
      </c>
      <c r="H64" s="55"/>
      <c r="I64" s="55"/>
      <c r="J64" s="55"/>
    </row>
    <row r="65" spans="5:10" x14ac:dyDescent="0.25">
      <c r="E65" s="54"/>
      <c r="F65" s="54"/>
      <c r="G65" s="13" t="s">
        <v>10</v>
      </c>
      <c r="H65" s="13" t="s">
        <v>18</v>
      </c>
      <c r="I65" s="13" t="s">
        <v>21</v>
      </c>
      <c r="J65" s="13" t="s">
        <v>8</v>
      </c>
    </row>
    <row r="66" spans="5:10" x14ac:dyDescent="0.25">
      <c r="E66" s="13" t="s">
        <v>38</v>
      </c>
      <c r="F66" s="16">
        <f>SUM(C7:C11)</f>
        <v>0</v>
      </c>
      <c r="G66" s="16">
        <f>D7</f>
        <v>0</v>
      </c>
      <c r="H66" s="16">
        <f>E7</f>
        <v>0</v>
      </c>
      <c r="I66" s="16">
        <f>F7</f>
        <v>0</v>
      </c>
      <c r="J66" s="16">
        <f>I66</f>
        <v>0</v>
      </c>
    </row>
    <row r="67" spans="5:10" x14ac:dyDescent="0.25">
      <c r="E67" s="14" t="s">
        <v>45</v>
      </c>
      <c r="F67" s="16">
        <f>SUM(C12:C24)</f>
        <v>4550</v>
      </c>
      <c r="G67" s="16">
        <f>SUM(D12:D24)</f>
        <v>3488.1716825599465</v>
      </c>
      <c r="H67" s="16">
        <f>SUM(E12:E24)</f>
        <v>5221.234450573189</v>
      </c>
      <c r="I67" s="16">
        <f>SUM(F12:F24)</f>
        <v>6088.8422421066034</v>
      </c>
      <c r="J67" s="16">
        <f>SUM(G12:G24)</f>
        <v>6956.4311721137483</v>
      </c>
    </row>
    <row r="68" spans="5:10" x14ac:dyDescent="0.25">
      <c r="E68" s="13" t="s">
        <v>39</v>
      </c>
      <c r="F68" s="16">
        <f>SUM(C25:C28)</f>
        <v>2080</v>
      </c>
      <c r="G68" s="16">
        <f>SUM(D25:D28)</f>
        <v>13.850097345176604</v>
      </c>
      <c r="H68" s="16">
        <f>E25</f>
        <v>20.902658855287402</v>
      </c>
      <c r="I68" s="16">
        <f>F25</f>
        <v>24.506531363947509</v>
      </c>
      <c r="J68" s="16">
        <f>G25</f>
        <v>28.062413975062881</v>
      </c>
    </row>
    <row r="69" spans="5:10" x14ac:dyDescent="0.25">
      <c r="E69" s="13" t="s">
        <v>40</v>
      </c>
      <c r="F69" s="16">
        <f>C29</f>
        <v>350</v>
      </c>
      <c r="G69" s="16">
        <f>D29</f>
        <v>0</v>
      </c>
      <c r="H69" s="16">
        <f>F29</f>
        <v>0</v>
      </c>
      <c r="I69" s="16">
        <f>H69</f>
        <v>0</v>
      </c>
      <c r="J69" s="16">
        <f>G29</f>
        <v>0</v>
      </c>
    </row>
    <row r="70" spans="5:10" x14ac:dyDescent="0.25">
      <c r="E70" s="13" t="s">
        <v>41</v>
      </c>
      <c r="F70" s="16">
        <f>F66</f>
        <v>0</v>
      </c>
      <c r="G70" s="16">
        <f>D30</f>
        <v>0</v>
      </c>
      <c r="H70" s="16">
        <f>H69</f>
        <v>0</v>
      </c>
      <c r="I70" s="16">
        <f>H70</f>
        <v>0</v>
      </c>
      <c r="J70" s="16">
        <f>I70</f>
        <v>0</v>
      </c>
    </row>
    <row r="71" spans="5:10" x14ac:dyDescent="0.25">
      <c r="E71" s="13" t="s">
        <v>44</v>
      </c>
      <c r="F71" s="56">
        <f>SUM(F66:F70)</f>
        <v>6980</v>
      </c>
      <c r="G71" s="16">
        <f t="shared" ref="G71:J71" si="12">SUM(G66:G70)</f>
        <v>3502.0217799051229</v>
      </c>
      <c r="H71" s="16">
        <f t="shared" si="12"/>
        <v>5242.1371094284759</v>
      </c>
      <c r="I71" s="16">
        <f t="shared" si="12"/>
        <v>6113.3487734705514</v>
      </c>
      <c r="J71" s="16">
        <f t="shared" si="12"/>
        <v>6984.4935860888108</v>
      </c>
    </row>
    <row r="72" spans="5:10" x14ac:dyDescent="0.25">
      <c r="E72" s="15" t="s">
        <v>11</v>
      </c>
      <c r="F72" s="56"/>
      <c r="G72" s="16">
        <f>G71-$F$71</f>
        <v>-3477.9782200948771</v>
      </c>
      <c r="H72" s="16">
        <f t="shared" ref="H72:J72" si="13">H71-$F$71</f>
        <v>-1737.8628905715241</v>
      </c>
      <c r="I72" s="16">
        <f t="shared" si="13"/>
        <v>-866.65122652944865</v>
      </c>
      <c r="J72" s="16">
        <f t="shared" si="13"/>
        <v>4.4935860888108436</v>
      </c>
    </row>
    <row r="77" spans="5:10" x14ac:dyDescent="0.25">
      <c r="E77" s="18" t="s">
        <v>63</v>
      </c>
      <c r="F77" s="18" t="s">
        <v>64</v>
      </c>
    </row>
    <row r="78" spans="5:10" x14ac:dyDescent="0.25">
      <c r="E78" s="18" t="s">
        <v>38</v>
      </c>
      <c r="F78" s="18">
        <v>0</v>
      </c>
    </row>
    <row r="79" spans="5:10" x14ac:dyDescent="0.25">
      <c r="E79" s="18" t="s">
        <v>45</v>
      </c>
      <c r="F79" s="18">
        <v>100</v>
      </c>
    </row>
    <row r="80" spans="5:10" x14ac:dyDescent="0.25">
      <c r="E80" s="18" t="s">
        <v>39</v>
      </c>
      <c r="F80" s="18">
        <v>150</v>
      </c>
    </row>
    <row r="81" spans="1:7" x14ac:dyDescent="0.25">
      <c r="E81" s="18" t="s">
        <v>40</v>
      </c>
      <c r="F81" s="18">
        <v>100</v>
      </c>
    </row>
    <row r="82" spans="1:7" x14ac:dyDescent="0.25">
      <c r="E82" s="18" t="s">
        <v>65</v>
      </c>
      <c r="F82" s="18">
        <v>0</v>
      </c>
    </row>
    <row r="84" spans="1:7" x14ac:dyDescent="0.25">
      <c r="A84" t="s">
        <v>121</v>
      </c>
      <c r="D84">
        <v>6917</v>
      </c>
    </row>
    <row r="85" spans="1:7" x14ac:dyDescent="0.25">
      <c r="A85" t="s">
        <v>122</v>
      </c>
      <c r="D85">
        <v>2219</v>
      </c>
    </row>
    <row r="86" spans="1:7" x14ac:dyDescent="0.25">
      <c r="A86" t="s">
        <v>49</v>
      </c>
      <c r="D86">
        <v>6500</v>
      </c>
    </row>
    <row r="87" spans="1:7" x14ac:dyDescent="0.25">
      <c r="A87" t="s">
        <v>48</v>
      </c>
      <c r="D87">
        <v>6100</v>
      </c>
    </row>
    <row r="88" spans="1:7" x14ac:dyDescent="0.25">
      <c r="D88" t="s">
        <v>124</v>
      </c>
      <c r="E88" t="s">
        <v>36</v>
      </c>
      <c r="F88" t="s">
        <v>36</v>
      </c>
      <c r="G88" t="s">
        <v>36</v>
      </c>
    </row>
    <row r="89" spans="1:7" x14ac:dyDescent="0.25">
      <c r="C89">
        <v>0</v>
      </c>
    </row>
    <row r="90" spans="1:7" x14ac:dyDescent="0.25">
      <c r="C90">
        <v>1</v>
      </c>
    </row>
    <row r="91" spans="1:7" x14ac:dyDescent="0.25">
      <c r="C91">
        <v>2</v>
      </c>
    </row>
    <row r="92" spans="1:7" x14ac:dyDescent="0.25">
      <c r="C92">
        <v>3</v>
      </c>
    </row>
    <row r="93" spans="1:7" x14ac:dyDescent="0.25">
      <c r="C93">
        <v>4</v>
      </c>
    </row>
    <row r="94" spans="1:7" x14ac:dyDescent="0.25">
      <c r="C94">
        <v>5</v>
      </c>
      <c r="D94">
        <v>350</v>
      </c>
      <c r="E94">
        <v>328.89981205725024</v>
      </c>
      <c r="F94">
        <v>112.28133583923666</v>
      </c>
      <c r="G94">
        <v>308.6598236229579</v>
      </c>
    </row>
    <row r="95" spans="1:7" x14ac:dyDescent="0.25">
      <c r="C95">
        <v>6</v>
      </c>
      <c r="D95">
        <v>350</v>
      </c>
      <c r="E95">
        <v>328.89981205725024</v>
      </c>
      <c r="F95">
        <v>112.28133583923666</v>
      </c>
      <c r="G95">
        <v>308.6598236229579</v>
      </c>
    </row>
    <row r="96" spans="1:7" x14ac:dyDescent="0.25">
      <c r="C96">
        <v>7</v>
      </c>
      <c r="D96">
        <v>350</v>
      </c>
      <c r="E96">
        <v>328.89981205725024</v>
      </c>
      <c r="F96">
        <v>112.28133583923666</v>
      </c>
      <c r="G96">
        <v>308.6598236229579</v>
      </c>
    </row>
    <row r="97" spans="3:7" x14ac:dyDescent="0.25">
      <c r="C97">
        <v>8</v>
      </c>
      <c r="D97">
        <v>350</v>
      </c>
      <c r="E97">
        <v>328.89981205725024</v>
      </c>
      <c r="F97">
        <v>112.28133583923666</v>
      </c>
      <c r="G97">
        <v>308.6598236229579</v>
      </c>
    </row>
    <row r="98" spans="3:7" x14ac:dyDescent="0.25">
      <c r="C98">
        <v>9</v>
      </c>
      <c r="D98">
        <v>350</v>
      </c>
      <c r="E98">
        <v>328.89981205725024</v>
      </c>
      <c r="F98">
        <v>112.28133583923666</v>
      </c>
      <c r="G98">
        <v>308.6598236229579</v>
      </c>
    </row>
    <row r="99" spans="3:7" x14ac:dyDescent="0.25">
      <c r="C99">
        <v>10</v>
      </c>
      <c r="D99">
        <v>350</v>
      </c>
      <c r="E99">
        <v>328.89981205725024</v>
      </c>
      <c r="F99">
        <v>112.28133583923666</v>
      </c>
      <c r="G99">
        <v>308.6598236229579</v>
      </c>
    </row>
    <row r="100" spans="3:7" x14ac:dyDescent="0.25">
      <c r="C100">
        <v>11</v>
      </c>
      <c r="D100">
        <v>350</v>
      </c>
      <c r="E100">
        <v>328.89981205725024</v>
      </c>
      <c r="F100">
        <v>112.28133583923666</v>
      </c>
      <c r="G100">
        <v>308.6598236229579</v>
      </c>
    </row>
    <row r="101" spans="3:7" x14ac:dyDescent="0.25">
      <c r="C101">
        <v>12</v>
      </c>
      <c r="D101">
        <v>350</v>
      </c>
      <c r="E101">
        <v>328.89981205725024</v>
      </c>
      <c r="F101">
        <v>112.28133583923666</v>
      </c>
      <c r="G101">
        <v>308.6598236229579</v>
      </c>
    </row>
    <row r="102" spans="3:7" x14ac:dyDescent="0.25">
      <c r="C102">
        <v>13</v>
      </c>
      <c r="D102">
        <v>350</v>
      </c>
      <c r="E102">
        <v>328.89981205725024</v>
      </c>
      <c r="F102">
        <v>112.28133583923666</v>
      </c>
      <c r="G102">
        <v>308.6598236229579</v>
      </c>
    </row>
    <row r="103" spans="3:7" x14ac:dyDescent="0.25">
      <c r="C103">
        <v>14</v>
      </c>
      <c r="D103">
        <v>350</v>
      </c>
      <c r="E103">
        <v>328.89981205725024</v>
      </c>
      <c r="F103">
        <v>112.28133583923666</v>
      </c>
      <c r="G103">
        <v>308.6598236229579</v>
      </c>
    </row>
    <row r="104" spans="3:7" x14ac:dyDescent="0.25">
      <c r="C104">
        <v>15</v>
      </c>
      <c r="D104">
        <v>350</v>
      </c>
      <c r="E104">
        <v>328.89981205725024</v>
      </c>
      <c r="F104">
        <v>112.28133583923666</v>
      </c>
      <c r="G104">
        <v>308.6598236229579</v>
      </c>
    </row>
    <row r="105" spans="3:7" x14ac:dyDescent="0.25">
      <c r="C105">
        <v>16</v>
      </c>
      <c r="D105">
        <v>350</v>
      </c>
      <c r="E105">
        <v>328.89981205725024</v>
      </c>
      <c r="F105">
        <v>112.28133583923666</v>
      </c>
      <c r="G105">
        <v>308.6598236229579</v>
      </c>
    </row>
    <row r="106" spans="3:7" x14ac:dyDescent="0.25">
      <c r="C106">
        <v>17</v>
      </c>
      <c r="D106">
        <v>350</v>
      </c>
      <c r="E106">
        <v>328.89981205725024</v>
      </c>
      <c r="F106">
        <v>112.28133583923666</v>
      </c>
      <c r="G106">
        <v>308.6598236229579</v>
      </c>
    </row>
    <row r="107" spans="3:7" x14ac:dyDescent="0.25">
      <c r="C107">
        <v>18</v>
      </c>
      <c r="D107">
        <v>520</v>
      </c>
      <c r="E107">
        <v>488.65114934220037</v>
      </c>
      <c r="F107">
        <v>166.81798467543732</v>
      </c>
      <c r="G107">
        <v>458.58030938268035</v>
      </c>
    </row>
    <row r="108" spans="3:7" x14ac:dyDescent="0.25">
      <c r="C108">
        <v>19</v>
      </c>
      <c r="D108">
        <v>520</v>
      </c>
      <c r="E108">
        <v>488.65114934220037</v>
      </c>
      <c r="F108">
        <v>166.81798467543732</v>
      </c>
      <c r="G108">
        <v>458.58030938268035</v>
      </c>
    </row>
    <row r="109" spans="3:7" x14ac:dyDescent="0.25">
      <c r="C109">
        <v>20</v>
      </c>
      <c r="D109">
        <v>520</v>
      </c>
      <c r="E109">
        <v>488.65114934220037</v>
      </c>
      <c r="F109">
        <v>166.81798467543732</v>
      </c>
      <c r="G109">
        <v>458.58030938268035</v>
      </c>
    </row>
    <row r="110" spans="3:7" x14ac:dyDescent="0.25">
      <c r="C110">
        <v>21</v>
      </c>
      <c r="D110">
        <v>520</v>
      </c>
      <c r="E110">
        <v>488.65114934220037</v>
      </c>
      <c r="F110">
        <v>166.81798467543732</v>
      </c>
      <c r="G110">
        <v>458.58030938268035</v>
      </c>
    </row>
    <row r="111" spans="3:7" x14ac:dyDescent="0.25">
      <c r="C111">
        <v>22</v>
      </c>
      <c r="D111">
        <v>350</v>
      </c>
      <c r="E111">
        <v>328.89981205725024</v>
      </c>
      <c r="F111">
        <v>112.28133583923666</v>
      </c>
      <c r="G111">
        <v>308.6598236229579</v>
      </c>
    </row>
    <row r="112" spans="3:7" x14ac:dyDescent="0.25">
      <c r="C112">
        <v>23</v>
      </c>
    </row>
  </sheetData>
  <mergeCells count="4">
    <mergeCell ref="F64:F65"/>
    <mergeCell ref="E64:E65"/>
    <mergeCell ref="G64:J64"/>
    <mergeCell ref="F71:F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12" sqref="F12"/>
    </sheetView>
  </sheetViews>
  <sheetFormatPr defaultRowHeight="15" x14ac:dyDescent="0.25"/>
  <sheetData>
    <row r="1" spans="1:7" x14ac:dyDescent="0.25">
      <c r="A1" t="s">
        <v>121</v>
      </c>
      <c r="D1">
        <v>6917</v>
      </c>
    </row>
    <row r="2" spans="1:7" x14ac:dyDescent="0.25">
      <c r="A2" t="s">
        <v>122</v>
      </c>
      <c r="D2">
        <v>2219</v>
      </c>
    </row>
    <row r="3" spans="1:7" x14ac:dyDescent="0.25">
      <c r="A3" t="s">
        <v>49</v>
      </c>
      <c r="D3">
        <v>6500</v>
      </c>
    </row>
    <row r="4" spans="1:7" x14ac:dyDescent="0.25">
      <c r="A4" t="s">
        <v>48</v>
      </c>
      <c r="D4">
        <v>6100</v>
      </c>
    </row>
    <row r="5" spans="1:7" x14ac:dyDescent="0.25">
      <c r="D5" t="s">
        <v>121</v>
      </c>
      <c r="E5" t="s">
        <v>49</v>
      </c>
      <c r="F5" t="s">
        <v>123</v>
      </c>
      <c r="G5" t="s">
        <v>48</v>
      </c>
    </row>
    <row r="6" spans="1:7" x14ac:dyDescent="0.25">
      <c r="C6">
        <v>0</v>
      </c>
    </row>
    <row r="7" spans="1:7" x14ac:dyDescent="0.25">
      <c r="C7">
        <v>1</v>
      </c>
    </row>
    <row r="8" spans="1:7" x14ac:dyDescent="0.25">
      <c r="C8">
        <v>2</v>
      </c>
    </row>
    <row r="9" spans="1:7" x14ac:dyDescent="0.25">
      <c r="C9">
        <v>3</v>
      </c>
    </row>
    <row r="10" spans="1:7" x14ac:dyDescent="0.25">
      <c r="C10">
        <v>4</v>
      </c>
    </row>
    <row r="11" spans="1:7" x14ac:dyDescent="0.25">
      <c r="C11">
        <v>5</v>
      </c>
      <c r="D11">
        <v>350</v>
      </c>
      <c r="E11">
        <f>150*$D$3/$D$1</f>
        <v>140.95706231025011</v>
      </c>
      <c r="F11">
        <f>100*$D$2/$D$1</f>
        <v>32.080381668353333</v>
      </c>
      <c r="G11">
        <f>150*$D$4/$D$1</f>
        <v>132.28278155269626</v>
      </c>
    </row>
    <row r="12" spans="1:7" x14ac:dyDescent="0.25">
      <c r="C12">
        <v>6</v>
      </c>
      <c r="D12">
        <v>350</v>
      </c>
      <c r="E12">
        <f t="shared" ref="E12:E28" si="0">D12*$D$3/$D$1</f>
        <v>328.89981205725024</v>
      </c>
      <c r="F12">
        <f t="shared" ref="F12:F28" si="1">D12*$D$2/$D$1</f>
        <v>112.28133583923666</v>
      </c>
      <c r="G12">
        <f t="shared" ref="G12:G28" si="2">D12*$D$4/$D$1</f>
        <v>308.6598236229579</v>
      </c>
    </row>
    <row r="13" spans="1:7" x14ac:dyDescent="0.25">
      <c r="C13">
        <v>7</v>
      </c>
      <c r="D13">
        <v>350</v>
      </c>
      <c r="E13">
        <f t="shared" si="0"/>
        <v>328.89981205725024</v>
      </c>
      <c r="F13">
        <f t="shared" si="1"/>
        <v>112.28133583923666</v>
      </c>
      <c r="G13">
        <f t="shared" si="2"/>
        <v>308.6598236229579</v>
      </c>
    </row>
    <row r="14" spans="1:7" x14ac:dyDescent="0.25">
      <c r="C14">
        <v>8</v>
      </c>
      <c r="D14">
        <v>350</v>
      </c>
      <c r="E14">
        <f t="shared" si="0"/>
        <v>328.89981205725024</v>
      </c>
      <c r="F14">
        <f t="shared" si="1"/>
        <v>112.28133583923666</v>
      </c>
      <c r="G14">
        <f t="shared" si="2"/>
        <v>308.6598236229579</v>
      </c>
    </row>
    <row r="15" spans="1:7" x14ac:dyDescent="0.25">
      <c r="C15">
        <v>9</v>
      </c>
      <c r="D15">
        <v>350</v>
      </c>
      <c r="E15">
        <f t="shared" si="0"/>
        <v>328.89981205725024</v>
      </c>
      <c r="F15">
        <f t="shared" si="1"/>
        <v>112.28133583923666</v>
      </c>
      <c r="G15">
        <f t="shared" si="2"/>
        <v>308.6598236229579</v>
      </c>
    </row>
    <row r="16" spans="1:7" x14ac:dyDescent="0.25">
      <c r="C16">
        <v>10</v>
      </c>
      <c r="D16">
        <v>350</v>
      </c>
      <c r="E16">
        <f t="shared" si="0"/>
        <v>328.89981205725024</v>
      </c>
      <c r="F16">
        <f t="shared" si="1"/>
        <v>112.28133583923666</v>
      </c>
      <c r="G16">
        <f t="shared" si="2"/>
        <v>308.6598236229579</v>
      </c>
    </row>
    <row r="17" spans="3:7" x14ac:dyDescent="0.25">
      <c r="C17">
        <v>11</v>
      </c>
      <c r="D17">
        <v>350</v>
      </c>
      <c r="E17">
        <f t="shared" si="0"/>
        <v>328.89981205725024</v>
      </c>
      <c r="F17">
        <f t="shared" si="1"/>
        <v>112.28133583923666</v>
      </c>
      <c r="G17">
        <f t="shared" si="2"/>
        <v>308.6598236229579</v>
      </c>
    </row>
    <row r="18" spans="3:7" x14ac:dyDescent="0.25">
      <c r="C18">
        <v>12</v>
      </c>
      <c r="D18">
        <v>350</v>
      </c>
      <c r="E18">
        <f t="shared" si="0"/>
        <v>328.89981205725024</v>
      </c>
      <c r="F18">
        <f t="shared" si="1"/>
        <v>112.28133583923666</v>
      </c>
      <c r="G18">
        <f t="shared" si="2"/>
        <v>308.6598236229579</v>
      </c>
    </row>
    <row r="19" spans="3:7" x14ac:dyDescent="0.25">
      <c r="C19">
        <v>13</v>
      </c>
      <c r="D19">
        <v>350</v>
      </c>
      <c r="E19">
        <f t="shared" si="0"/>
        <v>328.89981205725024</v>
      </c>
      <c r="F19">
        <f t="shared" si="1"/>
        <v>112.28133583923666</v>
      </c>
      <c r="G19">
        <f t="shared" si="2"/>
        <v>308.6598236229579</v>
      </c>
    </row>
    <row r="20" spans="3:7" x14ac:dyDescent="0.25">
      <c r="C20">
        <v>14</v>
      </c>
      <c r="D20">
        <v>350</v>
      </c>
      <c r="E20">
        <f t="shared" si="0"/>
        <v>328.89981205725024</v>
      </c>
      <c r="F20">
        <f t="shared" si="1"/>
        <v>112.28133583923666</v>
      </c>
      <c r="G20">
        <f t="shared" si="2"/>
        <v>308.6598236229579</v>
      </c>
    </row>
    <row r="21" spans="3:7" x14ac:dyDescent="0.25">
      <c r="C21">
        <v>15</v>
      </c>
      <c r="D21">
        <v>350</v>
      </c>
      <c r="E21">
        <f t="shared" si="0"/>
        <v>328.89981205725024</v>
      </c>
      <c r="F21">
        <f t="shared" si="1"/>
        <v>112.28133583923666</v>
      </c>
      <c r="G21">
        <f t="shared" si="2"/>
        <v>308.6598236229579</v>
      </c>
    </row>
    <row r="22" spans="3:7" x14ac:dyDescent="0.25">
      <c r="C22">
        <v>16</v>
      </c>
      <c r="D22">
        <v>350</v>
      </c>
      <c r="E22">
        <f t="shared" si="0"/>
        <v>328.89981205725024</v>
      </c>
      <c r="F22">
        <f t="shared" si="1"/>
        <v>112.28133583923666</v>
      </c>
      <c r="G22">
        <f t="shared" si="2"/>
        <v>308.6598236229579</v>
      </c>
    </row>
    <row r="23" spans="3:7" x14ac:dyDescent="0.25">
      <c r="C23">
        <v>17</v>
      </c>
      <c r="D23">
        <v>350</v>
      </c>
      <c r="E23">
        <f t="shared" si="0"/>
        <v>328.89981205725024</v>
      </c>
      <c r="F23">
        <f t="shared" si="1"/>
        <v>112.28133583923666</v>
      </c>
      <c r="G23">
        <f t="shared" si="2"/>
        <v>308.6598236229579</v>
      </c>
    </row>
    <row r="24" spans="3:7" x14ac:dyDescent="0.25">
      <c r="C24">
        <v>18</v>
      </c>
      <c r="D24">
        <v>520</v>
      </c>
      <c r="E24">
        <f t="shared" si="0"/>
        <v>488.65114934220037</v>
      </c>
      <c r="F24">
        <f t="shared" si="1"/>
        <v>166.81798467543732</v>
      </c>
      <c r="G24">
        <f t="shared" si="2"/>
        <v>458.58030938268035</v>
      </c>
    </row>
    <row r="25" spans="3:7" x14ac:dyDescent="0.25">
      <c r="C25">
        <v>19</v>
      </c>
      <c r="D25">
        <v>520</v>
      </c>
      <c r="E25">
        <f t="shared" si="0"/>
        <v>488.65114934220037</v>
      </c>
      <c r="F25">
        <f t="shared" si="1"/>
        <v>166.81798467543732</v>
      </c>
      <c r="G25">
        <f t="shared" si="2"/>
        <v>458.58030938268035</v>
      </c>
    </row>
    <row r="26" spans="3:7" x14ac:dyDescent="0.25">
      <c r="C26">
        <v>20</v>
      </c>
      <c r="D26">
        <v>520</v>
      </c>
      <c r="E26">
        <f t="shared" si="0"/>
        <v>488.65114934220037</v>
      </c>
      <c r="F26">
        <f t="shared" si="1"/>
        <v>166.81798467543732</v>
      </c>
      <c r="G26">
        <f t="shared" si="2"/>
        <v>458.58030938268035</v>
      </c>
    </row>
    <row r="27" spans="3:7" x14ac:dyDescent="0.25">
      <c r="C27">
        <v>21</v>
      </c>
      <c r="D27">
        <v>520</v>
      </c>
      <c r="E27">
        <f t="shared" si="0"/>
        <v>488.65114934220037</v>
      </c>
      <c r="F27">
        <f t="shared" si="1"/>
        <v>166.81798467543732</v>
      </c>
      <c r="G27">
        <f t="shared" si="2"/>
        <v>458.58030938268035</v>
      </c>
    </row>
    <row r="28" spans="3:7" x14ac:dyDescent="0.25">
      <c r="C28">
        <v>22</v>
      </c>
      <c r="D28">
        <v>350</v>
      </c>
      <c r="E28">
        <f t="shared" si="0"/>
        <v>328.89981205725024</v>
      </c>
      <c r="F28">
        <f t="shared" si="1"/>
        <v>112.28133583923666</v>
      </c>
      <c r="G28">
        <f t="shared" si="2"/>
        <v>308.6598236229579</v>
      </c>
    </row>
    <row r="29" spans="3:7" x14ac:dyDescent="0.25">
      <c r="C2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59"/>
  <sheetViews>
    <sheetView topLeftCell="B31" zoomScale="85" zoomScaleNormal="85" workbookViewId="0">
      <selection activeCell="H53" sqref="H53"/>
    </sheetView>
  </sheetViews>
  <sheetFormatPr defaultRowHeight="15" x14ac:dyDescent="0.25"/>
  <cols>
    <col min="2" max="2" width="21.85546875" bestFit="1" customWidth="1"/>
    <col min="3" max="30" width="22.42578125" customWidth="1"/>
    <col min="31" max="34" width="15.28515625" bestFit="1" customWidth="1"/>
    <col min="35" max="35" width="16" bestFit="1" customWidth="1"/>
  </cols>
  <sheetData>
    <row r="1" spans="2:35" ht="15.75" x14ac:dyDescent="0.25">
      <c r="D1" t="s">
        <v>67</v>
      </c>
      <c r="F1" s="23">
        <v>0.1</v>
      </c>
      <c r="J1" t="s">
        <v>70</v>
      </c>
      <c r="K1" s="25">
        <f>546366170.38</f>
        <v>546366170.38</v>
      </c>
      <c r="L1" t="s">
        <v>72</v>
      </c>
      <c r="N1" s="4" t="s">
        <v>74</v>
      </c>
      <c r="O1" s="26">
        <f>495600-O2</f>
        <v>297600</v>
      </c>
      <c r="P1" t="s">
        <v>76</v>
      </c>
      <c r="Q1" t="s">
        <v>80</v>
      </c>
      <c r="S1">
        <v>4434</v>
      </c>
      <c r="T1" t="s">
        <v>3</v>
      </c>
    </row>
    <row r="2" spans="2:35" ht="15.75" x14ac:dyDescent="0.25">
      <c r="D2" t="s">
        <v>68</v>
      </c>
      <c r="F2" s="24">
        <v>65</v>
      </c>
      <c r="G2" t="s">
        <v>66</v>
      </c>
      <c r="J2" t="s">
        <v>71</v>
      </c>
      <c r="K2" s="25">
        <v>6990645.8499999996</v>
      </c>
      <c r="L2" t="s">
        <v>73</v>
      </c>
      <c r="N2" s="4" t="s">
        <v>75</v>
      </c>
      <c r="O2">
        <v>198000</v>
      </c>
      <c r="P2" t="s">
        <v>76</v>
      </c>
    </row>
    <row r="3" spans="2:35" ht="15.75" x14ac:dyDescent="0.25">
      <c r="D3" t="s">
        <v>69</v>
      </c>
      <c r="F3" s="23"/>
      <c r="J3" t="s">
        <v>83</v>
      </c>
      <c r="K3" s="27">
        <v>25507651.489999998</v>
      </c>
      <c r="L3" t="s">
        <v>72</v>
      </c>
      <c r="N3" s="4" t="s">
        <v>79</v>
      </c>
      <c r="O3">
        <f>S1-O4</f>
        <v>3114</v>
      </c>
      <c r="P3" t="s">
        <v>0</v>
      </c>
    </row>
    <row r="4" spans="2:35" x14ac:dyDescent="0.25">
      <c r="F4" s="23"/>
      <c r="N4" s="4" t="s">
        <v>78</v>
      </c>
      <c r="O4">
        <f>4*330</f>
        <v>1320</v>
      </c>
      <c r="P4" t="s">
        <v>3</v>
      </c>
    </row>
    <row r="5" spans="2:35" x14ac:dyDescent="0.25">
      <c r="AI5" t="s">
        <v>112</v>
      </c>
    </row>
    <row r="6" spans="2:35" x14ac:dyDescent="0.25">
      <c r="B6" s="21" t="s">
        <v>88</v>
      </c>
      <c r="C6" s="22">
        <v>0</v>
      </c>
      <c r="D6" s="22">
        <f>C6+1</f>
        <v>1</v>
      </c>
      <c r="E6" s="22">
        <f t="shared" ref="E6:AC6" si="0">D6+1</f>
        <v>2</v>
      </c>
      <c r="F6" s="22">
        <f t="shared" si="0"/>
        <v>3</v>
      </c>
      <c r="G6" s="22">
        <f t="shared" si="0"/>
        <v>4</v>
      </c>
      <c r="H6" s="22">
        <f t="shared" si="0"/>
        <v>5</v>
      </c>
      <c r="I6" s="22">
        <f t="shared" si="0"/>
        <v>6</v>
      </c>
      <c r="J6" s="22">
        <f t="shared" si="0"/>
        <v>7</v>
      </c>
      <c r="K6" s="22">
        <f t="shared" si="0"/>
        <v>8</v>
      </c>
      <c r="L6" s="22">
        <f t="shared" si="0"/>
        <v>9</v>
      </c>
      <c r="M6" s="22">
        <f t="shared" si="0"/>
        <v>10</v>
      </c>
      <c r="N6" s="22">
        <f t="shared" si="0"/>
        <v>11</v>
      </c>
      <c r="O6" s="22">
        <f t="shared" si="0"/>
        <v>12</v>
      </c>
      <c r="P6" s="22">
        <f t="shared" si="0"/>
        <v>13</v>
      </c>
      <c r="Q6" s="22">
        <f t="shared" si="0"/>
        <v>14</v>
      </c>
      <c r="R6" s="22">
        <f t="shared" si="0"/>
        <v>15</v>
      </c>
      <c r="S6" s="22">
        <f t="shared" si="0"/>
        <v>16</v>
      </c>
      <c r="T6" s="22">
        <f t="shared" si="0"/>
        <v>17</v>
      </c>
      <c r="U6" s="22">
        <f t="shared" si="0"/>
        <v>18</v>
      </c>
      <c r="V6" s="22">
        <f t="shared" si="0"/>
        <v>19</v>
      </c>
      <c r="W6" s="22">
        <f t="shared" si="0"/>
        <v>20</v>
      </c>
      <c r="X6" s="22">
        <f t="shared" si="0"/>
        <v>21</v>
      </c>
      <c r="Y6" s="22">
        <f t="shared" si="0"/>
        <v>22</v>
      </c>
      <c r="Z6" s="22">
        <f t="shared" si="0"/>
        <v>23</v>
      </c>
      <c r="AA6" s="22">
        <f t="shared" si="0"/>
        <v>24</v>
      </c>
      <c r="AB6" s="22">
        <f t="shared" si="0"/>
        <v>25</v>
      </c>
      <c r="AC6" s="22">
        <f t="shared" si="0"/>
        <v>26</v>
      </c>
      <c r="AD6" s="50">
        <f t="shared" ref="AD6" si="1">AC6+1</f>
        <v>27</v>
      </c>
      <c r="AE6" s="50">
        <f t="shared" ref="AE6" si="2">AD6+1</f>
        <v>28</v>
      </c>
      <c r="AF6" s="50">
        <f t="shared" ref="AF6" si="3">AE6+1</f>
        <v>29</v>
      </c>
      <c r="AG6" s="50">
        <f t="shared" ref="AG6" si="4">AF6+1</f>
        <v>30</v>
      </c>
      <c r="AH6" s="50">
        <f t="shared" ref="AH6" si="5">AG6+1</f>
        <v>31</v>
      </c>
      <c r="AI6" s="51">
        <f t="shared" ref="AI6" si="6">AH6+1</f>
        <v>32</v>
      </c>
    </row>
    <row r="7" spans="2:35" x14ac:dyDescent="0.25">
      <c r="B7" s="21" t="s">
        <v>87</v>
      </c>
      <c r="C7" s="22">
        <v>1</v>
      </c>
      <c r="D7" s="22">
        <f>C7+1</f>
        <v>2</v>
      </c>
      <c r="E7" s="22">
        <f t="shared" ref="E7:AB7" si="7">D7+1</f>
        <v>3</v>
      </c>
      <c r="F7" s="22">
        <f t="shared" si="7"/>
        <v>4</v>
      </c>
      <c r="G7" s="22">
        <f t="shared" si="7"/>
        <v>5</v>
      </c>
      <c r="H7" s="22">
        <f t="shared" si="7"/>
        <v>6</v>
      </c>
      <c r="I7" s="22">
        <f t="shared" si="7"/>
        <v>7</v>
      </c>
      <c r="J7" s="22">
        <f t="shared" si="7"/>
        <v>8</v>
      </c>
      <c r="K7" s="22">
        <f t="shared" si="7"/>
        <v>9</v>
      </c>
      <c r="L7" s="22">
        <f t="shared" si="7"/>
        <v>10</v>
      </c>
      <c r="M7" s="22">
        <f t="shared" si="7"/>
        <v>11</v>
      </c>
      <c r="N7" s="22">
        <f t="shared" si="7"/>
        <v>12</v>
      </c>
      <c r="O7" s="22">
        <f t="shared" si="7"/>
        <v>13</v>
      </c>
      <c r="P7" s="22">
        <f t="shared" si="7"/>
        <v>14</v>
      </c>
      <c r="Q7" s="22">
        <f t="shared" si="7"/>
        <v>15</v>
      </c>
      <c r="R7" s="22">
        <f t="shared" si="7"/>
        <v>16</v>
      </c>
      <c r="S7" s="22">
        <f t="shared" si="7"/>
        <v>17</v>
      </c>
      <c r="T7" s="22">
        <f t="shared" si="7"/>
        <v>18</v>
      </c>
      <c r="U7" s="22">
        <f t="shared" si="7"/>
        <v>19</v>
      </c>
      <c r="V7" s="22">
        <f t="shared" si="7"/>
        <v>20</v>
      </c>
      <c r="W7" s="22">
        <f t="shared" si="7"/>
        <v>21</v>
      </c>
      <c r="X7" s="22">
        <f t="shared" si="7"/>
        <v>22</v>
      </c>
      <c r="Y7" s="22">
        <f t="shared" si="7"/>
        <v>23</v>
      </c>
      <c r="Z7" s="22">
        <f t="shared" si="7"/>
        <v>24</v>
      </c>
      <c r="AA7" s="22">
        <f t="shared" si="7"/>
        <v>25</v>
      </c>
      <c r="AB7" s="22">
        <f t="shared" si="7"/>
        <v>26</v>
      </c>
      <c r="AC7" s="22">
        <f>AB7+1</f>
        <v>27</v>
      </c>
      <c r="AD7" s="50">
        <f t="shared" ref="AD7:AI7" si="8">AC7+1</f>
        <v>28</v>
      </c>
      <c r="AE7" s="50">
        <f t="shared" si="8"/>
        <v>29</v>
      </c>
      <c r="AF7" s="50">
        <f t="shared" si="8"/>
        <v>30</v>
      </c>
      <c r="AG7" s="50">
        <f t="shared" si="8"/>
        <v>31</v>
      </c>
      <c r="AH7" s="50">
        <f t="shared" si="8"/>
        <v>32</v>
      </c>
      <c r="AI7" s="51">
        <f t="shared" si="8"/>
        <v>33</v>
      </c>
    </row>
    <row r="8" spans="2:35" x14ac:dyDescent="0.25">
      <c r="B8" s="21" t="s">
        <v>77</v>
      </c>
      <c r="C8" s="28">
        <v>0</v>
      </c>
      <c r="D8" s="28">
        <v>0</v>
      </c>
      <c r="E8" s="29">
        <f>$F$2*($O$1+4*$O$2)</f>
        <v>70824000</v>
      </c>
      <c r="F8" s="29">
        <f t="shared" ref="F8:AH8" si="9">$F$2*($O$1+4*$O$2)</f>
        <v>70824000</v>
      </c>
      <c r="G8" s="29">
        <f t="shared" si="9"/>
        <v>70824000</v>
      </c>
      <c r="H8" s="29">
        <f t="shared" si="9"/>
        <v>70824000</v>
      </c>
      <c r="I8" s="29">
        <f t="shared" si="9"/>
        <v>70824000</v>
      </c>
      <c r="J8" s="29">
        <f t="shared" si="9"/>
        <v>70824000</v>
      </c>
      <c r="K8" s="29">
        <f t="shared" si="9"/>
        <v>70824000</v>
      </c>
      <c r="L8" s="29">
        <f t="shared" si="9"/>
        <v>70824000</v>
      </c>
      <c r="M8" s="29">
        <f t="shared" si="9"/>
        <v>70824000</v>
      </c>
      <c r="N8" s="29">
        <f t="shared" si="9"/>
        <v>70824000</v>
      </c>
      <c r="O8" s="29">
        <f t="shared" si="9"/>
        <v>70824000</v>
      </c>
      <c r="P8" s="29">
        <f t="shared" si="9"/>
        <v>70824000</v>
      </c>
      <c r="Q8" s="29">
        <f t="shared" si="9"/>
        <v>70824000</v>
      </c>
      <c r="R8" s="29">
        <f t="shared" si="9"/>
        <v>70824000</v>
      </c>
      <c r="S8" s="29">
        <f t="shared" si="9"/>
        <v>70824000</v>
      </c>
      <c r="T8" s="29">
        <f t="shared" si="9"/>
        <v>70824000</v>
      </c>
      <c r="U8" s="29">
        <f t="shared" si="9"/>
        <v>70824000</v>
      </c>
      <c r="V8" s="29">
        <f t="shared" si="9"/>
        <v>70824000</v>
      </c>
      <c r="W8" s="29">
        <f t="shared" si="9"/>
        <v>70824000</v>
      </c>
      <c r="X8" s="29">
        <f t="shared" si="9"/>
        <v>70824000</v>
      </c>
      <c r="Y8" s="29">
        <f t="shared" si="9"/>
        <v>70824000</v>
      </c>
      <c r="Z8" s="29">
        <f t="shared" si="9"/>
        <v>70824000</v>
      </c>
      <c r="AA8" s="29">
        <f t="shared" si="9"/>
        <v>70824000</v>
      </c>
      <c r="AB8" s="29">
        <f t="shared" si="9"/>
        <v>70824000</v>
      </c>
      <c r="AC8" s="29">
        <f t="shared" si="9"/>
        <v>70824000</v>
      </c>
      <c r="AD8" s="29">
        <f t="shared" si="9"/>
        <v>70824000</v>
      </c>
      <c r="AE8" s="29">
        <f t="shared" si="9"/>
        <v>70824000</v>
      </c>
      <c r="AF8" s="29">
        <f t="shared" si="9"/>
        <v>70824000</v>
      </c>
      <c r="AG8" s="29">
        <f t="shared" si="9"/>
        <v>70824000</v>
      </c>
      <c r="AH8" s="29">
        <f t="shared" si="9"/>
        <v>70824000</v>
      </c>
      <c r="AI8" s="49">
        <v>0</v>
      </c>
    </row>
    <row r="9" spans="2:35" x14ac:dyDescent="0.25">
      <c r="B9" s="21" t="s">
        <v>71</v>
      </c>
      <c r="C9" s="28">
        <v>0</v>
      </c>
      <c r="D9" s="28">
        <v>0</v>
      </c>
      <c r="E9" s="28">
        <f>-$K$2</f>
        <v>-6990645.8499999996</v>
      </c>
      <c r="F9" s="28">
        <f t="shared" ref="F9:AH9" si="10">-$K$2</f>
        <v>-6990645.8499999996</v>
      </c>
      <c r="G9" s="28">
        <f t="shared" si="10"/>
        <v>-6990645.8499999996</v>
      </c>
      <c r="H9" s="28">
        <f t="shared" si="10"/>
        <v>-6990645.8499999996</v>
      </c>
      <c r="I9" s="28">
        <f t="shared" si="10"/>
        <v>-6990645.8499999996</v>
      </c>
      <c r="J9" s="28">
        <f t="shared" si="10"/>
        <v>-6990645.8499999996</v>
      </c>
      <c r="K9" s="28">
        <f t="shared" si="10"/>
        <v>-6990645.8499999996</v>
      </c>
      <c r="L9" s="28">
        <f t="shared" si="10"/>
        <v>-6990645.8499999996</v>
      </c>
      <c r="M9" s="28">
        <f t="shared" si="10"/>
        <v>-6990645.8499999996</v>
      </c>
      <c r="N9" s="28">
        <f t="shared" si="10"/>
        <v>-6990645.8499999996</v>
      </c>
      <c r="O9" s="28">
        <f t="shared" si="10"/>
        <v>-6990645.8499999996</v>
      </c>
      <c r="P9" s="28">
        <f t="shared" si="10"/>
        <v>-6990645.8499999996</v>
      </c>
      <c r="Q9" s="28">
        <f t="shared" si="10"/>
        <v>-6990645.8499999996</v>
      </c>
      <c r="R9" s="28">
        <f t="shared" si="10"/>
        <v>-6990645.8499999996</v>
      </c>
      <c r="S9" s="28">
        <f t="shared" si="10"/>
        <v>-6990645.8499999996</v>
      </c>
      <c r="T9" s="28">
        <f t="shared" si="10"/>
        <v>-6990645.8499999996</v>
      </c>
      <c r="U9" s="28">
        <f t="shared" si="10"/>
        <v>-6990645.8499999996</v>
      </c>
      <c r="V9" s="28">
        <f t="shared" si="10"/>
        <v>-6990645.8499999996</v>
      </c>
      <c r="W9" s="28">
        <f t="shared" si="10"/>
        <v>-6990645.8499999996</v>
      </c>
      <c r="X9" s="28">
        <f t="shared" si="10"/>
        <v>-6990645.8499999996</v>
      </c>
      <c r="Y9" s="28">
        <f t="shared" si="10"/>
        <v>-6990645.8499999996</v>
      </c>
      <c r="Z9" s="28">
        <f t="shared" si="10"/>
        <v>-6990645.8499999996</v>
      </c>
      <c r="AA9" s="28">
        <f t="shared" si="10"/>
        <v>-6990645.8499999996</v>
      </c>
      <c r="AB9" s="28">
        <f t="shared" si="10"/>
        <v>-6990645.8499999996</v>
      </c>
      <c r="AC9" s="28">
        <f t="shared" si="10"/>
        <v>-6990645.8499999996</v>
      </c>
      <c r="AD9" s="28">
        <f t="shared" si="10"/>
        <v>-6990645.8499999996</v>
      </c>
      <c r="AE9" s="28">
        <f t="shared" si="10"/>
        <v>-6990645.8499999996</v>
      </c>
      <c r="AF9" s="28">
        <f t="shared" si="10"/>
        <v>-6990645.8499999996</v>
      </c>
      <c r="AG9" s="28">
        <f t="shared" si="10"/>
        <v>-6990645.8499999996</v>
      </c>
      <c r="AH9" s="28">
        <f t="shared" si="10"/>
        <v>-6990645.8499999996</v>
      </c>
      <c r="AI9" s="28">
        <f>-K3</f>
        <v>-25507651.489999998</v>
      </c>
    </row>
    <row r="10" spans="2:35" x14ac:dyDescent="0.25">
      <c r="B10" s="21" t="s">
        <v>85</v>
      </c>
      <c r="C10" s="28">
        <f>-0.5*K1</f>
        <v>-273183085.19</v>
      </c>
      <c r="D10" s="28">
        <f>-0.5*K1</f>
        <v>-273183085.19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2:35" x14ac:dyDescent="0.25">
      <c r="B11" s="21" t="s">
        <v>82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2:35" x14ac:dyDescent="0.25">
      <c r="B12" s="21" t="s">
        <v>81</v>
      </c>
      <c r="C12" s="28">
        <f>SUM(C8:C11)</f>
        <v>-273183085.19</v>
      </c>
      <c r="D12" s="28">
        <f t="shared" ref="D12:AH12" si="11">SUM(D8:D11)</f>
        <v>-273183085.19</v>
      </c>
      <c r="E12" s="28">
        <f t="shared" si="11"/>
        <v>63833354.149999999</v>
      </c>
      <c r="F12" s="28">
        <f t="shared" si="11"/>
        <v>63833354.149999999</v>
      </c>
      <c r="G12" s="28">
        <f t="shared" si="11"/>
        <v>63833354.149999999</v>
      </c>
      <c r="H12" s="28">
        <f t="shared" si="11"/>
        <v>63833354.149999999</v>
      </c>
      <c r="I12" s="28">
        <f t="shared" si="11"/>
        <v>63833354.149999999</v>
      </c>
      <c r="J12" s="28">
        <f t="shared" si="11"/>
        <v>63833354.149999999</v>
      </c>
      <c r="K12" s="28">
        <f t="shared" si="11"/>
        <v>63833354.149999999</v>
      </c>
      <c r="L12" s="28">
        <f t="shared" si="11"/>
        <v>63833354.149999999</v>
      </c>
      <c r="M12" s="28">
        <f t="shared" si="11"/>
        <v>63833354.149999999</v>
      </c>
      <c r="N12" s="28">
        <f t="shared" si="11"/>
        <v>63833354.149999999</v>
      </c>
      <c r="O12" s="28">
        <f t="shared" si="11"/>
        <v>63833354.149999999</v>
      </c>
      <c r="P12" s="28">
        <f t="shared" si="11"/>
        <v>63833354.149999999</v>
      </c>
      <c r="Q12" s="28">
        <f t="shared" si="11"/>
        <v>63833354.149999999</v>
      </c>
      <c r="R12" s="28">
        <f t="shared" si="11"/>
        <v>63833354.149999999</v>
      </c>
      <c r="S12" s="28">
        <f t="shared" si="11"/>
        <v>63833354.149999999</v>
      </c>
      <c r="T12" s="28">
        <f t="shared" si="11"/>
        <v>63833354.149999999</v>
      </c>
      <c r="U12" s="28">
        <f t="shared" si="11"/>
        <v>63833354.149999999</v>
      </c>
      <c r="V12" s="28">
        <f t="shared" si="11"/>
        <v>63833354.149999999</v>
      </c>
      <c r="W12" s="28">
        <f t="shared" si="11"/>
        <v>63833354.149999999</v>
      </c>
      <c r="X12" s="28">
        <f t="shared" si="11"/>
        <v>63833354.149999999</v>
      </c>
      <c r="Y12" s="28">
        <f t="shared" si="11"/>
        <v>63833354.149999999</v>
      </c>
      <c r="Z12" s="28">
        <f t="shared" si="11"/>
        <v>63833354.149999999</v>
      </c>
      <c r="AA12" s="28">
        <f t="shared" si="11"/>
        <v>63833354.149999999</v>
      </c>
      <c r="AB12" s="28">
        <f t="shared" si="11"/>
        <v>63833354.149999999</v>
      </c>
      <c r="AC12" s="28">
        <f t="shared" si="11"/>
        <v>63833354.149999999</v>
      </c>
      <c r="AD12" s="28">
        <f t="shared" si="11"/>
        <v>63833354.149999999</v>
      </c>
      <c r="AE12" s="28">
        <f t="shared" si="11"/>
        <v>63833354.149999999</v>
      </c>
      <c r="AF12" s="28">
        <f t="shared" si="11"/>
        <v>63833354.149999999</v>
      </c>
      <c r="AG12" s="28">
        <f t="shared" si="11"/>
        <v>63833354.149999999</v>
      </c>
      <c r="AH12" s="28">
        <f t="shared" si="11"/>
        <v>63833354.149999999</v>
      </c>
      <c r="AI12" s="28">
        <f>-K3</f>
        <v>-25507651.489999998</v>
      </c>
    </row>
    <row r="13" spans="2:35" x14ac:dyDescent="0.25">
      <c r="B13" s="21" t="s">
        <v>84</v>
      </c>
      <c r="C13" s="29">
        <f>C12/(1+$F$1)^C6</f>
        <v>-273183085.19</v>
      </c>
      <c r="D13" s="29">
        <f t="shared" ref="D13:AB13" si="12">D12/(1+$F$1)^D6</f>
        <v>-248348259.26363635</v>
      </c>
      <c r="E13" s="29">
        <f t="shared" si="12"/>
        <v>52754838.140495859</v>
      </c>
      <c r="F13" s="29">
        <f t="shared" si="12"/>
        <v>47958943.764087133</v>
      </c>
      <c r="G13" s="29">
        <f t="shared" si="12"/>
        <v>43599039.785533763</v>
      </c>
      <c r="H13" s="29">
        <f t="shared" si="12"/>
        <v>39635490.714121602</v>
      </c>
      <c r="I13" s="29">
        <f t="shared" si="12"/>
        <v>36032264.285565086</v>
      </c>
      <c r="J13" s="29">
        <f t="shared" si="12"/>
        <v>32756603.895968255</v>
      </c>
      <c r="K13" s="29">
        <f t="shared" si="12"/>
        <v>29778730.814516596</v>
      </c>
      <c r="L13" s="29">
        <f>L12/(1+$F$1)^L6</f>
        <v>27071573.467742361</v>
      </c>
      <c r="M13" s="29">
        <f t="shared" si="12"/>
        <v>24610521.334311232</v>
      </c>
      <c r="N13" s="29">
        <f t="shared" si="12"/>
        <v>22373201.213010211</v>
      </c>
      <c r="O13" s="29">
        <f t="shared" si="12"/>
        <v>20339273.830009282</v>
      </c>
      <c r="P13" s="29">
        <f t="shared" si="12"/>
        <v>18490248.936372075</v>
      </c>
      <c r="Q13" s="29">
        <f t="shared" si="12"/>
        <v>16809317.2148837</v>
      </c>
      <c r="R13" s="29">
        <f t="shared" si="12"/>
        <v>15281197.468076091</v>
      </c>
      <c r="S13" s="29">
        <f t="shared" si="12"/>
        <v>13891997.69825099</v>
      </c>
      <c r="T13" s="29">
        <f t="shared" si="12"/>
        <v>12629088.81659181</v>
      </c>
      <c r="U13" s="29">
        <f t="shared" si="12"/>
        <v>11480989.83326528</v>
      </c>
      <c r="V13" s="29">
        <f t="shared" si="12"/>
        <v>10437263.484786617</v>
      </c>
      <c r="W13" s="29">
        <f t="shared" si="12"/>
        <v>9488421.3498060163</v>
      </c>
      <c r="X13" s="29">
        <f t="shared" si="12"/>
        <v>8625837.5907327402</v>
      </c>
      <c r="Y13" s="29">
        <f t="shared" si="12"/>
        <v>7841670.5370297628</v>
      </c>
      <c r="Z13" s="29">
        <f t="shared" si="12"/>
        <v>7128791.3972997842</v>
      </c>
      <c r="AA13" s="29">
        <f t="shared" si="12"/>
        <v>6480719.4520907141</v>
      </c>
      <c r="AB13" s="29">
        <f t="shared" si="12"/>
        <v>5891563.1382642835</v>
      </c>
      <c r="AC13" s="29">
        <f>AC12/(1+$F$1)^AC6</f>
        <v>5355966.4893311672</v>
      </c>
      <c r="AD13" s="29">
        <f t="shared" ref="AD13:AG13" si="13">AD12/(1+$F$1)^AD6</f>
        <v>4869060.4448465146</v>
      </c>
      <c r="AE13" s="29">
        <f t="shared" si="13"/>
        <v>4426418.5862241043</v>
      </c>
      <c r="AF13" s="29">
        <f t="shared" si="13"/>
        <v>4024016.8965673675</v>
      </c>
      <c r="AG13" s="29">
        <f t="shared" si="13"/>
        <v>3658197.1786976061</v>
      </c>
      <c r="AH13" s="29">
        <f>AH12/(1+$F$1)^AH6</f>
        <v>3325633.7988160057</v>
      </c>
      <c r="AI13" s="29">
        <f>AI12/(1+$F$1)^AI6</f>
        <v>-1208104.6322332902</v>
      </c>
    </row>
    <row r="14" spans="2:35" x14ac:dyDescent="0.25">
      <c r="B14" s="21" t="s">
        <v>86</v>
      </c>
      <c r="C14" s="28">
        <f>C13</f>
        <v>-273183085.19</v>
      </c>
      <c r="D14" s="28">
        <f>C14+D13</f>
        <v>-521531344.45363635</v>
      </c>
      <c r="E14" s="28">
        <f t="shared" ref="E14:AB14" si="14">D14+E13</f>
        <v>-468776506.31314051</v>
      </c>
      <c r="F14" s="28">
        <f t="shared" si="14"/>
        <v>-420817562.54905337</v>
      </c>
      <c r="G14" s="28">
        <f t="shared" si="14"/>
        <v>-377218522.76351959</v>
      </c>
      <c r="H14" s="28">
        <f t="shared" si="14"/>
        <v>-337583032.04939801</v>
      </c>
      <c r="I14" s="28">
        <f t="shared" si="14"/>
        <v>-301550767.76383293</v>
      </c>
      <c r="J14" s="28">
        <f t="shared" si="14"/>
        <v>-268794163.86786467</v>
      </c>
      <c r="K14" s="28">
        <f t="shared" si="14"/>
        <v>-239015433.05334806</v>
      </c>
      <c r="L14" s="28">
        <f t="shared" si="14"/>
        <v>-211943859.58560571</v>
      </c>
      <c r="M14" s="28">
        <f t="shared" si="14"/>
        <v>-187333338.25129449</v>
      </c>
      <c r="N14" s="28">
        <f t="shared" si="14"/>
        <v>-164960137.03828427</v>
      </c>
      <c r="O14" s="28">
        <f t="shared" si="14"/>
        <v>-144620863.20827499</v>
      </c>
      <c r="P14" s="28">
        <f t="shared" si="14"/>
        <v>-126130614.27190292</v>
      </c>
      <c r="Q14" s="28">
        <f t="shared" si="14"/>
        <v>-109321297.05701922</v>
      </c>
      <c r="R14" s="28">
        <f t="shared" si="14"/>
        <v>-94040099.588943124</v>
      </c>
      <c r="S14" s="28">
        <f t="shared" si="14"/>
        <v>-80148101.89069213</v>
      </c>
      <c r="T14" s="28">
        <f t="shared" si="14"/>
        <v>-67519013.074100316</v>
      </c>
      <c r="U14" s="28">
        <f t="shared" si="14"/>
        <v>-56038023.240835033</v>
      </c>
      <c r="V14" s="28">
        <f t="shared" si="14"/>
        <v>-45600759.756048419</v>
      </c>
      <c r="W14" s="28">
        <f t="shared" si="14"/>
        <v>-36112338.4062424</v>
      </c>
      <c r="X14" s="28">
        <f t="shared" si="14"/>
        <v>-27486500.815509662</v>
      </c>
      <c r="Y14" s="28">
        <f t="shared" si="14"/>
        <v>-19644830.2784799</v>
      </c>
      <c r="Z14" s="28">
        <f t="shared" si="14"/>
        <v>-12516038.881180115</v>
      </c>
      <c r="AA14" s="28">
        <f t="shared" si="14"/>
        <v>-6035319.4290894009</v>
      </c>
      <c r="AB14" s="28">
        <f t="shared" si="14"/>
        <v>-143756.29082511738</v>
      </c>
      <c r="AC14" s="28">
        <f>AB14+AC13</f>
        <v>5212210.1985060498</v>
      </c>
      <c r="AD14" s="28">
        <f t="shared" ref="AD14:AI14" si="15">AC14+AD13</f>
        <v>10081270.643352564</v>
      </c>
      <c r="AE14" s="28">
        <f t="shared" si="15"/>
        <v>14507689.22957667</v>
      </c>
      <c r="AF14" s="28">
        <f t="shared" si="15"/>
        <v>18531706.126144037</v>
      </c>
      <c r="AG14" s="28">
        <f t="shared" si="15"/>
        <v>22189903.304841641</v>
      </c>
      <c r="AH14" s="28">
        <f t="shared" si="15"/>
        <v>25515537.103657648</v>
      </c>
      <c r="AI14" s="28">
        <f t="shared" si="15"/>
        <v>24307432.471424356</v>
      </c>
    </row>
    <row r="15" spans="2:35" x14ac:dyDescent="0.25">
      <c r="M15" t="s">
        <v>89</v>
      </c>
      <c r="N15">
        <f>ABS(M14/N13)</f>
        <v>8.3731128356526163</v>
      </c>
      <c r="S15" s="3"/>
      <c r="T15" s="3"/>
      <c r="U15" s="3"/>
      <c r="AI15" s="28"/>
    </row>
    <row r="16" spans="2:35" x14ac:dyDescent="0.25">
      <c r="E16" s="19"/>
      <c r="M16" t="s">
        <v>89</v>
      </c>
      <c r="N16" s="1">
        <f>N15*12</f>
        <v>100.4773540278314</v>
      </c>
      <c r="S16" s="3"/>
      <c r="T16" s="3"/>
      <c r="U16" s="3"/>
    </row>
    <row r="17" spans="2:35" x14ac:dyDescent="0.25">
      <c r="M17" t="s">
        <v>90</v>
      </c>
      <c r="N17" s="20">
        <f>(N7-E7)+N15</f>
        <v>17.373112835652616</v>
      </c>
      <c r="O17" t="s">
        <v>91</v>
      </c>
      <c r="S17" s="3"/>
      <c r="T17" s="34"/>
      <c r="U17" s="3"/>
    </row>
    <row r="18" spans="2:35" x14ac:dyDescent="0.25">
      <c r="B18" s="33" t="s">
        <v>88</v>
      </c>
      <c r="C18" s="31">
        <v>0</v>
      </c>
      <c r="D18" s="31">
        <v>1</v>
      </c>
      <c r="E18" s="31">
        <v>2</v>
      </c>
      <c r="F18" s="31">
        <v>3</v>
      </c>
      <c r="G18" s="31">
        <v>4</v>
      </c>
      <c r="H18" s="31">
        <v>5</v>
      </c>
      <c r="I18" s="31">
        <v>6</v>
      </c>
      <c r="J18" s="32">
        <v>7</v>
      </c>
      <c r="K18" s="31">
        <v>8</v>
      </c>
      <c r="L18" s="31">
        <v>9</v>
      </c>
      <c r="M18" s="31">
        <v>10</v>
      </c>
      <c r="N18" s="31">
        <v>11</v>
      </c>
      <c r="O18" s="31">
        <v>12</v>
      </c>
      <c r="P18" s="31">
        <v>13</v>
      </c>
      <c r="Q18" s="31">
        <v>14</v>
      </c>
      <c r="R18" s="31">
        <v>15</v>
      </c>
      <c r="S18" s="31">
        <v>16</v>
      </c>
      <c r="T18" s="31">
        <v>17</v>
      </c>
      <c r="U18" s="31">
        <v>18</v>
      </c>
      <c r="V18" s="31">
        <v>19</v>
      </c>
      <c r="W18" s="31">
        <v>20</v>
      </c>
      <c r="X18" s="31">
        <v>21</v>
      </c>
      <c r="Y18" s="31">
        <v>22</v>
      </c>
      <c r="Z18" s="31">
        <v>23</v>
      </c>
      <c r="AA18" s="31">
        <v>24</v>
      </c>
      <c r="AB18" s="31">
        <v>25</v>
      </c>
      <c r="AC18" s="31">
        <v>26</v>
      </c>
      <c r="AD18" s="31">
        <f>AD6</f>
        <v>27</v>
      </c>
      <c r="AE18" s="31">
        <f t="shared" ref="AE18:AI18" si="16">AE6</f>
        <v>28</v>
      </c>
      <c r="AF18" s="31">
        <f t="shared" si="16"/>
        <v>29</v>
      </c>
      <c r="AG18" s="31">
        <f t="shared" si="16"/>
        <v>30</v>
      </c>
      <c r="AH18" s="31">
        <f t="shared" si="16"/>
        <v>31</v>
      </c>
      <c r="AI18" s="31">
        <f t="shared" si="16"/>
        <v>32</v>
      </c>
    </row>
    <row r="19" spans="2:35" x14ac:dyDescent="0.25">
      <c r="B19" s="33" t="s">
        <v>87</v>
      </c>
      <c r="C19" s="31">
        <v>1</v>
      </c>
      <c r="D19" s="31">
        <v>2</v>
      </c>
      <c r="E19" s="31">
        <v>3</v>
      </c>
      <c r="F19" s="31">
        <v>4</v>
      </c>
      <c r="G19" s="31">
        <v>5</v>
      </c>
      <c r="H19" s="31">
        <v>6</v>
      </c>
      <c r="I19" s="31">
        <v>7</v>
      </c>
      <c r="J19" s="32">
        <v>8</v>
      </c>
      <c r="K19" s="31">
        <v>9</v>
      </c>
      <c r="L19" s="31">
        <v>10</v>
      </c>
      <c r="M19" s="31">
        <v>11</v>
      </c>
      <c r="N19" s="31">
        <v>12</v>
      </c>
      <c r="O19" s="31">
        <v>13</v>
      </c>
      <c r="P19" s="31">
        <v>14</v>
      </c>
      <c r="Q19" s="31">
        <v>15</v>
      </c>
      <c r="R19" s="31">
        <v>16</v>
      </c>
      <c r="S19" s="31">
        <v>17</v>
      </c>
      <c r="T19" s="31">
        <v>18</v>
      </c>
      <c r="U19" s="31">
        <v>19</v>
      </c>
      <c r="V19" s="31">
        <v>20</v>
      </c>
      <c r="W19" s="31">
        <v>21</v>
      </c>
      <c r="X19" s="31">
        <v>22</v>
      </c>
      <c r="Y19" s="31">
        <v>23</v>
      </c>
      <c r="Z19" s="31">
        <v>24</v>
      </c>
      <c r="AA19" s="31">
        <v>25</v>
      </c>
      <c r="AB19" s="31">
        <v>26</v>
      </c>
      <c r="AC19" s="31">
        <v>27</v>
      </c>
      <c r="AD19" s="31">
        <f>AD7</f>
        <v>28</v>
      </c>
      <c r="AE19" s="31">
        <f t="shared" ref="AE19:AI19" si="17">AE7</f>
        <v>29</v>
      </c>
      <c r="AF19" s="31">
        <f t="shared" si="17"/>
        <v>30</v>
      </c>
      <c r="AG19" s="31">
        <f t="shared" si="17"/>
        <v>31</v>
      </c>
      <c r="AH19" s="31">
        <f t="shared" si="17"/>
        <v>32</v>
      </c>
      <c r="AI19" s="31">
        <f t="shared" si="17"/>
        <v>33</v>
      </c>
    </row>
    <row r="20" spans="2:35" x14ac:dyDescent="0.25">
      <c r="B20" s="33" t="s">
        <v>77</v>
      </c>
      <c r="C20" s="30">
        <f>C8/1000000</f>
        <v>0</v>
      </c>
      <c r="D20" s="30">
        <f t="shared" ref="D20:AD26" si="18">D8/1000000</f>
        <v>0</v>
      </c>
      <c r="E20" s="30">
        <f t="shared" si="18"/>
        <v>70.823999999999998</v>
      </c>
      <c r="F20" s="30">
        <f t="shared" si="18"/>
        <v>70.823999999999998</v>
      </c>
      <c r="G20" s="30">
        <f t="shared" si="18"/>
        <v>70.823999999999998</v>
      </c>
      <c r="H20" s="30">
        <f t="shared" si="18"/>
        <v>70.823999999999998</v>
      </c>
      <c r="I20" s="30">
        <f t="shared" si="18"/>
        <v>70.823999999999998</v>
      </c>
      <c r="J20" s="30">
        <f t="shared" si="18"/>
        <v>70.823999999999998</v>
      </c>
      <c r="K20" s="30">
        <f t="shared" si="18"/>
        <v>70.823999999999998</v>
      </c>
      <c r="L20" s="30">
        <f t="shared" si="18"/>
        <v>70.823999999999998</v>
      </c>
      <c r="M20" s="30">
        <f t="shared" si="18"/>
        <v>70.823999999999998</v>
      </c>
      <c r="N20" s="30">
        <f t="shared" si="18"/>
        <v>70.823999999999998</v>
      </c>
      <c r="O20" s="30">
        <f t="shared" si="18"/>
        <v>70.823999999999998</v>
      </c>
      <c r="P20" s="30">
        <f t="shared" si="18"/>
        <v>70.823999999999998</v>
      </c>
      <c r="Q20" s="30">
        <f t="shared" si="18"/>
        <v>70.823999999999998</v>
      </c>
      <c r="R20" s="30">
        <f t="shared" si="18"/>
        <v>70.823999999999998</v>
      </c>
      <c r="S20" s="30">
        <f t="shared" si="18"/>
        <v>70.823999999999998</v>
      </c>
      <c r="T20" s="30">
        <f t="shared" si="18"/>
        <v>70.823999999999998</v>
      </c>
      <c r="U20" s="30">
        <f t="shared" si="18"/>
        <v>70.823999999999998</v>
      </c>
      <c r="V20" s="30">
        <f t="shared" si="18"/>
        <v>70.823999999999998</v>
      </c>
      <c r="W20" s="30">
        <f t="shared" si="18"/>
        <v>70.823999999999998</v>
      </c>
      <c r="X20" s="30">
        <f t="shared" si="18"/>
        <v>70.823999999999998</v>
      </c>
      <c r="Y20" s="30">
        <f t="shared" si="18"/>
        <v>70.823999999999998</v>
      </c>
      <c r="Z20" s="30">
        <f t="shared" si="18"/>
        <v>70.823999999999998</v>
      </c>
      <c r="AA20" s="30">
        <f t="shared" si="18"/>
        <v>70.823999999999998</v>
      </c>
      <c r="AB20" s="30">
        <f t="shared" si="18"/>
        <v>70.823999999999998</v>
      </c>
      <c r="AC20" s="30">
        <f t="shared" si="18"/>
        <v>70.823999999999998</v>
      </c>
      <c r="AD20" s="30">
        <f>AD8/1000000</f>
        <v>70.823999999999998</v>
      </c>
      <c r="AE20" s="30">
        <f t="shared" ref="AE20:AI20" si="19">AE8/1000000</f>
        <v>70.823999999999998</v>
      </c>
      <c r="AF20" s="30">
        <f t="shared" si="19"/>
        <v>70.823999999999998</v>
      </c>
      <c r="AG20" s="30">
        <f t="shared" si="19"/>
        <v>70.823999999999998</v>
      </c>
      <c r="AH20" s="30">
        <f t="shared" si="19"/>
        <v>70.823999999999998</v>
      </c>
      <c r="AI20" s="30">
        <f t="shared" si="19"/>
        <v>0</v>
      </c>
    </row>
    <row r="21" spans="2:35" x14ac:dyDescent="0.25">
      <c r="B21" s="33" t="s">
        <v>92</v>
      </c>
      <c r="C21" s="30">
        <f t="shared" ref="C21:R26" si="20">C9/1000000</f>
        <v>0</v>
      </c>
      <c r="D21" s="30">
        <f t="shared" si="20"/>
        <v>0</v>
      </c>
      <c r="E21" s="30">
        <f t="shared" si="20"/>
        <v>-6.9906458499999999</v>
      </c>
      <c r="F21" s="30">
        <f t="shared" si="20"/>
        <v>-6.9906458499999999</v>
      </c>
      <c r="G21" s="30">
        <f t="shared" si="20"/>
        <v>-6.9906458499999999</v>
      </c>
      <c r="H21" s="30">
        <f t="shared" si="20"/>
        <v>-6.9906458499999999</v>
      </c>
      <c r="I21" s="30">
        <f t="shared" si="20"/>
        <v>-6.9906458499999999</v>
      </c>
      <c r="J21" s="30">
        <f t="shared" si="20"/>
        <v>-6.9906458499999999</v>
      </c>
      <c r="K21" s="30">
        <f t="shared" si="20"/>
        <v>-6.9906458499999999</v>
      </c>
      <c r="L21" s="30">
        <f t="shared" si="20"/>
        <v>-6.9906458499999999</v>
      </c>
      <c r="M21" s="30">
        <f t="shared" si="20"/>
        <v>-6.9906458499999999</v>
      </c>
      <c r="N21" s="30">
        <f t="shared" si="20"/>
        <v>-6.9906458499999999</v>
      </c>
      <c r="O21" s="30">
        <f t="shared" si="20"/>
        <v>-6.9906458499999999</v>
      </c>
      <c r="P21" s="30">
        <f t="shared" si="20"/>
        <v>-6.9906458499999999</v>
      </c>
      <c r="Q21" s="30">
        <f t="shared" si="20"/>
        <v>-6.9906458499999999</v>
      </c>
      <c r="R21" s="30">
        <f t="shared" si="20"/>
        <v>-6.9906458499999999</v>
      </c>
      <c r="S21" s="30">
        <f t="shared" si="18"/>
        <v>-6.9906458499999999</v>
      </c>
      <c r="T21" s="30">
        <f t="shared" si="18"/>
        <v>-6.9906458499999999</v>
      </c>
      <c r="U21" s="30">
        <f t="shared" si="18"/>
        <v>-6.9906458499999999</v>
      </c>
      <c r="V21" s="30">
        <f t="shared" si="18"/>
        <v>-6.9906458499999999</v>
      </c>
      <c r="W21" s="30">
        <f t="shared" si="18"/>
        <v>-6.9906458499999999</v>
      </c>
      <c r="X21" s="30">
        <f t="shared" si="18"/>
        <v>-6.9906458499999999</v>
      </c>
      <c r="Y21" s="30">
        <f t="shared" si="18"/>
        <v>-6.9906458499999999</v>
      </c>
      <c r="Z21" s="30">
        <f t="shared" si="18"/>
        <v>-6.9906458499999999</v>
      </c>
      <c r="AA21" s="30">
        <f t="shared" si="18"/>
        <v>-6.9906458499999999</v>
      </c>
      <c r="AB21" s="30">
        <f t="shared" si="18"/>
        <v>-6.9906458499999999</v>
      </c>
      <c r="AC21" s="30">
        <f t="shared" si="18"/>
        <v>-6.9906458499999999</v>
      </c>
      <c r="AD21" s="30">
        <f t="shared" si="18"/>
        <v>-6.9906458499999999</v>
      </c>
      <c r="AE21" s="30">
        <f t="shared" ref="AE21:AI21" si="21">AE9/1000000</f>
        <v>-6.9906458499999999</v>
      </c>
      <c r="AF21" s="30">
        <f t="shared" si="21"/>
        <v>-6.9906458499999999</v>
      </c>
      <c r="AG21" s="30">
        <f t="shared" si="21"/>
        <v>-6.9906458499999999</v>
      </c>
      <c r="AH21" s="30">
        <f t="shared" si="21"/>
        <v>-6.9906458499999999</v>
      </c>
      <c r="AI21" s="30">
        <f t="shared" si="21"/>
        <v>-25.507651489999997</v>
      </c>
    </row>
    <row r="22" spans="2:35" x14ac:dyDescent="0.25">
      <c r="B22" s="33" t="s">
        <v>85</v>
      </c>
      <c r="C22" s="30">
        <f t="shared" si="20"/>
        <v>-273.18308518999999</v>
      </c>
      <c r="D22" s="30">
        <f t="shared" si="18"/>
        <v>-273.18308518999999</v>
      </c>
      <c r="E22" s="30">
        <f t="shared" si="18"/>
        <v>0</v>
      </c>
      <c r="F22" s="30">
        <f t="shared" si="18"/>
        <v>0</v>
      </c>
      <c r="G22" s="30">
        <f t="shared" si="18"/>
        <v>0</v>
      </c>
      <c r="H22" s="30">
        <f t="shared" si="18"/>
        <v>0</v>
      </c>
      <c r="I22" s="30">
        <f t="shared" si="18"/>
        <v>0</v>
      </c>
      <c r="J22" s="30">
        <f t="shared" si="18"/>
        <v>0</v>
      </c>
      <c r="K22" s="30">
        <f t="shared" si="18"/>
        <v>0</v>
      </c>
      <c r="L22" s="30">
        <f t="shared" si="18"/>
        <v>0</v>
      </c>
      <c r="M22" s="30">
        <f t="shared" si="18"/>
        <v>0</v>
      </c>
      <c r="N22" s="30">
        <f t="shared" si="18"/>
        <v>0</v>
      </c>
      <c r="O22" s="30">
        <f t="shared" si="18"/>
        <v>0</v>
      </c>
      <c r="P22" s="30">
        <f t="shared" si="18"/>
        <v>0</v>
      </c>
      <c r="Q22" s="30">
        <f t="shared" si="18"/>
        <v>0</v>
      </c>
      <c r="R22" s="30">
        <f t="shared" si="18"/>
        <v>0</v>
      </c>
      <c r="S22" s="30">
        <f t="shared" si="18"/>
        <v>0</v>
      </c>
      <c r="T22" s="30">
        <f t="shared" si="18"/>
        <v>0</v>
      </c>
      <c r="U22" s="30">
        <f t="shared" si="18"/>
        <v>0</v>
      </c>
      <c r="V22" s="30">
        <f t="shared" si="18"/>
        <v>0</v>
      </c>
      <c r="W22" s="30">
        <f t="shared" si="18"/>
        <v>0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0">
        <f t="shared" si="18"/>
        <v>0</v>
      </c>
      <c r="AC22" s="30">
        <f t="shared" si="18"/>
        <v>0</v>
      </c>
      <c r="AD22" s="30">
        <f t="shared" si="18"/>
        <v>0</v>
      </c>
      <c r="AE22" s="30">
        <f t="shared" ref="AE22:AI22" si="22">AE10/1000000</f>
        <v>0</v>
      </c>
      <c r="AF22" s="30">
        <f t="shared" si="22"/>
        <v>0</v>
      </c>
      <c r="AG22" s="30">
        <f t="shared" si="22"/>
        <v>0</v>
      </c>
      <c r="AH22" s="30">
        <f t="shared" si="22"/>
        <v>0</v>
      </c>
      <c r="AI22" s="30">
        <f t="shared" si="22"/>
        <v>0</v>
      </c>
    </row>
    <row r="23" spans="2:35" x14ac:dyDescent="0.25">
      <c r="B23" s="33" t="s">
        <v>94</v>
      </c>
      <c r="C23" s="30">
        <f t="shared" si="20"/>
        <v>0</v>
      </c>
      <c r="D23" s="30">
        <f t="shared" si="18"/>
        <v>0</v>
      </c>
      <c r="E23" s="30">
        <f t="shared" si="18"/>
        <v>0</v>
      </c>
      <c r="F23" s="30">
        <f t="shared" si="18"/>
        <v>0</v>
      </c>
      <c r="G23" s="30">
        <f t="shared" si="18"/>
        <v>0</v>
      </c>
      <c r="H23" s="30">
        <f t="shared" si="18"/>
        <v>0</v>
      </c>
      <c r="I23" s="30">
        <f t="shared" si="18"/>
        <v>0</v>
      </c>
      <c r="J23" s="30">
        <f t="shared" si="18"/>
        <v>0</v>
      </c>
      <c r="K23" s="30">
        <f t="shared" si="18"/>
        <v>0</v>
      </c>
      <c r="L23" s="30">
        <f t="shared" si="18"/>
        <v>0</v>
      </c>
      <c r="M23" s="30">
        <f t="shared" si="18"/>
        <v>0</v>
      </c>
      <c r="N23" s="30">
        <f t="shared" si="18"/>
        <v>0</v>
      </c>
      <c r="O23" s="30">
        <f t="shared" si="18"/>
        <v>0</v>
      </c>
      <c r="P23" s="30">
        <f t="shared" si="18"/>
        <v>0</v>
      </c>
      <c r="Q23" s="30">
        <f t="shared" si="18"/>
        <v>0</v>
      </c>
      <c r="R23" s="30">
        <f t="shared" si="18"/>
        <v>0</v>
      </c>
      <c r="S23" s="30">
        <f t="shared" si="18"/>
        <v>0</v>
      </c>
      <c r="T23" s="30">
        <f t="shared" si="18"/>
        <v>0</v>
      </c>
      <c r="U23" s="30">
        <f t="shared" si="18"/>
        <v>0</v>
      </c>
      <c r="V23" s="30">
        <f t="shared" si="18"/>
        <v>0</v>
      </c>
      <c r="W23" s="30">
        <f t="shared" si="18"/>
        <v>0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0">
        <f t="shared" si="18"/>
        <v>0</v>
      </c>
      <c r="AC23" s="30">
        <f t="shared" si="18"/>
        <v>0</v>
      </c>
      <c r="AD23" s="30">
        <f t="shared" si="18"/>
        <v>0</v>
      </c>
      <c r="AE23" s="30">
        <f t="shared" ref="AE23:AI23" si="23">AE11/1000000</f>
        <v>0</v>
      </c>
      <c r="AF23" s="30">
        <f t="shared" si="23"/>
        <v>0</v>
      </c>
      <c r="AG23" s="30">
        <f t="shared" si="23"/>
        <v>0</v>
      </c>
      <c r="AH23" s="30">
        <f t="shared" si="23"/>
        <v>0</v>
      </c>
      <c r="AI23" s="30">
        <f t="shared" si="23"/>
        <v>0</v>
      </c>
    </row>
    <row r="24" spans="2:35" x14ac:dyDescent="0.25">
      <c r="B24" s="33" t="s">
        <v>81</v>
      </c>
      <c r="C24" s="30">
        <f t="shared" si="20"/>
        <v>-273.18308518999999</v>
      </c>
      <c r="D24" s="30">
        <f t="shared" si="18"/>
        <v>-273.18308518999999</v>
      </c>
      <c r="E24" s="30">
        <f t="shared" si="18"/>
        <v>63.833354149999998</v>
      </c>
      <c r="F24" s="30">
        <f t="shared" si="18"/>
        <v>63.833354149999998</v>
      </c>
      <c r="G24" s="30">
        <f t="shared" si="18"/>
        <v>63.833354149999998</v>
      </c>
      <c r="H24" s="30">
        <f t="shared" si="18"/>
        <v>63.833354149999998</v>
      </c>
      <c r="I24" s="30">
        <f t="shared" si="18"/>
        <v>63.833354149999998</v>
      </c>
      <c r="J24" s="30">
        <f t="shared" si="18"/>
        <v>63.833354149999998</v>
      </c>
      <c r="K24" s="30">
        <f t="shared" si="18"/>
        <v>63.833354149999998</v>
      </c>
      <c r="L24" s="30">
        <f t="shared" si="18"/>
        <v>63.833354149999998</v>
      </c>
      <c r="M24" s="30">
        <f t="shared" si="18"/>
        <v>63.833354149999998</v>
      </c>
      <c r="N24" s="30">
        <f t="shared" si="18"/>
        <v>63.833354149999998</v>
      </c>
      <c r="O24" s="30">
        <f t="shared" si="18"/>
        <v>63.833354149999998</v>
      </c>
      <c r="P24" s="30">
        <f t="shared" si="18"/>
        <v>63.833354149999998</v>
      </c>
      <c r="Q24" s="30">
        <f t="shared" si="18"/>
        <v>63.833354149999998</v>
      </c>
      <c r="R24" s="30">
        <f t="shared" si="18"/>
        <v>63.833354149999998</v>
      </c>
      <c r="S24" s="30">
        <f t="shared" si="18"/>
        <v>63.833354149999998</v>
      </c>
      <c r="T24" s="30">
        <f t="shared" si="18"/>
        <v>63.833354149999998</v>
      </c>
      <c r="U24" s="30">
        <f t="shared" si="18"/>
        <v>63.833354149999998</v>
      </c>
      <c r="V24" s="30">
        <f t="shared" si="18"/>
        <v>63.833354149999998</v>
      </c>
      <c r="W24" s="30">
        <f t="shared" si="18"/>
        <v>63.833354149999998</v>
      </c>
      <c r="X24" s="30">
        <f t="shared" si="18"/>
        <v>63.833354149999998</v>
      </c>
      <c r="Y24" s="30">
        <f t="shared" si="18"/>
        <v>63.833354149999998</v>
      </c>
      <c r="Z24" s="30">
        <f t="shared" si="18"/>
        <v>63.833354149999998</v>
      </c>
      <c r="AA24" s="30">
        <f t="shared" si="18"/>
        <v>63.833354149999998</v>
      </c>
      <c r="AB24" s="30">
        <f t="shared" si="18"/>
        <v>63.833354149999998</v>
      </c>
      <c r="AC24" s="30">
        <f t="shared" si="18"/>
        <v>63.833354149999998</v>
      </c>
      <c r="AD24" s="30">
        <f t="shared" si="18"/>
        <v>63.833354149999998</v>
      </c>
      <c r="AE24" s="30">
        <f t="shared" ref="AE24:AI24" si="24">AE12/1000000</f>
        <v>63.833354149999998</v>
      </c>
      <c r="AF24" s="30">
        <f t="shared" si="24"/>
        <v>63.833354149999998</v>
      </c>
      <c r="AG24" s="30">
        <f t="shared" si="24"/>
        <v>63.833354149999998</v>
      </c>
      <c r="AH24" s="30">
        <f t="shared" si="24"/>
        <v>63.833354149999998</v>
      </c>
      <c r="AI24" s="30">
        <f t="shared" si="24"/>
        <v>-25.507651489999997</v>
      </c>
    </row>
    <row r="25" spans="2:35" x14ac:dyDescent="0.25">
      <c r="B25" s="33" t="s">
        <v>84</v>
      </c>
      <c r="C25" s="30">
        <f t="shared" si="20"/>
        <v>-273.18308518999999</v>
      </c>
      <c r="D25" s="30">
        <f t="shared" si="18"/>
        <v>-248.34825926363635</v>
      </c>
      <c r="E25" s="30">
        <f t="shared" si="18"/>
        <v>52.754838140495856</v>
      </c>
      <c r="F25" s="30">
        <f t="shared" si="18"/>
        <v>47.958943764087131</v>
      </c>
      <c r="G25" s="30">
        <f t="shared" si="18"/>
        <v>43.599039785533762</v>
      </c>
      <c r="H25" s="30">
        <f t="shared" si="18"/>
        <v>39.635490714121602</v>
      </c>
      <c r="I25" s="30">
        <f t="shared" si="18"/>
        <v>36.032264285565084</v>
      </c>
      <c r="J25" s="30">
        <f t="shared" si="18"/>
        <v>32.756603895968254</v>
      </c>
      <c r="K25" s="30">
        <f t="shared" si="18"/>
        <v>29.778730814516596</v>
      </c>
      <c r="L25" s="30">
        <f t="shared" si="18"/>
        <v>27.071573467742361</v>
      </c>
      <c r="M25" s="30">
        <f t="shared" si="18"/>
        <v>24.610521334311233</v>
      </c>
      <c r="N25" s="30">
        <f t="shared" si="18"/>
        <v>22.373201213010212</v>
      </c>
      <c r="O25" s="30">
        <f t="shared" si="18"/>
        <v>20.339273830009283</v>
      </c>
      <c r="P25" s="30">
        <f t="shared" si="18"/>
        <v>18.490248936372076</v>
      </c>
      <c r="Q25" s="30">
        <f t="shared" si="18"/>
        <v>16.809317214883698</v>
      </c>
      <c r="R25" s="30">
        <f t="shared" si="18"/>
        <v>15.28119746807609</v>
      </c>
      <c r="S25" s="30">
        <f t="shared" si="18"/>
        <v>13.891997698250991</v>
      </c>
      <c r="T25" s="30">
        <f t="shared" si="18"/>
        <v>12.62908881659181</v>
      </c>
      <c r="U25" s="30">
        <f t="shared" si="18"/>
        <v>11.48098983326528</v>
      </c>
      <c r="V25" s="30">
        <f t="shared" si="18"/>
        <v>10.437263484786616</v>
      </c>
      <c r="W25" s="30">
        <f t="shared" si="18"/>
        <v>9.4884213498060159</v>
      </c>
      <c r="X25" s="30">
        <f t="shared" si="18"/>
        <v>8.6258375907327398</v>
      </c>
      <c r="Y25" s="30">
        <f t="shared" si="18"/>
        <v>7.8416705370297626</v>
      </c>
      <c r="Z25" s="30">
        <f t="shared" si="18"/>
        <v>7.1287913972997838</v>
      </c>
      <c r="AA25" s="30">
        <f t="shared" si="18"/>
        <v>6.4807194520907139</v>
      </c>
      <c r="AB25" s="30">
        <f t="shared" si="18"/>
        <v>5.8915631382642832</v>
      </c>
      <c r="AC25" s="30">
        <f t="shared" si="18"/>
        <v>5.3559664893311671</v>
      </c>
      <c r="AD25" s="30">
        <f t="shared" si="18"/>
        <v>4.8690604448465145</v>
      </c>
      <c r="AE25" s="30">
        <f t="shared" ref="AE25:AI25" si="25">AE13/1000000</f>
        <v>4.4264185862241039</v>
      </c>
      <c r="AF25" s="30">
        <f t="shared" si="25"/>
        <v>4.0240168965673675</v>
      </c>
      <c r="AG25" s="30">
        <f t="shared" si="25"/>
        <v>3.658197178697606</v>
      </c>
      <c r="AH25" s="30">
        <f t="shared" si="25"/>
        <v>3.3256337988160056</v>
      </c>
      <c r="AI25" s="30">
        <f t="shared" si="25"/>
        <v>-1.2081046322332902</v>
      </c>
    </row>
    <row r="26" spans="2:35" x14ac:dyDescent="0.25">
      <c r="B26" s="33" t="s">
        <v>93</v>
      </c>
      <c r="C26" s="30">
        <f t="shared" si="20"/>
        <v>-273.18308518999999</v>
      </c>
      <c r="D26" s="30">
        <f t="shared" si="18"/>
        <v>-521.53134445363639</v>
      </c>
      <c r="E26" s="30">
        <f t="shared" si="18"/>
        <v>-468.77650631314049</v>
      </c>
      <c r="F26" s="30">
        <f t="shared" si="18"/>
        <v>-420.81756254905338</v>
      </c>
      <c r="G26" s="30">
        <f t="shared" si="18"/>
        <v>-377.21852276351956</v>
      </c>
      <c r="H26" s="30">
        <f t="shared" si="18"/>
        <v>-337.58303204939801</v>
      </c>
      <c r="I26" s="30">
        <f t="shared" si="18"/>
        <v>-301.55076776383294</v>
      </c>
      <c r="J26" s="30">
        <f t="shared" si="18"/>
        <v>-268.79416386786465</v>
      </c>
      <c r="K26" s="30">
        <f t="shared" si="18"/>
        <v>-239.01543305334806</v>
      </c>
      <c r="L26" s="30">
        <f t="shared" si="18"/>
        <v>-211.94385958560571</v>
      </c>
      <c r="M26" s="30">
        <f t="shared" si="18"/>
        <v>-187.33333825129449</v>
      </c>
      <c r="N26" s="30">
        <f t="shared" si="18"/>
        <v>-164.96013703828427</v>
      </c>
      <c r="O26" s="30">
        <f t="shared" si="18"/>
        <v>-144.62086320827498</v>
      </c>
      <c r="P26" s="30">
        <f t="shared" si="18"/>
        <v>-126.13061427190291</v>
      </c>
      <c r="Q26" s="30">
        <f t="shared" si="18"/>
        <v>-109.32129705701922</v>
      </c>
      <c r="R26" s="30">
        <f t="shared" si="18"/>
        <v>-94.040099588943121</v>
      </c>
      <c r="S26" s="30">
        <f t="shared" si="18"/>
        <v>-80.148101890692132</v>
      </c>
      <c r="T26" s="30">
        <f t="shared" si="18"/>
        <v>-67.519013074100314</v>
      </c>
      <c r="U26" s="30">
        <f t="shared" si="18"/>
        <v>-56.038023240835031</v>
      </c>
      <c r="V26" s="30">
        <f t="shared" si="18"/>
        <v>-45.600759756048419</v>
      </c>
      <c r="W26" s="30">
        <f t="shared" si="18"/>
        <v>-36.112338406242401</v>
      </c>
      <c r="X26" s="30">
        <f t="shared" si="18"/>
        <v>-27.486500815509661</v>
      </c>
      <c r="Y26" s="30">
        <f t="shared" si="18"/>
        <v>-19.644830278479901</v>
      </c>
      <c r="Z26" s="30">
        <f t="shared" si="18"/>
        <v>-12.516038881180116</v>
      </c>
      <c r="AA26" s="30">
        <f t="shared" si="18"/>
        <v>-6.0353194290894008</v>
      </c>
      <c r="AB26" s="30">
        <f t="shared" si="18"/>
        <v>-0.14375629082511737</v>
      </c>
      <c r="AC26" s="30">
        <f t="shared" si="18"/>
        <v>5.2122101985060496</v>
      </c>
      <c r="AD26" s="30">
        <f t="shared" si="18"/>
        <v>10.081270643352564</v>
      </c>
      <c r="AE26" s="30">
        <f t="shared" ref="AE26:AI26" si="26">AE14/1000000</f>
        <v>14.50768922957667</v>
      </c>
      <c r="AF26" s="30">
        <f t="shared" si="26"/>
        <v>18.531706126144037</v>
      </c>
      <c r="AG26" s="30">
        <f t="shared" si="26"/>
        <v>22.189903304841643</v>
      </c>
      <c r="AH26" s="30">
        <f t="shared" si="26"/>
        <v>25.51553710365765</v>
      </c>
      <c r="AI26" s="30">
        <f t="shared" si="26"/>
        <v>24.307432471424356</v>
      </c>
    </row>
    <row r="30" spans="2:35" ht="15.75" thickBot="1" x14ac:dyDescent="0.3"/>
    <row r="31" spans="2:35" ht="16.5" thickBot="1" x14ac:dyDescent="0.3">
      <c r="I31" s="35" t="s">
        <v>95</v>
      </c>
      <c r="J31" s="36" t="s">
        <v>96</v>
      </c>
      <c r="K31" s="36" t="s">
        <v>97</v>
      </c>
      <c r="L31" s="36" t="s">
        <v>98</v>
      </c>
    </row>
    <row r="32" spans="2:35" ht="16.5" thickBot="1" x14ac:dyDescent="0.3">
      <c r="I32" s="41"/>
      <c r="J32" s="42" t="s">
        <v>101</v>
      </c>
      <c r="K32" s="43" t="s">
        <v>100</v>
      </c>
      <c r="L32" s="47">
        <f t="shared" ref="L32:L38" si="27">M32/1000000</f>
        <v>546.36617037999997</v>
      </c>
      <c r="M32" s="48">
        <v>546366170.38</v>
      </c>
      <c r="N32" t="s">
        <v>70</v>
      </c>
    </row>
    <row r="33" spans="9:14" ht="16.5" thickBot="1" x14ac:dyDescent="0.3">
      <c r="I33" s="37"/>
      <c r="J33" s="38" t="s">
        <v>99</v>
      </c>
      <c r="K33" s="39" t="s">
        <v>100</v>
      </c>
      <c r="L33" s="47">
        <f t="shared" si="27"/>
        <v>401.88626772000003</v>
      </c>
      <c r="M33" s="46">
        <v>401886267.72000003</v>
      </c>
      <c r="N33" t="s">
        <v>107</v>
      </c>
    </row>
    <row r="34" spans="9:14" ht="16.5" thickBot="1" x14ac:dyDescent="0.3">
      <c r="I34" s="37"/>
      <c r="J34" s="40"/>
      <c r="K34" s="39" t="s">
        <v>100</v>
      </c>
      <c r="L34" s="47">
        <f t="shared" si="27"/>
        <v>63.554539479999995</v>
      </c>
      <c r="M34" s="46">
        <v>63554539.479999997</v>
      </c>
      <c r="N34" t="s">
        <v>108</v>
      </c>
    </row>
    <row r="35" spans="9:14" ht="16.5" thickBot="1" x14ac:dyDescent="0.3">
      <c r="I35" s="37"/>
      <c r="J35" s="40"/>
      <c r="K35" s="39" t="s">
        <v>100</v>
      </c>
      <c r="L35" s="47">
        <f t="shared" si="27"/>
        <v>40.471568179999998</v>
      </c>
      <c r="M35" s="46">
        <v>40471568.18</v>
      </c>
      <c r="N35" t="s">
        <v>103</v>
      </c>
    </row>
    <row r="36" spans="9:14" ht="16.5" thickBot="1" x14ac:dyDescent="0.3">
      <c r="I36" s="37"/>
      <c r="J36" s="40"/>
      <c r="K36" s="39" t="s">
        <v>100</v>
      </c>
      <c r="L36" s="47">
        <f t="shared" si="27"/>
        <v>23.241257059999999</v>
      </c>
      <c r="M36" s="46">
        <v>23241257.059999999</v>
      </c>
      <c r="N36" t="s">
        <v>109</v>
      </c>
    </row>
    <row r="37" spans="9:14" ht="16.5" thickBot="1" x14ac:dyDescent="0.3">
      <c r="I37" s="37"/>
      <c r="J37" s="40"/>
      <c r="K37" s="39" t="s">
        <v>100</v>
      </c>
      <c r="L37" s="47">
        <f t="shared" si="27"/>
        <v>14.680147949999999</v>
      </c>
      <c r="M37" s="46">
        <v>14680147.949999999</v>
      </c>
      <c r="N37" t="s">
        <v>110</v>
      </c>
    </row>
    <row r="38" spans="9:14" ht="16.5" thickBot="1" x14ac:dyDescent="0.3">
      <c r="I38" s="37"/>
      <c r="J38" s="40"/>
      <c r="K38" s="39" t="s">
        <v>100</v>
      </c>
      <c r="L38" s="47">
        <f t="shared" si="27"/>
        <v>2.5323899999999999</v>
      </c>
      <c r="M38" s="46">
        <v>2532390</v>
      </c>
      <c r="N38" t="s">
        <v>111</v>
      </c>
    </row>
    <row r="40" spans="9:14" x14ac:dyDescent="0.25">
      <c r="J40">
        <f>18125*120</f>
        <v>2175000</v>
      </c>
    </row>
    <row r="41" spans="9:14" ht="15.75" thickBot="1" x14ac:dyDescent="0.3"/>
    <row r="42" spans="9:14" ht="16.5" thickBot="1" x14ac:dyDescent="0.3">
      <c r="I42" s="44" t="s">
        <v>95</v>
      </c>
      <c r="J42" s="45" t="s">
        <v>96</v>
      </c>
      <c r="K42" s="45" t="s">
        <v>97</v>
      </c>
      <c r="L42" s="45" t="s">
        <v>98</v>
      </c>
    </row>
    <row r="43" spans="9:14" ht="16.5" thickBot="1" x14ac:dyDescent="0.3">
      <c r="I43" s="41"/>
      <c r="J43" s="42" t="s">
        <v>101</v>
      </c>
      <c r="K43" s="43" t="s">
        <v>100</v>
      </c>
      <c r="L43" s="47">
        <f>M43/1000000</f>
        <v>6.9906458499999999</v>
      </c>
      <c r="M43" s="48">
        <v>6990645.8499999996</v>
      </c>
      <c r="N43" t="s">
        <v>71</v>
      </c>
    </row>
    <row r="44" spans="9:14" ht="16.5" thickBot="1" x14ac:dyDescent="0.3">
      <c r="I44" s="37"/>
      <c r="J44" s="40"/>
      <c r="K44" s="39" t="s">
        <v>100</v>
      </c>
      <c r="L44" s="47">
        <f>M44/1000000</f>
        <v>5.91347369</v>
      </c>
      <c r="M44" s="46">
        <v>5913473.6900000004</v>
      </c>
      <c r="N44" t="s">
        <v>105</v>
      </c>
    </row>
    <row r="45" spans="9:14" ht="16.5" thickBot="1" x14ac:dyDescent="0.3">
      <c r="I45" s="41"/>
      <c r="J45" s="38" t="s">
        <v>102</v>
      </c>
      <c r="K45" s="39" t="s">
        <v>100</v>
      </c>
      <c r="L45" s="47">
        <f>M45/1000000</f>
        <v>1.02226927</v>
      </c>
      <c r="M45" s="46">
        <v>1022269.27</v>
      </c>
      <c r="N45" t="s">
        <v>104</v>
      </c>
    </row>
    <row r="46" spans="9:14" ht="16.5" thickBot="1" x14ac:dyDescent="0.3">
      <c r="I46" s="37"/>
      <c r="J46" s="40"/>
      <c r="K46" s="39" t="s">
        <v>100</v>
      </c>
      <c r="L46" s="47">
        <f>M46/1000000</f>
        <v>5.4902890000000003E-2</v>
      </c>
      <c r="M46" s="46">
        <v>54902.89</v>
      </c>
      <c r="N46" t="s">
        <v>106</v>
      </c>
    </row>
    <row r="51" spans="4:5" x14ac:dyDescent="0.25">
      <c r="D51" t="s">
        <v>117</v>
      </c>
      <c r="E51" s="23">
        <v>0.15616666666666668</v>
      </c>
    </row>
    <row r="52" spans="4:5" x14ac:dyDescent="0.25">
      <c r="D52" t="s">
        <v>116</v>
      </c>
      <c r="E52" s="23">
        <v>2.2499999999999999E-2</v>
      </c>
    </row>
    <row r="53" spans="4:5" x14ac:dyDescent="0.25">
      <c r="D53" t="s">
        <v>115</v>
      </c>
      <c r="E53" s="52">
        <v>0.3</v>
      </c>
    </row>
    <row r="54" spans="4:5" x14ac:dyDescent="0.25">
      <c r="D54" t="s">
        <v>113</v>
      </c>
      <c r="E54" s="52">
        <v>0.6</v>
      </c>
    </row>
    <row r="55" spans="4:5" x14ac:dyDescent="0.25">
      <c r="D55" t="s">
        <v>114</v>
      </c>
      <c r="E55" s="52">
        <v>0.4</v>
      </c>
    </row>
    <row r="57" spans="4:5" x14ac:dyDescent="0.25">
      <c r="D57" t="s">
        <v>118</v>
      </c>
      <c r="E57" s="23">
        <f>E54*E51+E55*E52*(1-E53)</f>
        <v>0.1</v>
      </c>
    </row>
    <row r="58" spans="4:5" x14ac:dyDescent="0.25">
      <c r="D58" t="s">
        <v>119</v>
      </c>
      <c r="E58" s="52">
        <v>0.1</v>
      </c>
    </row>
    <row r="59" spans="4:5" x14ac:dyDescent="0.25">
      <c r="D59" t="s">
        <v>120</v>
      </c>
      <c r="E59" s="53">
        <f>E58-E57</f>
        <v>0</v>
      </c>
    </row>
  </sheetData>
  <sortState ref="I43:M46">
    <sortCondition descending="1" ref="L4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Blad1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Lugas Raka</dc:creator>
  <cp:lastModifiedBy>lukas lindeman</cp:lastModifiedBy>
  <dcterms:created xsi:type="dcterms:W3CDTF">2017-02-20T10:23:07Z</dcterms:created>
  <dcterms:modified xsi:type="dcterms:W3CDTF">2017-03-11T14:02:19Z</dcterms:modified>
</cp:coreProperties>
</file>