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Mixer" sheetId="7" r:id="rId7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Dist!$1:$26</definedName>
    <definedName name="_F1B_VisibleRowsRange" localSheetId="0" hidden="1">Input!$1:$20</definedName>
    <definedName name="_F1B_VisibleRowsRange" localSheetId="1" hidden="1">Output!$1:$26</definedName>
    <definedName name="_F1B_VisibleRowsRange" localSheetId="5" hidden="1">Tank!$1:$26</definedName>
    <definedName name="_Flag_EnergyUnit" hidden="1">"kWh"</definedName>
    <definedName name="_Flag_ExternalReferencesUpdated" hidden="1">1</definedName>
    <definedName name="_Flag_HSC_Div0Updated" hidden="1">"1"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<sst xmlns="http://schemas.openxmlformats.org/spreadsheetml/2006/main" count="980" uniqueCount="238">
  <si>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</si>
  <si>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</si>
  <si>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</si>
  <si>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</si>
  <si>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</si>
  <si>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</si>
  <si>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</si>
  <si>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</si>
  <si>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</si>
  <si>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</si>
  <si>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</si>
  <si>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</si>
  <si>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</si>
  <si>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</si>
  <si>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</si>
  <si>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</si>
  <si>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</si>
  <si>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</si>
  <si>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</si>
  <si>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</si>
  <si>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</si>
  <si>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</si>
  <si>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</si>
  <si>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</si>
  <si>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</si>
  <si>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</si>
  <si>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</si>
  <si>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</si>
  <si>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</si>
  <si>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</si>
  <si>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</si>
  <si>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</si>
  <si>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</si>
  <si>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</si>
  <si>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</si>
  <si>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</si>
  <si>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</si>
  <si>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</si>
  <si>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</si>
  <si>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</si>
  <si>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</si>
  <si>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</si>
  <si>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</si>
  <si>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</si>
  <si>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</si>
  <si>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</si>
  <si>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</si>
  <si>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</si>
  <si>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</si>
  <si>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</si>
  <si>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</si>
  <si>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</si>
  <si>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</si>
  <si>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</si>
  <si>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</si>
  <si>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</si>
  <si>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</si>
  <si>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</si>
  <si>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</si>
  <si>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</si>
  <si>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</si>
  <si>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</si>
  <si>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</si>
  <si>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</si>
  <si>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</si>
  <si>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</si>
  <si>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</si>
  <si>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</si>
  <si>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</si>
  <si>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</si>
  <si>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</si>
  <si>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</si>
  <si>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</si>
  <si>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</si>
  <si>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</si>
  <si>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</si>
  <si>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</si>
  <si>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</si>
  <si>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</si>
  <si>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</si>
  <si>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</si>
  <si>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</si>
  <si>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</si>
  <si>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</si>
  <si>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</si>
  <si>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</si>
  <si>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</si>
  <si>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</si>
  <si>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</si>
  <si>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</si>
  <si>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</si>
  <si>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</si>
  <si>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</si>
  <si>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</si>
  <si>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</si>
  <si>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</si>
  <si>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</si>
  <si>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</si>
  <si>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</si>
  <si>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</si>
  <si>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</si>
  <si>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</si>
  <si>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</si>
  <si>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</si>
  <si>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</si>
  <si>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</si>
  <si>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</si>
  <si>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</si>
  <si>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</si>
  <si>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</si>
  <si>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</si>
  <si>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</si>
  <si>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</si>
  <si>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</si>
  <si>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</si>
  <si>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</si>
  <si>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</si>
  <si>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</si>
  <si>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</si>
  <si>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</si>
  <si>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</si>
  <si>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</si>
  <si>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</si>
  <si>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</si>
  <si>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</si>
  <si>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</si>
  <si>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</si>
  <si>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</si>
  <si>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</si>
  <si>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</si>
  <si>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</si>
  <si>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</si>
  <si>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</si>
  <si>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</si>
  <si>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</si>
  <si>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</si>
  <si>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</si>
  <si>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</si>
  <si>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</si>
  <si>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</si>
  <si>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</si>
  <si>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</si>
  <si>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</si>
  <si>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</si>
  <si>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</si>
  <si>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</si>
  <si>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</si>
  <si>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</si>
  <si>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</si>
  <si>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</si>
  <si>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</si>
  <si>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</si>
  <si>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</si>
  <si>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</si>
  <si>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</si>
  <si>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</si>
  <si>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</si>
  <si>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</si>
  <si>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</si>
  <si>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</si>
  <si>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</si>
  <si>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</si>
  <si>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</si>
  <si>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</si>
  <si>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</si>
  <si>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</si>
  <si>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</si>
  <si>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</si>
  <si>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</si>
  <si>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</si>
  <si>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</si>
  <si>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</si>
  <si>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</si>
  <si>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</si>
  <si>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</si>
  <si>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</si>
  <si>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</si>
  <si>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</si>
  <si>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</si>
  <si>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</si>
  <si>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</si>
  <si>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</si>
  <si>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</si>
  <si>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</si>
  <si>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</si>
  <si>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</si>
  <si>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</si>
  <si>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</si>
  <si>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35215</t>
  </si>
  <si>
    <t>Off gas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</si>
  <si>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</si>
  <si>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</si>
  <si>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</si>
  <si>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</si>
  <si>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</si>
  <si>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</si>
  <si>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</si>
  <si>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</si>
  <si>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</si>
  <si>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</si>
  <si>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</si>
  <si>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53061</t>
  </si>
  <si>
    <t>Stack gas</t>
  </si>
  <si>
    <t>!CO(g)</t>
  </si>
  <si>
    <t>CO(g)</t>
  </si>
  <si>
    <t>C|O|QWE</t>
  </si>
  <si>
    <t>CO2(g)</t>
  </si>
  <si>
    <t>!CO2(g)</t>
  </si>
  <si>
    <t>H2O(g)</t>
  </si>
  <si>
    <t>H|O|QWE</t>
  </si>
  <si>
    <t>!H2O(g)</t>
  </si>
  <si>
    <t>H2(g)</t>
  </si>
  <si>
    <t>H|QWE</t>
  </si>
  <si>
    <t>!H2(g)</t>
  </si>
  <si>
    <t>N2(g)</t>
  </si>
  <si>
    <t>N|QWE</t>
  </si>
  <si>
    <t>!N2(g)</t>
  </si>
  <si>
    <t>NO2(g)</t>
  </si>
  <si>
    <t>N|O|QWE</t>
  </si>
  <si>
    <t>!NO2(g)</t>
  </si>
  <si>
    <t>NO(g)</t>
  </si>
  <si>
    <t>!NO(g)</t>
  </si>
  <si>
    <t>O2(g)</t>
  </si>
  <si>
    <t>O|QWE</t>
  </si>
  <si>
    <t>!O2(g)</t>
  </si>
  <si>
    <t>vol-%</t>
  </si>
  <si>
    <t>WARNINGS</t>
  </si>
  <si>
    <t>X</t>
  </si>
  <si>
    <t>Output Streams</t>
  </si>
  <si>
    <t>Input Streams</t>
  </si>
  <si>
    <t>Total %</t>
  </si>
  <si>
    <t>!HEAT FLOW</t>
  </si>
  <si>
    <t>ID 36660</t>
  </si>
  <si>
    <t>Inert</t>
  </si>
  <si>
    <t>Heat loss</t>
  </si>
  <si>
    <t>HF</t>
  </si>
  <si>
    <t>HEAT FLOW</t>
  </si>
  <si>
    <t>MIXER</t>
  </si>
</sst>
</file>

<file path=xl/styles.xml><?xml version="1.0" encoding="utf-8"?>
<styleSheet xmlns="http://schemas.openxmlformats.org/spreadsheetml/2006/main">
  <numFmts count="2">
    <numFmt numFmtId="164" formatCode="#\ ##0.00"/>
    <numFmt numFmtId="165" formatCode="##0.00%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8"/>
      <color theme="1"/>
      <name val="Tahoma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9F0D9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3" fillId="4" borderId="0" xfId="0" applyNumberFormat="1" applyFont="1" applyFill="1" applyAlignment="1" applyProtection="1">
      <alignment horizontal="right"/>
    </xf>
    <xf numFmtId="164" fontId="1" fillId="5" borderId="1" xfId="0" applyNumberFormat="1" applyFont="1" applyFill="1" applyBorder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5" borderId="2" xfId="0" applyNumberFormat="1" applyFont="1" applyFill="1" applyBorder="1" applyProtection="1"/>
    <xf numFmtId="164" fontId="1" fillId="6" borderId="3" xfId="0" applyNumberFormat="1" applyFont="1" applyFill="1" applyBorder="1" applyProtection="1"/>
    <xf numFmtId="164" fontId="1" fillId="5" borderId="3" xfId="0" applyNumberFormat="1" applyFont="1" applyFill="1" applyBorder="1" applyProtection="1"/>
    <xf numFmtId="164" fontId="3" fillId="4" borderId="3" xfId="0" applyNumberFormat="1" applyFont="1" applyFill="1" applyBorder="1" applyAlignment="1" applyProtection="1"/>
    <xf numFmtId="164" fontId="1" fillId="7" borderId="0" xfId="0" applyNumberFormat="1" applyFont="1" applyFill="1" applyProtection="1"/>
    <xf numFmtId="164" fontId="0" fillId="4" borderId="3" xfId="0" applyNumberFormat="1" applyFill="1" applyBorder="1" applyAlignment="1" applyProtection="1"/>
    <xf numFmtId="164" fontId="0" fillId="4" borderId="4" xfId="0" applyNumberFormat="1" applyFill="1" applyBorder="1" applyAlignment="1" applyProtection="1"/>
    <xf numFmtId="164" fontId="1" fillId="5" borderId="5" xfId="0" applyNumberFormat="1" applyFont="1" applyFill="1" applyBorder="1" applyProtection="1"/>
    <xf numFmtId="0" fontId="1" fillId="2" borderId="3" xfId="0" applyFont="1" applyFill="1" applyBorder="1" applyAlignment="1" applyProtection="1"/>
    <xf numFmtId="164" fontId="1" fillId="7" borderId="3" xfId="0" applyNumberFormat="1" applyFont="1" applyFill="1" applyBorder="1" applyProtection="1"/>
    <xf numFmtId="164" fontId="1" fillId="6" borderId="0" xfId="0" applyNumberFormat="1" applyFont="1" applyFill="1" applyProtection="1"/>
    <xf numFmtId="164" fontId="1" fillId="7" borderId="0" xfId="0" applyNumberFormat="1" applyFont="1" applyFill="1" applyBorder="1" applyAlignment="1" applyProtection="1">
      <alignment horizontal="right"/>
    </xf>
    <xf numFmtId="0" fontId="2" fillId="8" borderId="1" xfId="0" applyFont="1" applyFill="1" applyBorder="1" applyAlignment="1" applyProtection="1">
      <alignment horizontal="center"/>
    </xf>
    <xf numFmtId="164" fontId="1" fillId="5" borderId="0" xfId="0" applyNumberFormat="1" applyFont="1" applyFill="1" applyProtection="1"/>
    <xf numFmtId="164" fontId="1" fillId="6" borderId="0" xfId="0" applyNumberFormat="1" applyFont="1" applyFill="1" applyBorder="1" applyProtection="1"/>
    <xf numFmtId="164" fontId="2" fillId="5" borderId="1" xfId="0" applyNumberFormat="1" applyFont="1" applyFill="1" applyBorder="1" applyProtection="1"/>
    <xf numFmtId="0" fontId="2" fillId="8" borderId="1" xfId="0" applyFont="1" applyFill="1" applyBorder="1" applyAlignment="1" applyProtection="1"/>
    <xf numFmtId="164" fontId="1" fillId="5" borderId="1" xfId="0" applyNumberFormat="1" applyFont="1" applyFill="1" applyBorder="1" applyProtection="1"/>
    <xf numFmtId="0" fontId="2" fillId="8" borderId="5" xfId="0" applyFont="1" applyFill="1" applyBorder="1" applyAlignment="1" applyProtection="1"/>
    <xf numFmtId="164" fontId="1" fillId="5" borderId="6" xfId="0" applyNumberFormat="1" applyFont="1" applyFill="1" applyBorder="1" applyProtection="1"/>
    <xf numFmtId="164" fontId="1" fillId="5" borderId="0" xfId="0" applyNumberFormat="1" applyFont="1" applyFill="1" applyAlignment="1" applyProtection="1">
      <alignment horizontal="right"/>
    </xf>
    <xf numFmtId="164" fontId="4" fillId="3" borderId="0" xfId="0" applyNumberFormat="1" applyFont="1" applyFill="1" applyAlignment="1" applyProtection="1">
      <alignment horizontal="right"/>
    </xf>
    <xf numFmtId="0" fontId="0" fillId="3" borderId="0" xfId="0" applyFont="1" applyFill="1" applyBorder="1" applyProtection="1"/>
    <xf numFmtId="164" fontId="0" fillId="3" borderId="0" xfId="0" applyNumberFormat="1" applyFill="1" applyAlignment="1" applyProtection="1">
      <alignment horizontal="right"/>
    </xf>
    <xf numFmtId="164" fontId="1" fillId="7" borderId="3" xfId="0" applyNumberFormat="1" applyFont="1" applyFill="1" applyBorder="1" applyAlignment="1" applyProtection="1">
      <alignment horizontal="right"/>
    </xf>
    <xf numFmtId="164" fontId="0" fillId="3" borderId="7" xfId="0" applyNumberFormat="1" applyFill="1" applyBorder="1" applyAlignment="1" applyProtection="1">
      <alignment horizontal="right"/>
    </xf>
    <xf numFmtId="164" fontId="3" fillId="4" borderId="0" xfId="0" applyNumberFormat="1" applyFont="1" applyFill="1" applyAlignment="1" applyProtection="1"/>
    <xf numFmtId="164" fontId="1" fillId="7" borderId="0" xfId="0" applyNumberFormat="1" applyFont="1" applyFill="1" applyBorder="1" applyProtection="1"/>
    <xf numFmtId="164" fontId="1" fillId="5" borderId="6" xfId="0" applyNumberFormat="1" applyFont="1" applyFill="1" applyBorder="1" applyAlignment="1" applyProtection="1">
      <alignment horizontal="right"/>
    </xf>
    <xf numFmtId="164" fontId="1" fillId="7" borderId="8" xfId="0" applyNumberFormat="1" applyFont="1" applyFill="1" applyBorder="1" applyProtection="1"/>
    <xf numFmtId="164" fontId="0" fillId="4" borderId="7" xfId="0" applyNumberFormat="1" applyFill="1" applyBorder="1" applyAlignment="1" applyProtection="1"/>
    <xf numFmtId="164" fontId="0" fillId="4" borderId="0" xfId="0" applyNumberFormat="1" applyFill="1" applyAlignment="1" applyProtection="1"/>
    <xf numFmtId="0" fontId="0" fillId="4" borderId="2" xfId="0" applyFont="1" applyFill="1" applyBorder="1" applyProtection="1"/>
    <xf numFmtId="0" fontId="0" fillId="4" borderId="3" xfId="0" applyFont="1" applyFill="1" applyBorder="1" applyProtection="1"/>
    <xf numFmtId="164" fontId="2" fillId="7" borderId="1" xfId="0" applyNumberFormat="1" applyFont="1" applyFill="1" applyBorder="1" applyProtection="1"/>
    <xf numFmtId="0" fontId="1" fillId="3" borderId="0" xfId="0" applyFont="1" applyFill="1" applyAlignment="1" applyProtection="1"/>
    <xf numFmtId="164" fontId="1" fillId="7" borderId="9" xfId="0" applyNumberFormat="1" applyFont="1" applyFill="1" applyBorder="1" applyProtection="1"/>
    <xf numFmtId="164" fontId="1" fillId="7" borderId="2" xfId="0" applyNumberFormat="1" applyFont="1" applyFill="1" applyBorder="1" applyAlignment="1" applyProtection="1">
      <alignment horizontal="right"/>
    </xf>
    <xf numFmtId="164" fontId="1" fillId="7" borderId="2" xfId="0" applyNumberFormat="1" applyFont="1" applyFill="1" applyBorder="1" applyProtection="1"/>
    <xf numFmtId="165" fontId="1" fillId="5" borderId="0" xfId="0" applyNumberFormat="1" applyFont="1" applyFill="1" applyProtection="1"/>
    <xf numFmtId="164" fontId="1" fillId="7" borderId="1" xfId="0" applyNumberFormat="1" applyFont="1" applyFill="1" applyBorder="1" applyProtection="1"/>
    <xf numFmtId="0" fontId="1" fillId="2" borderId="0" xfId="0" applyFont="1" applyFill="1" applyAlignment="1" applyProtection="1"/>
    <xf numFmtId="0" fontId="0" fillId="6" borderId="3" xfId="0" applyFont="1" applyFill="1" applyBorder="1" applyProtection="1"/>
    <xf numFmtId="0" fontId="2" fillId="2" borderId="3" xfId="0" applyFont="1" applyFill="1" applyBorder="1" applyAlignment="1" applyProtection="1"/>
    <xf numFmtId="164" fontId="1" fillId="7" borderId="1" xfId="0" applyNumberFormat="1" applyFont="1" applyFill="1" applyBorder="1" applyAlignment="1" applyProtection="1">
      <alignment horizontal="right"/>
    </xf>
    <xf numFmtId="164" fontId="1" fillId="7" borderId="10" xfId="0" applyNumberFormat="1" applyFont="1" applyFill="1" applyBorder="1" applyProtection="1"/>
    <xf numFmtId="164" fontId="1" fillId="7" borderId="0" xfId="0" applyNumberFormat="1" applyFont="1" applyFill="1" applyAlignment="1" applyProtection="1">
      <alignment horizontal="right"/>
    </xf>
    <xf numFmtId="164" fontId="1" fillId="7" borderId="6" xfId="0" applyNumberFormat="1" applyFont="1" applyFill="1" applyBorder="1" applyAlignment="1" applyProtection="1">
      <alignment horizontal="right"/>
    </xf>
    <xf numFmtId="164" fontId="1" fillId="7" borderId="5" xfId="0" applyNumberFormat="1" applyFont="1" applyFill="1" applyBorder="1" applyProtection="1"/>
    <xf numFmtId="164" fontId="1" fillId="7" borderId="6" xfId="0" applyNumberFormat="1" applyFont="1" applyFill="1" applyBorder="1" applyProtection="1"/>
    <xf numFmtId="164" fontId="1" fillId="7" borderId="5" xfId="0" applyNumberFormat="1" applyFont="1" applyFill="1" applyBorder="1" applyAlignment="1" applyProtection="1">
      <alignment horizontal="right"/>
    </xf>
    <xf numFmtId="0" fontId="2" fillId="2" borderId="0" xfId="0" applyFont="1" applyFill="1" applyAlignment="1" applyProtection="1"/>
    <xf numFmtId="0" fontId="0" fillId="4" borderId="8" xfId="0" applyFont="1" applyFill="1" applyBorder="1" applyProtection="1"/>
    <xf numFmtId="0" fontId="0" fillId="6" borderId="11" xfId="0" applyFont="1" applyFill="1" applyBorder="1" applyProtection="1"/>
    <xf numFmtId="164" fontId="3" fillId="3" borderId="7" xfId="0" applyNumberFormat="1" applyFont="1" applyFill="1" applyBorder="1" applyAlignment="1" applyProtection="1">
      <alignment horizontal="left"/>
    </xf>
    <xf numFmtId="0" fontId="0" fillId="6" borderId="6" xfId="0" applyFont="1" applyFill="1" applyBorder="1" applyProtection="1"/>
    <xf numFmtId="164" fontId="0" fillId="6" borderId="2" xfId="0" applyNumberFormat="1" applyFont="1" applyFill="1" applyBorder="1" applyProtection="1"/>
    <xf numFmtId="0" fontId="3" fillId="4" borderId="11" xfId="0" applyFont="1" applyFill="1" applyBorder="1" applyProtection="1"/>
    <xf numFmtId="0" fontId="0" fillId="4" borderId="11" xfId="0" applyFont="1" applyFill="1" applyBorder="1" applyProtection="1"/>
    <xf numFmtId="0" fontId="0" fillId="3" borderId="3" xfId="0" applyFont="1" applyFill="1" applyBorder="1" applyProtection="1"/>
    <xf numFmtId="164" fontId="0" fillId="4" borderId="12" xfId="0" applyNumberFormat="1" applyFill="1" applyBorder="1" applyAlignment="1" applyProtection="1"/>
    <xf numFmtId="164" fontId="1" fillId="0" borderId="5" xfId="0" applyNumberFormat="1" applyFont="1" applyFill="1" applyBorder="1" applyProtection="1">
      <protection locked="0"/>
    </xf>
    <xf numFmtId="0" fontId="0" fillId="0" borderId="3" xfId="0" applyFont="1" applyFill="1" applyBorder="1" applyProtection="1">
      <protection locked="0"/>
    </xf>
    <xf numFmtId="164" fontId="0" fillId="4" borderId="8" xfId="0" applyNumberFormat="1" applyFill="1" applyBorder="1" applyAlignment="1" applyProtection="1"/>
    <xf numFmtId="0" fontId="0" fillId="4" borderId="13" xfId="0" applyFont="1" applyFill="1" applyBorder="1" applyProtection="1"/>
    <xf numFmtId="164" fontId="1" fillId="0" borderId="0" xfId="0" applyNumberFormat="1" applyFont="1" applyFill="1" applyAlignment="1" applyProtection="1">
      <alignment horizontal="right"/>
      <protection locked="0"/>
    </xf>
    <xf numFmtId="0" fontId="0" fillId="3" borderId="2" xfId="0" applyFont="1" applyFill="1" applyBorder="1" applyProtection="1"/>
    <xf numFmtId="0" fontId="3" fillId="3" borderId="6" xfId="0" applyFont="1" applyFill="1" applyBorder="1" applyProtection="1"/>
    <xf numFmtId="0" fontId="3" fillId="6" borderId="14" xfId="0" applyFont="1" applyFill="1" applyBorder="1" applyProtection="1"/>
    <xf numFmtId="0" fontId="0" fillId="4" borderId="0" xfId="0" applyFont="1" applyFill="1" applyProtection="1"/>
    <xf numFmtId="0" fontId="3" fillId="4" borderId="3" xfId="0" applyFont="1" applyFill="1" applyBorder="1" applyProtection="1"/>
    <xf numFmtId="0" fontId="3" fillId="6" borderId="15" xfId="0" applyFont="1" applyFill="1" applyBorder="1" applyProtection="1"/>
    <xf numFmtId="0" fontId="0" fillId="3" borderId="6" xfId="0" applyFont="1" applyFill="1" applyBorder="1" applyProtection="1"/>
    <xf numFmtId="164" fontId="1" fillId="0" borderId="0" xfId="0" applyNumberFormat="1" applyFont="1" applyFill="1" applyBorder="1" applyProtection="1">
      <protection locked="0"/>
    </xf>
    <xf numFmtId="164" fontId="0" fillId="4" borderId="0" xfId="0" applyNumberFormat="1" applyFill="1" applyAlignment="1" applyProtection="1">
      <alignment horizontal="left"/>
    </xf>
    <xf numFmtId="0" fontId="0" fillId="4" borderId="10" xfId="0" applyFont="1" applyFill="1" applyBorder="1" applyProtection="1"/>
    <xf numFmtId="0" fontId="3" fillId="9" borderId="16" xfId="0" applyFont="1" applyFill="1" applyBorder="1" applyProtection="1">
      <protection locked="0"/>
    </xf>
    <xf numFmtId="164" fontId="3" fillId="4" borderId="8" xfId="0" applyNumberFormat="1" applyFont="1" applyFill="1" applyBorder="1" applyAlignment="1" applyProtection="1"/>
    <xf numFmtId="0" fontId="0" fillId="6" borderId="0" xfId="0" applyFont="1" applyFill="1" applyProtection="1"/>
    <xf numFmtId="164" fontId="2" fillId="0" borderId="1" xfId="0" applyNumberFormat="1" applyFont="1" applyFill="1" applyBorder="1" applyAlignment="1" applyProtection="1">
      <alignment horizontal="center"/>
      <protection locked="0"/>
    </xf>
    <xf numFmtId="164" fontId="0" fillId="6" borderId="3" xfId="0" applyNumberFormat="1" applyFont="1" applyFill="1" applyBorder="1" applyProtection="1"/>
    <xf numFmtId="0" fontId="0" fillId="3" borderId="0" xfId="0" applyFont="1" applyFill="1" applyProtection="1"/>
    <xf numFmtId="0" fontId="0" fillId="0" borderId="2" xfId="0" applyFont="1" applyFill="1" applyBorder="1" applyProtection="1">
      <protection locked="0"/>
    </xf>
    <xf numFmtId="0" fontId="3" fillId="6" borderId="16" xfId="0" applyFont="1" applyFill="1" applyBorder="1" applyProtection="1"/>
    <xf numFmtId="0" fontId="0" fillId="6" borderId="13" xfId="0" applyFont="1" applyFill="1" applyBorder="1" applyProtection="1"/>
    <xf numFmtId="0" fontId="0" fillId="4" borderId="6" xfId="0" applyFont="1" applyFill="1" applyBorder="1" applyProtection="1"/>
    <xf numFmtId="164" fontId="3" fillId="4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10333</xdr:colOff>
      <xdr:row>6</xdr:row>
      <xdr:rowOff>126365</xdr:rowOff>
    </xdr:from>
    <xdr:to>
      <xdr:col>6</xdr:col>
      <xdr:colOff>385253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29987</xdr:colOff>
      <xdr:row>6</xdr:row>
      <xdr:rowOff>126365</xdr:rowOff>
    </xdr:from>
    <xdr:to>
      <xdr:col>5</xdr:col>
      <xdr:colOff>643320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5" name="Comment 3" hidden="1"/>
        <xdr:cNvSpPr txBox="1"/>
      </xdr:nvSpPr>
      <xdr:spPr>
        <a:xfrm>
          <a:off x="301570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5</xdr:col>
      <xdr:colOff>94646</xdr:colOff>
      <xdr:row>6</xdr:row>
      <xdr:rowOff>126365</xdr:rowOff>
    </xdr:from>
    <xdr:to>
      <xdr:col>7</xdr:col>
      <xdr:colOff>10401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94646</xdr:colOff>
      <xdr:row>6</xdr:row>
      <xdr:rowOff>126365</xdr:rowOff>
    </xdr:from>
    <xdr:to>
      <xdr:col>5</xdr:col>
      <xdr:colOff>707979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6</xdr:row>
      <xdr:rowOff>126365</xdr:rowOff>
    </xdr:from>
    <xdr:to>
      <xdr:col>7</xdr:col>
      <xdr:colOff>30055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5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6</xdr:row>
      <xdr:rowOff>126365</xdr:rowOff>
    </xdr:from>
    <xdr:to>
      <xdr:col>6</xdr:col>
      <xdr:colOff>5274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5</xdr:col>
      <xdr:colOff>114300</xdr:colOff>
      <xdr:row>19</xdr:row>
      <xdr:rowOff>126365</xdr:rowOff>
    </xdr:from>
    <xdr:to>
      <xdr:col>7</xdr:col>
      <xdr:colOff>30055</xdr:colOff>
      <xdr:row>25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5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4</xdr:col>
      <xdr:colOff>114300</xdr:colOff>
      <xdr:row>19</xdr:row>
      <xdr:rowOff>126365</xdr:rowOff>
    </xdr:from>
    <xdr:to>
      <xdr:col>6</xdr:col>
      <xdr:colOff>5274</xdr:colOff>
      <xdr:row>25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3138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62</xdr:col>
      <xdr:colOff>41380</xdr:colOff>
      <xdr:row>10</xdr:row>
      <xdr:rowOff>126365</xdr:rowOff>
    </xdr:from>
    <xdr:to>
      <xdr:col>78</xdr:col>
      <xdr:colOff>350218</xdr:colOff>
      <xdr:row>16</xdr:row>
      <xdr:rowOff>15875</xdr:rowOff>
    </xdr:to>
    <xdr:sp macro="" textlink="">
      <xdr:nvSpPr>
        <xdr:cNvPr id="32" name="Comment 31" hidden="1"/>
        <xdr:cNvSpPr txBox="1"/>
      </xdr:nvSpPr>
      <xdr:spPr>
        <a:xfrm>
          <a:off x="4317145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41380</xdr:colOff>
      <xdr:row>10</xdr:row>
      <xdr:rowOff>126365</xdr:rowOff>
    </xdr:from>
    <xdr:to>
      <xdr:col>131</xdr:col>
      <xdr:colOff>489790</xdr:colOff>
      <xdr:row>16</xdr:row>
      <xdr:rowOff>15875</xdr:rowOff>
    </xdr:to>
    <xdr:sp macro="" textlink="">
      <xdr:nvSpPr>
        <xdr:cNvPr id="33" name="Comment 32" hidden="1"/>
        <xdr:cNvSpPr txBox="1"/>
      </xdr:nvSpPr>
      <xdr:spPr>
        <a:xfrm>
          <a:off x="6682473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41380</xdr:colOff>
      <xdr:row>11</xdr:row>
      <xdr:rowOff>126365</xdr:rowOff>
    </xdr:from>
    <xdr:to>
      <xdr:col>78</xdr:col>
      <xdr:colOff>350218</xdr:colOff>
      <xdr:row>17</xdr:row>
      <xdr:rowOff>15875</xdr:rowOff>
    </xdr:to>
    <xdr:sp macro="" textlink="">
      <xdr:nvSpPr>
        <xdr:cNvPr id="34" name="Comment 33" hidden="1"/>
        <xdr:cNvSpPr txBox="1"/>
      </xdr:nvSpPr>
      <xdr:spPr>
        <a:xfrm>
          <a:off x="4317145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41380</xdr:colOff>
      <xdr:row>11</xdr:row>
      <xdr:rowOff>126365</xdr:rowOff>
    </xdr:from>
    <xdr:to>
      <xdr:col>131</xdr:col>
      <xdr:colOff>489790</xdr:colOff>
      <xdr:row>17</xdr:row>
      <xdr:rowOff>15875</xdr:rowOff>
    </xdr:to>
    <xdr:sp macro="" textlink="">
      <xdr:nvSpPr>
        <xdr:cNvPr id="35" name="Comment 34" hidden="1"/>
        <xdr:cNvSpPr txBox="1"/>
      </xdr:nvSpPr>
      <xdr:spPr>
        <a:xfrm>
          <a:off x="6682473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41380</xdr:colOff>
      <xdr:row>12</xdr:row>
      <xdr:rowOff>126365</xdr:rowOff>
    </xdr:from>
    <xdr:to>
      <xdr:col>85</xdr:col>
      <xdr:colOff>350218</xdr:colOff>
      <xdr:row>18</xdr:row>
      <xdr:rowOff>15875</xdr:rowOff>
    </xdr:to>
    <xdr:sp macro="" textlink="">
      <xdr:nvSpPr>
        <xdr:cNvPr id="36" name="Comment 35" hidden="1"/>
        <xdr:cNvSpPr txBox="1"/>
      </xdr:nvSpPr>
      <xdr:spPr>
        <a:xfrm>
          <a:off x="5105587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41380</xdr:colOff>
      <xdr:row>12</xdr:row>
      <xdr:rowOff>126365</xdr:rowOff>
    </xdr:from>
    <xdr:to>
      <xdr:col>131</xdr:col>
      <xdr:colOff>489790</xdr:colOff>
      <xdr:row>18</xdr:row>
      <xdr:rowOff>15875</xdr:rowOff>
    </xdr:to>
    <xdr:sp macro="" textlink="">
      <xdr:nvSpPr>
        <xdr:cNvPr id="37" name="Comment 36" hidden="1"/>
        <xdr:cNvSpPr txBox="1"/>
      </xdr:nvSpPr>
      <xdr:spPr>
        <a:xfrm>
          <a:off x="668247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41380</xdr:colOff>
      <xdr:row>15</xdr:row>
      <xdr:rowOff>126365</xdr:rowOff>
    </xdr:from>
    <xdr:to>
      <xdr:col>130</xdr:col>
      <xdr:colOff>350218</xdr:colOff>
      <xdr:row>21</xdr:row>
      <xdr:rowOff>15875</xdr:rowOff>
    </xdr:to>
    <xdr:sp macro="" textlink="">
      <xdr:nvSpPr>
        <xdr:cNvPr id="40" name="Comment 39" hidden="1"/>
        <xdr:cNvSpPr txBox="1"/>
      </xdr:nvSpPr>
      <xdr:spPr>
        <a:xfrm>
          <a:off x="5894030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41380</xdr:colOff>
      <xdr:row>15</xdr:row>
      <xdr:rowOff>126365</xdr:rowOff>
    </xdr:from>
    <xdr:to>
      <xdr:col>131</xdr:col>
      <xdr:colOff>489790</xdr:colOff>
      <xdr:row>21</xdr:row>
      <xdr:rowOff>15875</xdr:rowOff>
    </xdr:to>
    <xdr:sp macro="" textlink="">
      <xdr:nvSpPr>
        <xdr:cNvPr id="41" name="Comment 40" hidden="1"/>
        <xdr:cNvSpPr txBox="1"/>
      </xdr:nvSpPr>
      <xdr:spPr>
        <a:xfrm>
          <a:off x="6682473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41380</xdr:colOff>
      <xdr:row>16</xdr:row>
      <xdr:rowOff>126365</xdr:rowOff>
    </xdr:from>
    <xdr:to>
      <xdr:col>130</xdr:col>
      <xdr:colOff>350218</xdr:colOff>
      <xdr:row>22</xdr:row>
      <xdr:rowOff>15875</xdr:rowOff>
    </xdr:to>
    <xdr:sp macro="" textlink="">
      <xdr:nvSpPr>
        <xdr:cNvPr id="42" name="Comment 41" hidden="1"/>
        <xdr:cNvSpPr txBox="1"/>
      </xdr:nvSpPr>
      <xdr:spPr>
        <a:xfrm>
          <a:off x="5894030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130</xdr:col>
      <xdr:colOff>41380</xdr:colOff>
      <xdr:row>16</xdr:row>
      <xdr:rowOff>126365</xdr:rowOff>
    </xdr:from>
    <xdr:to>
      <xdr:col>131</xdr:col>
      <xdr:colOff>489790</xdr:colOff>
      <xdr:row>22</xdr:row>
      <xdr:rowOff>15875</xdr:rowOff>
    </xdr:to>
    <xdr:sp macro="" textlink="">
      <xdr:nvSpPr>
        <xdr:cNvPr id="43" name="Comment 42" hidden="1"/>
        <xdr:cNvSpPr txBox="1"/>
      </xdr:nvSpPr>
      <xdr:spPr>
        <a:xfrm>
          <a:off x="6682473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20"/>
  <sheetViews>
    <sheetView workbookViewId="0">
      <pane xSplit="0" ySplit="7" topLeftCell="A8" activePane="bottomLeft" state="frozenSplit"/>
    </sheetView>
  </sheetViews>
  <sheetFormatPr defaultRowHeight="12.75" zeroHeight="1"/>
  <cols>
    <col min="1" max="1" width="6.23046875" bestFit="1" customWidth="1"/>
    <col min="3" max="3" width="18.7265625" bestFit="1" customWidth="1"/>
    <col min="4" max="4" width="5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0" width="7.375" bestFit="1" customWidth="1"/>
    <col min="141" max="141" width="7.24609375" bestFit="1" customWidth="1"/>
    <col min="145" max="145" width="7.375" bestFit="1" customWidth="1"/>
    <col min="146" max="146" width="7.24609375" bestFit="1" customWidth="1"/>
    <col min="257" max="16384" width="8.8984375" hidden="1" customWidth="1"/>
  </cols>
  <sheetData>
    <row ht="14.95" s="33" customFormat="1">
      <c r="C1" s="31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3" customFormat="1">
      <c r="EE2" s="33" t="s">
        <v>141</v>
      </c>
      <c s="33" t="s">
        <v>142</v>
      </c>
      <c r="EJ2" s="33" t="s">
        <v>141</v>
      </c>
      <c s="33" t="s">
        <v>142</v>
      </c>
      <c r="EO2" s="33" t="s">
        <v>141</v>
      </c>
      <c s="33" t="s">
        <v>142</v>
      </c>
    </row>
    <row ht="14.95" s="35" customFormat="1"/>
    <row ht="14.95" s="36" customFormat="1">
      <c s="36" t="s">
        <v>0</v>
      </c>
      <c r="C4" s="36" t="s">
        <v>1</v>
      </c>
      <c s="36" t="s">
        <v>2</v>
      </c>
      <c s="13" t="s">
        <v>3</v>
      </c>
      <c s="36" t="s">
        <v>4</v>
      </c>
      <c r="H4" s="13"/>
      <c s="36" t="s">
        <v>8</v>
      </c>
      <c s="36" t="s">
        <v>10</v>
      </c>
      <c s="36" t="s">
        <v>11</v>
      </c>
      <c s="36" t="s">
        <v>13</v>
      </c>
      <c s="36" t="s">
        <v>14</v>
      </c>
      <c s="36" t="s">
        <v>16</v>
      </c>
      <c r="R4" s="36" t="s">
        <v>18</v>
      </c>
      <c s="36" t="s">
        <v>19</v>
      </c>
      <c s="36" t="s">
        <v>20</v>
      </c>
      <c s="36" t="s">
        <v>21</v>
      </c>
      <c s="36" t="s">
        <v>22</v>
      </c>
      <c s="13" t="s">
        <v>23</v>
      </c>
      <c s="36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EV4" s="36" t="s">
        <v>202</v>
      </c>
    </row>
    <row ht="14.95" s="41" customFormat="1">
      <c s="41" t="s">
        <v>237</v>
      </c>
      <c r="E5" s="15"/>
      <c s="41" t="s">
        <v>5</v>
      </c>
      <c s="41" t="s">
        <v>6</v>
      </c>
      <c s="15" t="s">
        <v>7</v>
      </c>
      <c s="41" t="s">
        <v>9</v>
      </c>
      <c s="41" t="s">
        <v>9</v>
      </c>
      <c s="41" t="s">
        <v>12</v>
      </c>
      <c s="41" t="s">
        <v>12</v>
      </c>
      <c s="41" t="s">
        <v>15</v>
      </c>
      <c s="41" t="s">
        <v>17</v>
      </c>
      <c r="R5" s="41" t="s">
        <v>9</v>
      </c>
      <c s="41" t="s">
        <v>9</v>
      </c>
      <c r="U5" s="41" t="s">
        <v>9</v>
      </c>
      <c s="41" t="s">
        <v>9</v>
      </c>
      <c s="15" t="s">
        <v>9</v>
      </c>
      <c s="41" t="s">
        <v>25</v>
      </c>
      <c s="41" t="s">
        <v>7</v>
      </c>
      <c r="AO5" s="41">
        <f>AO7/12.0107</f>
        <v>0</v>
      </c>
      <c r="BK5" s="41">
        <f>BK7/1.00794</f>
        <v>0</v>
      </c>
      <c r="CA5" s="41">
        <f>CA7/14.0067</f>
        <v>0</v>
      </c>
      <c r="CH5" s="41">
        <f>CH7/15.9994</f>
        <v>0</v>
      </c>
    </row>
    <row ht="14.95" s="41" customFormat="1">
      <c r="C6" s="41" t="s">
        <v>145</v>
      </c>
      <c s="41">
        <f>G11</f>
        <v>0</v>
      </c>
      <c s="15" t="s">
        <v>146</v>
      </c>
      <c r="H6" s="15"/>
      <c r="W6" s="15"/>
      <c s="41" t="s">
        <v>25</v>
      </c>
      <c s="41" t="s">
        <v>5</v>
      </c>
      <c r="AO6" s="41">
        <f>AO7</f>
        <v>0</v>
      </c>
      <c r="BK6" s="41">
        <f>BK7</f>
        <v>0</v>
      </c>
      <c r="CA6" s="41">
        <f>CA7</f>
        <v>0</v>
      </c>
      <c r="CH6" s="41">
        <f>CH7</f>
        <v>0</v>
      </c>
    </row>
    <row ht="14.95" s="40" customFormat="1">
      <c r="C7" s="40" t="s">
        <v>147</v>
      </c>
      <c s="40">
        <v>0</v>
      </c>
      <c s="16" t="s">
        <v>148</v>
      </c>
      <c s="40">
        <f t="shared" si="0" ref="F7:J7">F11</f>
        <v>0</v>
      </c>
      <c s="40">
        <f t="shared" si="0"/>
        <v>0</v>
      </c>
      <c s="16">
        <f t="shared" si="0"/>
        <v>0</v>
      </c>
      <c s="40">
        <f t="shared" si="0"/>
        <v>0</v>
      </c>
      <c s="40">
        <f t="shared" si="0"/>
        <v>0</v>
      </c>
      <c r="R7" s="40">
        <f t="shared" si="1" ref="R7:W7">R11</f>
        <v>0</v>
      </c>
      <c s="40">
        <f t="shared" si="1"/>
        <v>0</v>
      </c>
      <c s="40">
        <f t="shared" si="1"/>
        <v>0</v>
      </c>
      <c s="40">
        <f t="shared" si="1"/>
        <v>0</v>
      </c>
      <c s="40">
        <f t="shared" si="1"/>
        <v>0</v>
      </c>
      <c s="16">
        <f t="shared" si="1"/>
        <v>0</v>
      </c>
      <c s="40" t="s">
        <v>26</v>
      </c>
      <c s="40" t="s">
        <v>5</v>
      </c>
      <c r="AO7" s="40">
        <f>AO11</f>
        <v>0</v>
      </c>
      <c r="BK7" s="40">
        <f>BK11</f>
        <v>0</v>
      </c>
      <c r="CA7" s="40">
        <f>CA11</f>
        <v>0</v>
      </c>
      <c r="CH7" s="40">
        <f>CH11</f>
        <v>0</v>
      </c>
      <c r="EC7" s="40" t="s">
        <v>26</v>
      </c>
      <c s="40" t="s">
        <v>6</v>
      </c>
      <c s="40">
        <f t="shared" si="2" ref="EE7:EF7">EE11</f>
        <v>0</v>
      </c>
      <c s="40">
        <f t="shared" si="2"/>
        <v>0</v>
      </c>
      <c r="EH7" s="40" t="s">
        <v>26</v>
      </c>
      <c s="40" t="str">
        <f>POWERU()</f>
        <v>kW</v>
      </c>
      <c s="40">
        <f t="shared" si="3" ref="EJ7:EK7">EJ11</f>
        <v>0</v>
      </c>
      <c s="40">
        <f t="shared" si="3"/>
        <v>0</v>
      </c>
      <c r="EM7" s="40" t="s">
        <v>26</v>
      </c>
      <c s="40" t="str">
        <f>POWERU()</f>
        <v>kW</v>
      </c>
      <c s="40">
        <f t="shared" si="4" ref="EO7:EP7">EO11</f>
        <v>0</v>
      </c>
      <c s="40">
        <f t="shared" si="4"/>
        <v>0</v>
      </c>
    </row>
    <row ht="14.95" s="27" customFormat="1">
      <c s="27" t="s">
        <v>183</v>
      </c>
      <c r="C8" s="25" t="s">
        <v>189</v>
      </c>
      <c r="E8" s="17" t="s">
        <v>6</v>
      </c>
      <c s="27" t="s">
        <v>4</v>
      </c>
      <c r="H8" s="17"/>
      <c s="27" t="s">
        <v>8</v>
      </c>
      <c s="27" t="s">
        <v>10</v>
      </c>
      <c s="27" t="s">
        <v>11</v>
      </c>
      <c s="27" t="s">
        <v>13</v>
      </c>
      <c s="27" t="s">
        <v>14</v>
      </c>
      <c s="27" t="s">
        <v>16</v>
      </c>
      <c r="R8" s="27" t="s">
        <v>18</v>
      </c>
      <c s="27" t="s">
        <v>19</v>
      </c>
      <c s="27" t="s">
        <v>20</v>
      </c>
      <c s="27" t="s">
        <v>21</v>
      </c>
      <c s="27" t="s">
        <v>22</v>
      </c>
      <c s="17" t="s">
        <v>23</v>
      </c>
      <c s="27" t="s">
        <v>24</v>
      </c>
      <c r="AA8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  <c r="IW8" s="27" t="s">
        <v>188</v>
      </c>
    </row>
    <row ht="14.95" s="23" customFormat="1">
      <c r="C9" s="23" t="s">
        <v>185</v>
      </c>
      <c s="23">
        <v>25</v>
      </c>
      <c s="12" t="str">
        <f>TEMPU()</f>
        <v>°C</v>
      </c>
      <c s="23" t="s">
        <v>5</v>
      </c>
      <c s="23" t="s">
        <v>6</v>
      </c>
      <c s="12" t="s">
        <v>7</v>
      </c>
      <c s="23" t="s">
        <v>9</v>
      </c>
      <c s="23" t="s">
        <v>9</v>
      </c>
      <c s="23" t="s">
        <v>12</v>
      </c>
      <c s="23" t="s">
        <v>12</v>
      </c>
      <c s="23" t="s">
        <v>15</v>
      </c>
      <c s="23" t="s">
        <v>17</v>
      </c>
      <c r="R9" s="23" t="s">
        <v>9</v>
      </c>
      <c s="23" t="s">
        <v>9</v>
      </c>
      <c r="U9" s="23" t="s">
        <v>9</v>
      </c>
      <c s="23" t="s">
        <v>9</v>
      </c>
      <c s="12" t="s">
        <v>9</v>
      </c>
    </row>
    <row ht="14.95" s="23" customFormat="1">
      <c r="C10" s="23" t="s">
        <v>186</v>
      </c>
      <c s="23">
        <v>1</v>
      </c>
      <c s="12" t="str">
        <f>PRESU()</f>
        <v>bar</v>
      </c>
      <c r="H10" s="12"/>
      <c r="W10" s="12"/>
      <c s="23" t="s">
        <v>26</v>
      </c>
      <c s="23" t="s">
        <v>33</v>
      </c>
      <c r="AA10" s="23">
        <f>100*SAFEDIV(Input!AA11,Input!F11)</f>
        <v>0</v>
      </c>
      <c s="23">
        <f>100*SAFEDIV(Input!AB11,Input!F11)</f>
        <v>0</v>
      </c>
      <c s="23">
        <f>100*SAFEDIV(Input!AC11,Input!F11)</f>
        <v>0</v>
      </c>
      <c s="23">
        <f>100*SAFEDIV(Input!AD11,Input!F11)</f>
        <v>0</v>
      </c>
      <c s="23">
        <f>100*SAFEDIV(Input!AE11,Input!F11)</f>
        <v>0</v>
      </c>
      <c s="23">
        <f>100*SAFEDIV(Input!AF11,Input!F11)</f>
        <v>0</v>
      </c>
      <c s="23">
        <f>100*SAFEDIV(Input!AG11,Input!F11)</f>
        <v>0</v>
      </c>
      <c s="23">
        <f>100*SAFEDIV(Input!AH11,Input!F11)</f>
        <v>0</v>
      </c>
      <c s="23">
        <f>100*SAFEDIV(Input!AI11,Input!F11)</f>
        <v>0</v>
      </c>
      <c s="23">
        <f>100*SAFEDIV(Input!AJ11,Input!F11)</f>
        <v>0</v>
      </c>
      <c s="23">
        <f>100*SAFEDIV(Input!AK11,Input!F11)</f>
        <v>0</v>
      </c>
      <c s="23">
        <f>100*SAFEDIV(Input!AL11,Input!F11)</f>
        <v>0</v>
      </c>
      <c s="23">
        <f>100*SAFEDIV(Input!AM11,Input!F11)</f>
        <v>0</v>
      </c>
      <c s="23">
        <f>100*SAFEDIV(Input!AN11,Input!F11)</f>
        <v>0</v>
      </c>
      <c s="23">
        <f>100*SAFEDIV(Input!AO11,Input!F11)</f>
        <v>0</v>
      </c>
      <c s="23">
        <f>100*SAFEDIV(Input!AP11,Input!F11)</f>
        <v>0</v>
      </c>
      <c s="23">
        <f>100*SAFEDIV(Input!AQ11,Input!F11)</f>
        <v>0</v>
      </c>
      <c s="23">
        <f>100*SAFEDIV(Input!AR11,Input!F11)</f>
        <v>0</v>
      </c>
      <c s="23">
        <f>100*SAFEDIV(Input!AS11,Input!F11)</f>
        <v>0</v>
      </c>
      <c s="23">
        <f>100*SAFEDIV(Input!AT11,Input!F11)</f>
        <v>0</v>
      </c>
      <c s="23">
        <f>100*SAFEDIV(Input!AU11,Input!F11)</f>
        <v>0</v>
      </c>
      <c s="23">
        <f>100*SAFEDIV(Input!AV11,Input!F11)</f>
        <v>0</v>
      </c>
      <c s="23">
        <f>100*SAFEDIV(Input!AW11,Input!F11)</f>
        <v>0</v>
      </c>
      <c s="23">
        <f>100*SAFEDIV(Input!AX11,Input!F11)</f>
        <v>0</v>
      </c>
      <c s="23">
        <f>100*SAFEDIV(Input!AY11,Input!F11)</f>
        <v>0</v>
      </c>
      <c s="23">
        <f>100*SAFEDIV(Input!AZ11,Input!F11)</f>
        <v>0</v>
      </c>
      <c s="23">
        <f>100*SAFEDIV(Input!BA11,Input!F11)</f>
        <v>0</v>
      </c>
      <c s="23">
        <f>100*SAFEDIV(Input!BB11,Input!F11)</f>
        <v>0</v>
      </c>
      <c s="23">
        <f>100*SAFEDIV(Input!BC11,Input!F11)</f>
        <v>0</v>
      </c>
      <c s="23">
        <f>100*SAFEDIV(Input!BD11,Input!F11)</f>
        <v>0</v>
      </c>
      <c s="23">
        <f>100*SAFEDIV(Input!BE11,Input!F11)</f>
        <v>0</v>
      </c>
      <c s="23">
        <f>100*SAFEDIV(Input!BF11,Input!F11)</f>
        <v>0</v>
      </c>
      <c s="23">
        <f>100*SAFEDIV(Input!BG11,Input!F11)</f>
        <v>0</v>
      </c>
      <c s="23">
        <f>100*SAFEDIV(Input!BH11,Input!F11)</f>
        <v>0</v>
      </c>
      <c s="23">
        <f>100*SAFEDIV(Input!BI11,Input!F11)</f>
        <v>0</v>
      </c>
      <c s="23">
        <f>100*SAFEDIV(Input!BJ11,Input!F11)</f>
        <v>0</v>
      </c>
      <c s="23">
        <f>100*SAFEDIV(Input!BK11,Input!F11)</f>
        <v>0</v>
      </c>
      <c s="23">
        <f>100*SAFEDIV(Input!BL11,Input!F11)</f>
        <v>0</v>
      </c>
      <c s="23">
        <f>100*SAFEDIV(Input!BM11,Input!F11)</f>
        <v>0</v>
      </c>
      <c s="23">
        <f>100*SAFEDIV(Input!BN11,Input!F11)</f>
        <v>0</v>
      </c>
      <c s="23">
        <f>100*SAFEDIV(Input!BO11,Input!F11)</f>
        <v>0</v>
      </c>
      <c s="23">
        <f>100*SAFEDIV(Input!BP11,Input!F11)</f>
        <v>0</v>
      </c>
      <c s="23">
        <f>100*SAFEDIV(Input!BQ11,Input!F11)</f>
        <v>0</v>
      </c>
      <c s="23">
        <f>100*SAFEDIV(Input!BR11,Input!F11)</f>
        <v>0</v>
      </c>
      <c s="23">
        <f>100*SAFEDIV(Input!BS11,Input!F11)</f>
        <v>0</v>
      </c>
      <c s="23">
        <f>100*SAFEDIV(Input!BT11,Input!F11)</f>
        <v>0</v>
      </c>
      <c s="23">
        <f>100*SAFEDIV(Input!BU11,Input!F11)</f>
        <v>0</v>
      </c>
      <c s="23">
        <f>100*SAFEDIV(Input!BV11,Input!F11)</f>
        <v>0</v>
      </c>
      <c s="23">
        <f>100*SAFEDIV(Input!BW11,Input!F11)</f>
        <v>0</v>
      </c>
      <c s="23">
        <f>100*SAFEDIV(Input!BX11,Input!F11)</f>
        <v>0</v>
      </c>
      <c s="23">
        <f>100*SAFEDIV(Input!BY11,Input!F11)</f>
        <v>0</v>
      </c>
      <c s="23">
        <f>100*SAFEDIV(Input!BZ11,Input!F11)</f>
        <v>0</v>
      </c>
      <c s="23">
        <f>100*SAFEDIV(Input!CA11,Input!F11)</f>
        <v>0</v>
      </c>
      <c s="23">
        <f>100*SAFEDIV(Input!CB11,Input!F11)</f>
        <v>0</v>
      </c>
      <c s="23">
        <f>100*SAFEDIV(Input!CC11,Input!F11)</f>
        <v>0</v>
      </c>
      <c s="23">
        <f>100*SAFEDIV(Input!CD11,Input!F11)</f>
        <v>0</v>
      </c>
      <c s="23">
        <f>100*SAFEDIV(Input!CE11,Input!F11)</f>
        <v>0</v>
      </c>
      <c s="23">
        <f>100*SAFEDIV(Input!CF11,Input!F11)</f>
        <v>0</v>
      </c>
      <c s="23">
        <f>100*SAFEDIV(Input!CG11,Input!F11)</f>
        <v>0</v>
      </c>
      <c s="23">
        <f>100*SAFEDIV(Input!CH11,Input!F11)</f>
        <v>0</v>
      </c>
      <c s="23">
        <f>100*SAFEDIV(Input!CI11,Input!F11)</f>
        <v>0</v>
      </c>
      <c s="23">
        <f>100*SAFEDIV(Input!CJ11,Input!F11)</f>
        <v>0</v>
      </c>
      <c s="23">
        <f>100*SAFEDIV(Input!CK11,Input!F11)</f>
        <v>0</v>
      </c>
      <c s="23">
        <f>100*SAFEDIV(Input!CL11,Input!F11)</f>
        <v>0</v>
      </c>
      <c s="23">
        <f>100*SAFEDIV(Input!CM11,Input!F11)</f>
        <v>0</v>
      </c>
      <c s="23">
        <f>100*SAFEDIV(Input!CN11,Input!F11)</f>
        <v>0</v>
      </c>
      <c s="23">
        <f>100*SAFEDIV(Input!CO11,Input!F11)</f>
        <v>0</v>
      </c>
      <c s="23">
        <f>100*SAFEDIV(Input!CP11,Input!F11)</f>
        <v>0</v>
      </c>
      <c s="23">
        <f>100*SAFEDIV(Input!CQ11,Input!F11)</f>
        <v>0</v>
      </c>
      <c s="23">
        <f>100*SAFEDIV(Input!CR11,Input!F11)</f>
        <v>0</v>
      </c>
      <c s="23">
        <f>100*SAFEDIV(Input!CS11,Input!F11)</f>
        <v>0</v>
      </c>
      <c s="23">
        <f>100*SAFEDIV(Input!CT11,Input!F11)</f>
        <v>0</v>
      </c>
      <c s="23">
        <f>100*SAFEDIV(Input!CU11,Input!F11)</f>
        <v>0</v>
      </c>
      <c s="23">
        <f>100*SAFEDIV(Input!CV11,Input!F11)</f>
        <v>0</v>
      </c>
      <c s="23">
        <f>100*SAFEDIV(Input!CW11,Input!F11)</f>
        <v>0</v>
      </c>
      <c s="23">
        <f>100*SAFEDIV(Input!CX11,Input!F11)</f>
        <v>0</v>
      </c>
      <c s="23">
        <f>100*SAFEDIV(Input!CY11,Input!F11)</f>
        <v>0</v>
      </c>
      <c s="23">
        <f>100*SAFEDIV(Input!CZ11,Input!F11)</f>
        <v>0</v>
      </c>
      <c s="23">
        <f>100*SAFEDIV(Input!DA11,Input!F11)</f>
        <v>0</v>
      </c>
      <c s="23">
        <f>100*SAFEDIV(Input!DB11,Input!F11)</f>
        <v>0</v>
      </c>
      <c s="23">
        <f>100*SAFEDIV(Input!DC11,Input!F11)</f>
        <v>0</v>
      </c>
      <c s="23">
        <f>100*SAFEDIV(Input!DD11,Input!F11)</f>
        <v>0</v>
      </c>
      <c s="23">
        <f>100*SAFEDIV(Input!DE11,Input!F11)</f>
        <v>0</v>
      </c>
      <c s="23">
        <f>100*SAFEDIV(Input!DF11,Input!F11)</f>
        <v>0</v>
      </c>
      <c s="23">
        <f>100*SAFEDIV(Input!DG11,Input!F11)</f>
        <v>0</v>
      </c>
      <c s="23">
        <f>100*SAFEDIV(Input!DH11,Input!F11)</f>
        <v>0</v>
      </c>
      <c s="23">
        <f>100*SAFEDIV(Input!DI11,Input!F11)</f>
        <v>0</v>
      </c>
      <c s="23">
        <f>100*SAFEDIV(Input!DJ11,Input!F11)</f>
        <v>0</v>
      </c>
      <c s="23">
        <f>100*SAFEDIV(Input!DK11,Input!F11)</f>
        <v>0</v>
      </c>
      <c s="23">
        <f>100*SAFEDIV(Input!DL11,Input!F11)</f>
        <v>0</v>
      </c>
      <c s="23">
        <f>100*SAFEDIV(Input!DM11,Input!F11)</f>
        <v>0</v>
      </c>
      <c s="23">
        <f>100*SAFEDIV(Input!DN11,Input!F11)</f>
        <v>0</v>
      </c>
      <c s="23">
        <f>100*SAFEDIV(Input!DO11,Input!F11)</f>
        <v>0</v>
      </c>
      <c s="23">
        <f>100*SAFEDIV(Input!DP11,Input!F11)</f>
        <v>0</v>
      </c>
      <c s="23">
        <f>100*SAFEDIV(Input!DQ11,Input!F11)</f>
        <v>0</v>
      </c>
      <c s="23">
        <f>100*SAFEDIV(Input!DR11,Input!F11)</f>
        <v>0</v>
      </c>
      <c s="23">
        <f>100*SAFEDIV(Input!DS11,Input!F11)</f>
        <v>0</v>
      </c>
      <c s="23">
        <f>100*SAFEDIV(Input!DT11,Input!F11)</f>
        <v>0</v>
      </c>
      <c s="23">
        <f>100*SAFEDIV(Input!DU11,Input!F11)</f>
        <v>0</v>
      </c>
      <c s="23">
        <f>100*SAFEDIV(Input!DV11,Input!F11)</f>
        <v>0</v>
      </c>
      <c s="23">
        <f>100*SAFEDIV(Input!DW11,Input!F11)</f>
        <v>0</v>
      </c>
      <c s="23">
        <f>100*SAFEDIV(Input!DX11,Input!F11)</f>
        <v>0</v>
      </c>
      <c s="23">
        <f>100*SAFEDIV(Input!DY11,Input!F11)</f>
        <v>0</v>
      </c>
      <c s="23">
        <f>100*SAFEDIV(Input!DZ11,Input!F11)</f>
        <v>0</v>
      </c>
    </row>
    <row ht="14.95" s="29" customFormat="1">
      <c s="29" t="s">
        <v>184</v>
      </c>
      <c r="C11" s="29" t="s">
        <v>26</v>
      </c>
      <c s="29">
        <f>SUM(Input!D12:Input!D20)</f>
        <v>0</v>
      </c>
      <c s="10" t="s">
        <v>225</v>
      </c>
      <c s="29">
        <f t="shared" si="5" ref="F11:J11">SUM(F12:F20)</f>
        <v>0</v>
      </c>
      <c s="29">
        <f t="shared" si="5"/>
        <v>0</v>
      </c>
      <c s="10">
        <f t="shared" si="5"/>
        <v>0</v>
      </c>
      <c s="29">
        <f t="shared" si="5"/>
        <v>0</v>
      </c>
      <c s="29">
        <f t="shared" si="5"/>
        <v>0</v>
      </c>
      <c r="R11" s="29">
        <f t="shared" si="6" ref="R11:S11">SUM(R12:R20)</f>
        <v>0</v>
      </c>
      <c s="29">
        <f t="shared" si="6"/>
        <v>0</v>
      </c>
      <c r="U11" s="29">
        <f t="shared" si="7" ref="U11:W11">SUM(U12:U20)</f>
        <v>0</v>
      </c>
      <c s="29">
        <f t="shared" si="7"/>
        <v>0</v>
      </c>
      <c s="10">
        <f t="shared" si="7"/>
        <v>0</v>
      </c>
      <c s="29" t="s">
        <v>26</v>
      </c>
      <c s="29" t="s">
        <v>5</v>
      </c>
      <c r="AA11" s="29">
        <f t="shared" si="8" ref="AA11:DZ11">SUM(AA12:AA20)</f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s="29">
        <f t="shared" si="8"/>
        <v>0</v>
      </c>
      <c r="EE11" s="29">
        <f>StreamFV_O2Demand(C12:C20,F12:F20,"Cu")*F11</f>
        <v>0</v>
      </c>
      <c s="29">
        <f>StreamFV_O2Demand(C12:C20,F12:F20,"Zn")*F11</f>
        <v>0</v>
      </c>
      <c r="EJ11" s="29">
        <f>StreamFV_EndProdHf(C12:C20,F12:F20,"Cu")*F11</f>
        <v>0</v>
      </c>
      <c s="29">
        <f>StreamFV_EndProdHf(C12:C20,F12:F20,"Zn")*F11</f>
        <v>0</v>
      </c>
      <c r="EO11" s="29">
        <f>StreamFV_Hrea(C12:C20,F12:F20,"Cu")*F11</f>
        <v>0</v>
      </c>
      <c s="29">
        <f>StreamFV_Hrea(C12:C20,F12:F20,"Zn")*F11</f>
        <v>0</v>
      </c>
    </row>
    <row ht="14.95" s="24" customFormat="1">
      <c r="C12" s="24" t="s">
        <v>204</v>
      </c>
      <c r="E12" s="11"/>
      <c s="24">
        <f>Input!H12*Input!M12</f>
        <v>0</v>
      </c>
      <c s="24">
        <f>0.01*Input!D8*Input!D12</f>
        <v>0</v>
      </c>
      <c s="11">
        <f>Input!G12/(0.0224139681481865*1000)</f>
        <v>0</v>
      </c>
      <c s="24">
        <f>Input!H12*Input!K12</f>
        <v>0</v>
      </c>
      <c s="24">
        <f>Input!H12*Input!L12</f>
        <v>0</v>
      </c>
      <c s="24">
        <f>HLATTP(C12,D9,D10)</f>
        <v>0</v>
      </c>
      <c s="24">
        <f>H_TP(C12,D9,D10)</f>
        <v>-30.70591576</v>
      </c>
      <c s="24">
        <v>28.010100000000001</v>
      </c>
      <c s="24">
        <f t="shared" si="9" ref="N12:N19">M12/(0.0224139681481865*1000)</f>
        <v>1.2496716250694895</v>
      </c>
      <c r="R12" s="24">
        <f>KN12*Input!H12*(Input!D9+273.15)</f>
        <v>0</v>
      </c>
      <c s="24">
        <f>KO12*Input!H12</f>
        <v>0</v>
      </c>
      <c r="U12" s="24">
        <f>KP12*Input!H12</f>
        <v>0</v>
      </c>
      <c s="24">
        <f>KQ12*Input!H12</f>
        <v>0</v>
      </c>
      <c s="11">
        <f>KR12*Input!H12</f>
        <v>0</v>
      </c>
      <c r="AO12" s="24">
        <f>0.42879889754053*Input!F12</f>
        <v>0</v>
      </c>
      <c r="CH12" s="24">
        <f>0.57120110245947*Input!F12</f>
        <v>0</v>
      </c>
      <c r="EV12" s="24">
        <f>Mixer!D9</f>
        <v>100</v>
      </c>
      <c s="24" t="e">
        <f>Mixer!#REF!</f>
        <v>#REF!</v>
      </c>
      <c r="KN12" s="24">
        <f>S_TP(C12,D9,D10)</f>
        <v>0.054905698735555557</v>
      </c>
      <c s="24">
        <f>G_TP(C12,D9,D10)</f>
        <v>-47.076049838005893</v>
      </c>
      <c s="24">
        <f>CHEMICALEXERGY(C12,D9)</f>
        <v>76.402867354794765</v>
      </c>
      <c s="24">
        <f>PHYSICALEXERGY(C12,D9,D10)</f>
        <v>0</v>
      </c>
      <c s="24">
        <f t="shared" si="10" ref="KR12:KR19">KP12+KQ12</f>
        <v>76.402867354794765</v>
      </c>
      <c r="KT12" s="24" t="s">
        <v>203</v>
      </c>
      <c s="24" t="s">
        <v>205</v>
      </c>
      <c r="KY12" s="20"/>
      <c s="24">
        <v>365392384</v>
      </c>
    </row>
    <row ht="14.95" s="24" customFormat="1">
      <c r="C13" s="24" t="s">
        <v>206</v>
      </c>
      <c r="E13" s="11"/>
      <c s="24">
        <f>Input!H13*Input!M13</f>
        <v>0</v>
      </c>
      <c s="24">
        <f>0.01*Input!D8*Input!D13</f>
        <v>0</v>
      </c>
      <c s="11">
        <f>Input!G13/(0.0224139681481865*1000)</f>
        <v>0</v>
      </c>
      <c s="24">
        <f>Input!H13*Input!K13</f>
        <v>0</v>
      </c>
      <c s="24">
        <f>Input!H13*Input!L13</f>
        <v>0</v>
      </c>
      <c s="24">
        <f>HLATTP(C13,D9,D10)</f>
        <v>0</v>
      </c>
      <c s="24">
        <f>H_TP(C13,D9,D10)</f>
        <v>-109.30699418888889</v>
      </c>
      <c s="24">
        <v>44.009500000000003</v>
      </c>
      <c s="24">
        <f t="shared" si="9"/>
        <v>1.9634854350214992</v>
      </c>
      <c r="R13" s="24">
        <f>KN13*Input!H13*(Input!D9+273.15)</f>
        <v>0</v>
      </c>
      <c s="24">
        <f>KO13*Input!H13</f>
        <v>0</v>
      </c>
      <c r="U13" s="24">
        <f>KP13*Input!H13</f>
        <v>0</v>
      </c>
      <c s="24">
        <f>KQ13*Input!H13</f>
        <v>0</v>
      </c>
      <c s="11">
        <f>KR13*Input!H13</f>
        <v>0</v>
      </c>
      <c r="AO13" s="24">
        <f>0.272911530465013*Input!F13</f>
        <v>0</v>
      </c>
      <c r="CH13" s="24">
        <f>0.727088469534987*Input!F13</f>
        <v>0</v>
      </c>
      <c r="EV13" s="24">
        <f>Mixer!D10</f>
        <v>100</v>
      </c>
      <c s="24" t="e">
        <f>Mixer!#REF!</f>
        <v>#REF!</v>
      </c>
      <c r="KN13" s="24">
        <f>S_TP(C13,D9,D10)</f>
        <v>0.059380251966666665</v>
      </c>
      <c s="24">
        <f>G_TP(C13,D9,D10)</f>
        <v>-127.01121631275056</v>
      </c>
      <c s="24">
        <f>CHEMICALEXERGY(C13,D9)</f>
        <v>5.5073084697396899</v>
      </c>
      <c s="24">
        <f>PHYSICALEXERGY(C13,D9,D10)</f>
        <v>0</v>
      </c>
      <c s="24">
        <f t="shared" si="10"/>
        <v>5.5073084697396899</v>
      </c>
      <c r="KT13" s="24" t="s">
        <v>207</v>
      </c>
      <c s="24" t="s">
        <v>205</v>
      </c>
      <c r="KY13" s="20"/>
      <c s="24">
        <v>1153502080</v>
      </c>
    </row>
    <row ht="14.95" s="24" customFormat="1">
      <c r="C14" s="24" t="s">
        <v>208</v>
      </c>
      <c r="E14" s="11"/>
      <c s="24">
        <f>Input!H14*Input!M14</f>
        <v>0</v>
      </c>
      <c s="24">
        <f>0.01*Input!D8*Input!D14</f>
        <v>0</v>
      </c>
      <c s="11">
        <f>Input!G14/(0.0224139681481865*1000)</f>
        <v>0</v>
      </c>
      <c s="24">
        <f>Input!H14*Input!K14</f>
        <v>0</v>
      </c>
      <c s="24">
        <f>Input!H14*Input!L14</f>
        <v>0</v>
      </c>
      <c s="24">
        <f>HLATTP(C14,D9,D10)</f>
        <v>12.223332853333337</v>
      </c>
      <c s="24">
        <f>H_TP(C14,D9,D10)</f>
        <v>-67.173889880000004</v>
      </c>
      <c s="24">
        <v>18.015280000000001</v>
      </c>
      <c s="24">
        <f t="shared" si="9"/>
        <v>0.80375236909835635</v>
      </c>
      <c r="R14" s="24">
        <f>KN14*Input!H14*(Input!D9+273.15)</f>
        <v>0</v>
      </c>
      <c s="24">
        <f>KO14*Input!H14</f>
        <v>0</v>
      </c>
      <c r="U14" s="24">
        <f>KP14*Input!H14</f>
        <v>0</v>
      </c>
      <c s="24">
        <f>KQ14*Input!H14</f>
        <v>0</v>
      </c>
      <c s="11">
        <f>KR14*Input!H14</f>
        <v>0</v>
      </c>
      <c r="BK14" s="24">
        <f>0.111898344072365*Input!F14</f>
        <v>0</v>
      </c>
      <c r="CH14" s="24">
        <f>0.888101655927635*Input!F14</f>
        <v>0</v>
      </c>
      <c r="EV14" s="24">
        <f>Mixer!D11</f>
        <v>100</v>
      </c>
      <c s="24" t="e">
        <f>Mixer!#REF!</f>
        <v>#REF!</v>
      </c>
      <c r="KN14" s="24">
        <f>S_TP(C14,D9,D10)</f>
        <v>0.052453331977777774</v>
      </c>
      <c s="24">
        <f>G_TP(C14,D9,D10)</f>
        <v>-82.812850809174449</v>
      </c>
      <c s="24">
        <f>CHEMICALEXERGY(C14,D9)</f>
        <v>0.26080769578334023</v>
      </c>
      <c s="24">
        <f>PHYSICALEXERGY(C14,D9,D10)</f>
        <v>2.377591632386673</v>
      </c>
      <c s="24">
        <f t="shared" si="10"/>
        <v>2.6383993281700131</v>
      </c>
      <c r="KT14" s="24" t="s">
        <v>210</v>
      </c>
      <c s="24" t="s">
        <v>209</v>
      </c>
      <c r="KY14" s="20"/>
      <c s="24">
        <v>2143094144</v>
      </c>
    </row>
    <row ht="14.95" s="24" customFormat="1">
      <c r="C15" s="24" t="s">
        <v>211</v>
      </c>
      <c r="E15" s="11"/>
      <c s="24">
        <f>Input!H15*Input!M15</f>
        <v>0</v>
      </c>
      <c s="24">
        <f>0.01*Input!D8*Input!D15</f>
        <v>0</v>
      </c>
      <c s="11">
        <f>Input!G15/(0.0224139681481865*1000)</f>
        <v>0</v>
      </c>
      <c s="24">
        <f>Input!H15*Input!K15</f>
        <v>0</v>
      </c>
      <c s="24">
        <f>Input!H15*Input!L15</f>
        <v>0</v>
      </c>
      <c s="24">
        <f>HLATTP(C15,D9,D10)</f>
        <v>0</v>
      </c>
      <c s="24">
        <f>H_TP(C15,D9,D10)</f>
        <v>0</v>
      </c>
      <c s="24">
        <v>2.0158800000000001</v>
      </c>
      <c s="24">
        <f t="shared" si="9"/>
        <v>0.089938559146346589</v>
      </c>
      <c r="R15" s="24">
        <f>KN15*Input!H15*(Input!D9+273.15)</f>
        <v>0</v>
      </c>
      <c s="24">
        <f>KO15*Input!H15</f>
        <v>0</v>
      </c>
      <c r="U15" s="24">
        <f>KP15*Input!H15</f>
        <v>0</v>
      </c>
      <c s="24">
        <f>KQ15*Input!H15</f>
        <v>0</v>
      </c>
      <c s="11">
        <f>KR15*Input!H15</f>
        <v>0</v>
      </c>
      <c r="BK15" s="24">
        <f>Input!F15</f>
        <v>0</v>
      </c>
      <c r="EV15" s="24">
        <f>Mixer!D12</f>
        <v>100</v>
      </c>
      <c s="24" t="e">
        <f>Mixer!#REF!</f>
        <v>#REF!</v>
      </c>
      <c r="KN15" s="24">
        <f>S_TP(C15,D9,D10)</f>
        <v>0.036299693640000005</v>
      </c>
      <c s="24">
        <f>G_TP(C15,D9,D10)</f>
        <v>-10.822753658765999</v>
      </c>
      <c s="24">
        <f>CHEMICALEXERGY(C15,D9)</f>
        <v>65.588888888888889</v>
      </c>
      <c s="24">
        <f>PHYSICALEXERGY(C15,D9,D10)</f>
        <v>0</v>
      </c>
      <c s="24">
        <f t="shared" si="10"/>
        <v>65.588888888888889</v>
      </c>
      <c r="KT15" s="24" t="s">
        <v>213</v>
      </c>
      <c s="24" t="s">
        <v>212</v>
      </c>
      <c r="KY15" s="20"/>
      <c s="24">
        <v>1033314176</v>
      </c>
    </row>
    <row ht="14.95" s="24" customFormat="1">
      <c r="C16" s="24" t="s">
        <v>214</v>
      </c>
      <c r="E16" s="11"/>
      <c s="24">
        <f>Input!H16*Input!M16</f>
        <v>0</v>
      </c>
      <c s="24">
        <f>0.01*Input!D8*Input!D16</f>
        <v>0</v>
      </c>
      <c s="11">
        <f>Input!G16/(0.0224139681481865*1000)</f>
        <v>0</v>
      </c>
      <c s="24">
        <f>Input!H16*Input!K16</f>
        <v>0</v>
      </c>
      <c s="24">
        <f>Input!H16*Input!L16</f>
        <v>0</v>
      </c>
      <c s="24">
        <f>HLATTP(C16,D9,D10)</f>
        <v>0</v>
      </c>
      <c s="24">
        <f>H_TP(C16,D9,D10)</f>
        <v>0</v>
      </c>
      <c s="24">
        <v>28.013400000000001</v>
      </c>
      <c s="24">
        <f t="shared" si="9"/>
        <v>1.2498188546889029</v>
      </c>
      <c r="R16" s="24">
        <f>KN16*Input!H16*(Input!D9+273.15)</f>
        <v>0</v>
      </c>
      <c s="24">
        <f>KO16*Input!H16</f>
        <v>0</v>
      </c>
      <c r="U16" s="24">
        <f>KP16*Input!H16</f>
        <v>0</v>
      </c>
      <c s="24">
        <f>KQ16*Input!H16</f>
        <v>0</v>
      </c>
      <c s="11">
        <f>KR16*Input!H16</f>
        <v>0</v>
      </c>
      <c r="CA16" s="24">
        <f>Input!F16</f>
        <v>0</v>
      </c>
      <c r="EV16" s="24">
        <f>Mixer!D13</f>
        <v>100</v>
      </c>
      <c s="24" t="e">
        <f>Mixer!#REF!</f>
        <v>#REF!</v>
      </c>
      <c r="KN16" s="24">
        <f>S_TP(C16,D9,D10)</f>
        <v>0.053225140511111116</v>
      </c>
      <c s="24">
        <f>G_TP(C16,D9,D10)</f>
        <v>-15.869075643387779</v>
      </c>
      <c s="24">
        <f>CHEMICALEXERGY(C16,D9)</f>
        <v>0.18611111111111114</v>
      </c>
      <c s="24">
        <f>PHYSICALEXERGY(C16,D9,D10)</f>
        <v>0</v>
      </c>
      <c s="24">
        <f t="shared" si="10"/>
        <v>0.18611111111111114</v>
      </c>
      <c r="KT16" s="24" t="s">
        <v>216</v>
      </c>
      <c s="24" t="s">
        <v>215</v>
      </c>
      <c r="KY16" s="20"/>
      <c s="24">
        <v>767121792</v>
      </c>
    </row>
    <row ht="14.95" s="24" customFormat="1">
      <c r="C17" s="24" t="s">
        <v>217</v>
      </c>
      <c r="E17" s="11"/>
      <c s="24">
        <f>Input!H17*Input!M17</f>
        <v>0</v>
      </c>
      <c s="24">
        <f>0.01*Input!D8*Input!D17</f>
        <v>0</v>
      </c>
      <c s="11">
        <f>Input!G17/(0.0224139681481865*1000)</f>
        <v>0</v>
      </c>
      <c s="24">
        <f>Input!H17*Input!K17</f>
        <v>0</v>
      </c>
      <c s="24">
        <f>Input!H17*Input!L17</f>
        <v>0</v>
      </c>
      <c s="24">
        <f>HLATTP(C17,D9,D10)</f>
        <v>0</v>
      </c>
      <c s="24">
        <f>H_TP(C17,D9,D10)</f>
        <v>9.1815555555555566</v>
      </c>
      <c s="24">
        <v>46.005499999999998</v>
      </c>
      <c s="24">
        <f t="shared" si="9"/>
        <v>2.052537047248471</v>
      </c>
      <c r="R17" s="24">
        <f>KN17*Input!H17*(Input!D9+273.15)</f>
        <v>0</v>
      </c>
      <c s="24">
        <f>KO17*Input!H17</f>
        <v>0</v>
      </c>
      <c r="U17" s="24">
        <f>KP17*Input!H17</f>
        <v>0</v>
      </c>
      <c s="24">
        <f>KQ17*Input!H17</f>
        <v>0</v>
      </c>
      <c s="11">
        <f>KR17*Input!H17</f>
        <v>0</v>
      </c>
      <c r="CA17" s="24">
        <f>0.304457075784417*Input!F17</f>
        <v>0</v>
      </c>
      <c r="CH17" s="24">
        <f>0.695542924215583*Input!F17</f>
        <v>0</v>
      </c>
      <c r="EV17" s="24">
        <f>Mixer!D14</f>
        <v>100</v>
      </c>
      <c s="24" t="e">
        <f>Mixer!#REF!</f>
        <v>#REF!</v>
      </c>
      <c r="KN17" s="24">
        <f>S_TP(C17,D9,D10)</f>
        <v>0.066712775888888881</v>
      </c>
      <c s="24">
        <f>G_TP(C17,D9,D10)</f>
        <v>-10.708858575716665</v>
      </c>
      <c s="24">
        <f>CHEMICALEXERGY(C17,D9)</f>
        <v>15.397949980911889</v>
      </c>
      <c s="24">
        <f>PHYSICALEXERGY(C17,D9,D10)</f>
        <v>0</v>
      </c>
      <c s="24">
        <f t="shared" si="10"/>
        <v>15.397949980911889</v>
      </c>
      <c r="KT17" s="24" t="s">
        <v>219</v>
      </c>
      <c s="24" t="s">
        <v>218</v>
      </c>
      <c r="KY17" s="20"/>
      <c s="24">
        <v>1890431872</v>
      </c>
    </row>
    <row ht="14.95" s="24" customFormat="1">
      <c r="C18" s="24" t="s">
        <v>220</v>
      </c>
      <c r="E18" s="11"/>
      <c s="24">
        <f>Input!H18*Input!M18</f>
        <v>0</v>
      </c>
      <c s="24">
        <f>0.01*Input!D8*Input!D18</f>
        <v>0</v>
      </c>
      <c s="11">
        <f>Input!G18/(0.0224139681481865*1000)</f>
        <v>0</v>
      </c>
      <c s="24">
        <f>Input!H18*Input!K18</f>
        <v>0</v>
      </c>
      <c s="24">
        <f>Input!H18*Input!L18</f>
        <v>0</v>
      </c>
      <c s="24">
        <f>HLATTP(C18,D9,D10)</f>
        <v>0</v>
      </c>
      <c s="24">
        <f>H_TP(C18,D9,D10)</f>
        <v>25.083333364444446</v>
      </c>
      <c s="24">
        <v>30.0061</v>
      </c>
      <c s="24">
        <f t="shared" si="9"/>
        <v>1.338723237296461</v>
      </c>
      <c r="R18" s="24">
        <f>KN18*Input!H18*(Input!D9+273.15)</f>
        <v>0</v>
      </c>
      <c s="24">
        <f>KO18*Input!H18</f>
        <v>0</v>
      </c>
      <c r="U18" s="24">
        <f>KP18*Input!H18</f>
        <v>0</v>
      </c>
      <c s="24">
        <f>KQ18*Input!H18</f>
        <v>0</v>
      </c>
      <c s="11">
        <f>KR18*Input!H18</f>
        <v>0</v>
      </c>
      <c r="CA18" s="24">
        <f>0.466795084999383*Input!F18</f>
        <v>0</v>
      </c>
      <c r="CH18" s="24">
        <f>0.533204915000617*Input!F18</f>
        <v>0</v>
      </c>
      <c r="EV18" s="24">
        <f>Mixer!D15</f>
        <v>100</v>
      </c>
      <c s="24" t="e">
        <f>Mixer!#REF!</f>
        <v>#REF!</v>
      </c>
      <c r="KN18" s="24">
        <f>S_TP(C18,D9,D10)</f>
        <v>0.058540276775555553</v>
      </c>
      <c s="24">
        <f>G_TP(C18,D9,D10)</f>
        <v>7.6295498438125611</v>
      </c>
      <c s="24">
        <f>CHEMICALEXERGY(C18,D9)</f>
        <v>24.696750810751563</v>
      </c>
      <c s="24">
        <f>PHYSICALEXERGY(C18,D9,D10)</f>
        <v>0</v>
      </c>
      <c s="24">
        <f t="shared" si="10"/>
        <v>24.696750810751563</v>
      </c>
      <c r="KT18" s="24" t="s">
        <v>221</v>
      </c>
      <c s="24" t="s">
        <v>218</v>
      </c>
      <c r="KY18" s="20"/>
      <c s="24">
        <v>1914580352</v>
      </c>
    </row>
    <row ht="14.95" s="24" customFormat="1">
      <c r="C19" s="24" t="s">
        <v>222</v>
      </c>
      <c r="E19" s="11"/>
      <c s="24">
        <f>Input!H19*Input!M19</f>
        <v>0</v>
      </c>
      <c s="24">
        <f>0.01*Input!D8*Input!D19</f>
        <v>0</v>
      </c>
      <c s="11">
        <f>Input!G19/(0.0224139681481865*1000)</f>
        <v>0</v>
      </c>
      <c s="24">
        <f>Input!H19*Input!K19</f>
        <v>0</v>
      </c>
      <c s="24">
        <f>Input!H19*Input!L19</f>
        <v>0</v>
      </c>
      <c s="24">
        <f>HLATTP(C19,D9,D10)</f>
        <v>0</v>
      </c>
      <c s="24">
        <f>H_TP(C19,D9,D10)</f>
        <v>0</v>
      </c>
      <c s="24">
        <v>31.998799999999999</v>
      </c>
      <c s="24">
        <f t="shared" si="9"/>
        <v>1.4276276199040194</v>
      </c>
      <c r="R19" s="24">
        <f>KN19*Input!H19*(Input!D9+273.15)</f>
        <v>0</v>
      </c>
      <c s="24">
        <f>KO19*Input!H19</f>
        <v>0</v>
      </c>
      <c r="U19" s="24">
        <f>KP19*Input!H19</f>
        <v>0</v>
      </c>
      <c s="24">
        <f>KQ19*Input!H19</f>
        <v>0</v>
      </c>
      <c s="11">
        <f>KR19*Input!H19</f>
        <v>0</v>
      </c>
      <c r="CH19" s="24">
        <f>Input!F19</f>
        <v>0</v>
      </c>
      <c r="EV19" s="24">
        <f>Mixer!D16</f>
        <v>100</v>
      </c>
      <c s="24" t="e">
        <f>Mixer!#REF!</f>
        <v>#REF!</v>
      </c>
      <c r="KN19" s="24">
        <f>S_TP(C19,D9,D10)</f>
        <v>0.05698583360888889</v>
      </c>
      <c s="24">
        <f>G_TP(C19,D9,D10)</f>
        <v>-16.99032629049022</v>
      </c>
      <c s="24">
        <f>CHEMICALEXERGY(C19,D9)</f>
        <v>1.088888888888889</v>
      </c>
      <c s="24">
        <f>PHYSICALEXERGY(C19,D9,D10)</f>
        <v>0</v>
      </c>
      <c s="24">
        <f t="shared" si="10"/>
        <v>1.088888888888889</v>
      </c>
      <c r="KT19" s="24" t="s">
        <v>224</v>
      </c>
      <c s="24" t="s">
        <v>223</v>
      </c>
      <c r="KY19" s="20"/>
      <c s="24">
        <v>1658111872</v>
      </c>
    </row>
    <row ht="14.95" s="20" customFormat="1">
      <c r="E20" s="11"/>
      <c r="H20" s="11"/>
      <c r="W20" s="11"/>
      <c r="KT20" s="20" t="s">
        <v>187</v>
      </c>
      <c r="KZ20" s="20">
        <v>1515151744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26"/>
  <sheetViews>
    <sheetView tabSelected="1" workbookViewId="0">
      <pane xSplit="0" ySplit="7" topLeftCell="A8" activePane="bottomLeft" state="frozenSplit"/>
      <selection pane="bottomLeft" activeCell="C25" sqref="C25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5.93359375" bestFit="1" customWidth="1"/>
    <col min="5" max="5" width="6.63671875" bestFit="1" customWidth="1"/>
    <col min="6" max="6" width="9.90625" bestFit="1" customWidth="1"/>
    <col min="7" max="7" width="6.296875" bestFit="1" customWidth="1"/>
    <col min="8" max="8" width="6.75390625" bestFit="1" customWidth="1"/>
    <col min="9" max="9" width="13.55859375" bestFit="1" customWidth="1"/>
    <col min="10" max="10" width="11.226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0" width="7.375" bestFit="1" customWidth="1"/>
    <col min="141" max="141" width="7.24609375" bestFit="1" customWidth="1"/>
    <col min="145" max="145" width="7.375" bestFit="1" customWidth="1"/>
    <col min="146" max="146" width="7.24609375" bestFit="1" customWidth="1"/>
    <col min="257" max="16384" width="8.8984375" hidden="1" customWidth="1"/>
  </cols>
  <sheetData>
    <row ht="14.95" s="33" customFormat="1">
      <c r="C1" s="31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3" customFormat="1">
      <c r="EE2" s="33" t="s">
        <v>141</v>
      </c>
      <c s="33" t="s">
        <v>142</v>
      </c>
      <c r="EJ2" s="33" t="s">
        <v>141</v>
      </c>
      <c s="33" t="s">
        <v>142</v>
      </c>
      <c r="EO2" s="33" t="s">
        <v>141</v>
      </c>
      <c s="33" t="s">
        <v>142</v>
      </c>
    </row>
    <row ht="14.95" s="35" customFormat="1"/>
    <row ht="14.95" s="36" customFormat="1">
      <c s="36" t="s">
        <v>0</v>
      </c>
      <c r="C4" s="36" t="s">
        <v>27</v>
      </c>
      <c s="36" t="s">
        <v>2</v>
      </c>
      <c s="13" t="s">
        <v>3</v>
      </c>
      <c s="36" t="s">
        <v>4</v>
      </c>
      <c r="H4" s="13"/>
      <c s="36" t="s">
        <v>8</v>
      </c>
      <c s="36" t="s">
        <v>10</v>
      </c>
      <c s="36" t="s">
        <v>11</v>
      </c>
      <c s="36" t="s">
        <v>13</v>
      </c>
      <c s="36" t="s">
        <v>14</v>
      </c>
      <c s="36" t="s">
        <v>16</v>
      </c>
      <c r="R4" s="36" t="s">
        <v>18</v>
      </c>
      <c s="36" t="s">
        <v>19</v>
      </c>
      <c s="36" t="s">
        <v>20</v>
      </c>
      <c s="36" t="s">
        <v>21</v>
      </c>
      <c s="36" t="s">
        <v>22</v>
      </c>
      <c s="13" t="s">
        <v>23</v>
      </c>
      <c s="36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</row>
    <row ht="14.95" s="41" customFormat="1">
      <c r="E5" s="15"/>
      <c s="41" t="s">
        <v>5</v>
      </c>
      <c s="41" t="s">
        <v>6</v>
      </c>
      <c s="15" t="s">
        <v>7</v>
      </c>
      <c s="41" t="s">
        <v>9</v>
      </c>
      <c s="41" t="s">
        <v>9</v>
      </c>
      <c s="41" t="s">
        <v>12</v>
      </c>
      <c s="41" t="s">
        <v>12</v>
      </c>
      <c s="41" t="s">
        <v>15</v>
      </c>
      <c s="41" t="s">
        <v>17</v>
      </c>
      <c r="R5" s="41" t="s">
        <v>9</v>
      </c>
      <c s="41" t="s">
        <v>9</v>
      </c>
      <c r="U5" s="41" t="s">
        <v>9</v>
      </c>
      <c s="41" t="s">
        <v>9</v>
      </c>
      <c s="15" t="s">
        <v>9</v>
      </c>
      <c s="41" t="s">
        <v>25</v>
      </c>
      <c s="41" t="s">
        <v>7</v>
      </c>
      <c r="AO5" s="41">
        <f>AO6/12.0107</f>
        <v>0</v>
      </c>
      <c r="BK5" s="41">
        <f>BK6/1.00794</f>
        <v>0</v>
      </c>
      <c r="CA5" s="41">
        <f>CA6/14.0067</f>
        <v>0</v>
      </c>
      <c r="CH5" s="41">
        <f>CH6/15.9994</f>
        <v>0</v>
      </c>
    </row>
    <row ht="14.95" s="41" customFormat="1">
      <c r="C6" s="41" t="s">
        <v>145</v>
      </c>
      <c s="41">
        <v>0</v>
      </c>
      <c s="15" t="s">
        <v>146</v>
      </c>
      <c r="H6" s="15"/>
      <c r="W6" s="15"/>
      <c s="41" t="s">
        <v>25</v>
      </c>
      <c s="41" t="s">
        <v>5</v>
      </c>
      <c r="AO6" s="41">
        <f>AO7</f>
        <v>0</v>
      </c>
      <c r="BK6" s="41">
        <f>BK7</f>
        <v>0</v>
      </c>
      <c r="CA6" s="41">
        <f>CA7</f>
        <v>0</v>
      </c>
      <c r="CH6" s="41">
        <f>CH7</f>
        <v>0</v>
      </c>
    </row>
    <row ht="14.95" s="40" customFormat="1">
      <c r="C7" s="40" t="s">
        <v>147</v>
      </c>
      <c s="40">
        <f>(F11+F24)/1000</f>
        <v>0</v>
      </c>
      <c s="16" t="s">
        <v>148</v>
      </c>
      <c s="40">
        <f t="shared" si="0" ref="F7:J7">F11+F24</f>
        <v>0</v>
      </c>
      <c s="40">
        <f t="shared" si="0"/>
        <v>0</v>
      </c>
      <c s="16">
        <f t="shared" si="0"/>
        <v>0</v>
      </c>
      <c s="40">
        <f t="shared" si="0"/>
        <v>0</v>
      </c>
      <c s="40">
        <f t="shared" si="0"/>
        <v>50</v>
      </c>
      <c r="R7" s="40">
        <f t="shared" si="1" ref="R7:S7">R11+R24</f>
        <v>0</v>
      </c>
      <c s="40">
        <f t="shared" si="1"/>
        <v>0</v>
      </c>
      <c r="U7" s="40">
        <f t="shared" si="2" ref="U7:W7">U11+U24</f>
        <v>0</v>
      </c>
      <c s="40">
        <f t="shared" si="2"/>
        <v>0</v>
      </c>
      <c s="16">
        <f t="shared" si="2"/>
        <v>0</v>
      </c>
      <c s="40" t="s">
        <v>26</v>
      </c>
      <c s="40" t="s">
        <v>5</v>
      </c>
      <c r="AO7" s="40">
        <f>AO11+AO24</f>
        <v>0</v>
      </c>
      <c r="BK7" s="40">
        <f>BK11+BK24</f>
        <v>0</v>
      </c>
      <c r="CA7" s="40">
        <f>CA11+CA24</f>
        <v>0</v>
      </c>
      <c r="CH7" s="40">
        <f>CH11+CH24</f>
        <v>0</v>
      </c>
      <c r="EC7" s="40" t="s">
        <v>26</v>
      </c>
      <c s="40" t="s">
        <v>6</v>
      </c>
      <c s="40">
        <f t="shared" si="3" ref="EE7:EF7">EE11+EE24</f>
        <v>0</v>
      </c>
      <c s="40">
        <f t="shared" si="3"/>
        <v>0</v>
      </c>
      <c r="EH7" s="40" t="s">
        <v>26</v>
      </c>
      <c s="40" t="str">
        <f>POWERU()</f>
        <v>kW</v>
      </c>
      <c s="40">
        <f t="shared" si="4" ref="EJ7:EK7">EJ11+EJ24</f>
        <v>0</v>
      </c>
      <c s="40">
        <f t="shared" si="4"/>
        <v>0</v>
      </c>
      <c r="EM7" s="40" t="s">
        <v>26</v>
      </c>
      <c s="40" t="str">
        <f>POWERU()</f>
        <v>kW</v>
      </c>
      <c s="40">
        <f t="shared" si="5" ref="EO7:EP7">EO11+EO24</f>
        <v>0</v>
      </c>
      <c s="40">
        <f t="shared" si="5"/>
        <v>0</v>
      </c>
    </row>
    <row ht="14.95" s="27" customFormat="1">
      <c s="27" t="s">
        <v>183</v>
      </c>
      <c r="C8" s="25" t="s">
        <v>202</v>
      </c>
      <c s="27">
        <f>F11/1000</f>
        <v>0</v>
      </c>
      <c s="71" t="s">
        <v>148</v>
      </c>
      <c s="27" t="s">
        <v>4</v>
      </c>
      <c r="H8" s="17"/>
      <c s="27" t="s">
        <v>8</v>
      </c>
      <c s="27" t="s">
        <v>10</v>
      </c>
      <c s="27" t="s">
        <v>11</v>
      </c>
      <c s="27" t="s">
        <v>13</v>
      </c>
      <c s="27" t="s">
        <v>14</v>
      </c>
      <c s="27" t="s">
        <v>16</v>
      </c>
      <c r="R8" s="27" t="s">
        <v>18</v>
      </c>
      <c s="27" t="s">
        <v>19</v>
      </c>
      <c s="27" t="s">
        <v>20</v>
      </c>
      <c s="27" t="s">
        <v>21</v>
      </c>
      <c s="27" t="s">
        <v>22</v>
      </c>
      <c s="17" t="s">
        <v>23</v>
      </c>
      <c s="27" t="s">
        <v>24</v>
      </c>
      <c r="AA8" s="27" t="s">
        <v>34</v>
      </c>
      <c s="27" t="s">
        <v>35</v>
      </c>
      <c s="27" t="s">
        <v>36</v>
      </c>
      <c s="27" t="s">
        <v>37</v>
      </c>
      <c s="27" t="s">
        <v>38</v>
      </c>
      <c s="27" t="s">
        <v>39</v>
      </c>
      <c s="27" t="s">
        <v>40</v>
      </c>
      <c s="27" t="s">
        <v>41</v>
      </c>
      <c s="27" t="s">
        <v>42</v>
      </c>
      <c s="27" t="s">
        <v>43</v>
      </c>
      <c s="27" t="s">
        <v>44</v>
      </c>
      <c s="27" t="s">
        <v>45</v>
      </c>
      <c s="27" t="s">
        <v>46</v>
      </c>
      <c s="27" t="s">
        <v>47</v>
      </c>
      <c s="27" t="s">
        <v>48</v>
      </c>
      <c s="27" t="s">
        <v>49</v>
      </c>
      <c s="27" t="s">
        <v>50</v>
      </c>
      <c s="27" t="s">
        <v>51</v>
      </c>
      <c s="27" t="s">
        <v>52</v>
      </c>
      <c s="27" t="s">
        <v>53</v>
      </c>
      <c s="27" t="s">
        <v>54</v>
      </c>
      <c s="27" t="s">
        <v>55</v>
      </c>
      <c s="27" t="s">
        <v>56</v>
      </c>
      <c s="27" t="s">
        <v>57</v>
      </c>
      <c s="27" t="s">
        <v>58</v>
      </c>
      <c s="27" t="s">
        <v>59</v>
      </c>
      <c s="27" t="s">
        <v>60</v>
      </c>
      <c s="27" t="s">
        <v>61</v>
      </c>
      <c s="27" t="s">
        <v>62</v>
      </c>
      <c s="27" t="s">
        <v>63</v>
      </c>
      <c s="27" t="s">
        <v>64</v>
      </c>
      <c s="27" t="s">
        <v>65</v>
      </c>
      <c s="27" t="s">
        <v>66</v>
      </c>
      <c s="27" t="s">
        <v>67</v>
      </c>
      <c s="27" t="s">
        <v>68</v>
      </c>
      <c s="27" t="s">
        <v>69</v>
      </c>
      <c s="27" t="s">
        <v>70</v>
      </c>
      <c s="27" t="s">
        <v>71</v>
      </c>
      <c s="27" t="s">
        <v>72</v>
      </c>
      <c s="27" t="s">
        <v>73</v>
      </c>
      <c s="27" t="s">
        <v>74</v>
      </c>
      <c s="27" t="s">
        <v>75</v>
      </c>
      <c s="27" t="s">
        <v>76</v>
      </c>
      <c s="27" t="s">
        <v>77</v>
      </c>
      <c s="27" t="s">
        <v>78</v>
      </c>
      <c s="27" t="s">
        <v>79</v>
      </c>
      <c s="27" t="s">
        <v>80</v>
      </c>
      <c s="27" t="s">
        <v>81</v>
      </c>
      <c s="27" t="s">
        <v>82</v>
      </c>
      <c s="27" t="s">
        <v>83</v>
      </c>
      <c s="27" t="s">
        <v>84</v>
      </c>
      <c s="27" t="s">
        <v>85</v>
      </c>
      <c s="27" t="s">
        <v>86</v>
      </c>
      <c s="27" t="s">
        <v>87</v>
      </c>
      <c s="27" t="s">
        <v>88</v>
      </c>
      <c s="27" t="s">
        <v>89</v>
      </c>
      <c s="27" t="s">
        <v>90</v>
      </c>
      <c s="27" t="s">
        <v>91</v>
      </c>
      <c s="27" t="s">
        <v>92</v>
      </c>
      <c s="27" t="s">
        <v>93</v>
      </c>
      <c s="27" t="s">
        <v>94</v>
      </c>
      <c s="27" t="s">
        <v>95</v>
      </c>
      <c s="27" t="s">
        <v>96</v>
      </c>
      <c s="27" t="s">
        <v>97</v>
      </c>
      <c s="27" t="s">
        <v>98</v>
      </c>
      <c s="27" t="s">
        <v>99</v>
      </c>
      <c s="27" t="s">
        <v>100</v>
      </c>
      <c s="27" t="s">
        <v>101</v>
      </c>
      <c s="27" t="s">
        <v>102</v>
      </c>
      <c s="27" t="s">
        <v>103</v>
      </c>
      <c s="27" t="s">
        <v>104</v>
      </c>
      <c s="27" t="s">
        <v>105</v>
      </c>
      <c s="27" t="s">
        <v>106</v>
      </c>
      <c s="27" t="s">
        <v>107</v>
      </c>
      <c s="27" t="s">
        <v>108</v>
      </c>
      <c s="27" t="s">
        <v>109</v>
      </c>
      <c s="27" t="s">
        <v>110</v>
      </c>
      <c s="27" t="s">
        <v>111</v>
      </c>
      <c s="27" t="s">
        <v>112</v>
      </c>
      <c s="27" t="s">
        <v>113</v>
      </c>
      <c s="27" t="s">
        <v>114</v>
      </c>
      <c s="27" t="s">
        <v>115</v>
      </c>
      <c s="27" t="s">
        <v>116</v>
      </c>
      <c s="27" t="s">
        <v>117</v>
      </c>
      <c s="27" t="s">
        <v>118</v>
      </c>
      <c s="27" t="s">
        <v>119</v>
      </c>
      <c s="27" t="s">
        <v>120</v>
      </c>
      <c s="27" t="s">
        <v>121</v>
      </c>
      <c s="27" t="s">
        <v>122</v>
      </c>
      <c s="27" t="s">
        <v>123</v>
      </c>
      <c s="27" t="s">
        <v>124</v>
      </c>
      <c s="27" t="s">
        <v>125</v>
      </c>
      <c s="27" t="s">
        <v>126</v>
      </c>
      <c s="27" t="s">
        <v>127</v>
      </c>
      <c s="27" t="s">
        <v>128</v>
      </c>
      <c s="27" t="s">
        <v>129</v>
      </c>
      <c s="27" t="s">
        <v>130</v>
      </c>
      <c s="27" t="s">
        <v>131</v>
      </c>
      <c s="27" t="s">
        <v>132</v>
      </c>
      <c s="27" t="s">
        <v>133</v>
      </c>
      <c s="27" t="s">
        <v>134</v>
      </c>
      <c s="27" t="s">
        <v>135</v>
      </c>
      <c s="27" t="s">
        <v>136</v>
      </c>
      <c s="27" t="s">
        <v>137</v>
      </c>
      <c r="IW8" s="27" t="s">
        <v>201</v>
      </c>
    </row>
    <row ht="14.95" s="23" customFormat="1">
      <c r="C9" s="23" t="s">
        <v>185</v>
      </c>
      <c s="9">
        <v>25</v>
      </c>
      <c s="12" t="str">
        <f>TEMPU()</f>
        <v>°C</v>
      </c>
      <c s="23" t="s">
        <v>5</v>
      </c>
      <c s="23" t="s">
        <v>6</v>
      </c>
      <c s="12" t="s">
        <v>7</v>
      </c>
      <c s="23" t="s">
        <v>9</v>
      </c>
      <c s="23" t="s">
        <v>9</v>
      </c>
      <c s="23" t="s">
        <v>12</v>
      </c>
      <c s="23" t="s">
        <v>12</v>
      </c>
      <c s="23" t="s">
        <v>15</v>
      </c>
      <c s="23" t="s">
        <v>17</v>
      </c>
      <c r="R9" s="23" t="s">
        <v>9</v>
      </c>
      <c s="23" t="s">
        <v>9</v>
      </c>
      <c r="U9" s="23" t="s">
        <v>9</v>
      </c>
      <c s="23" t="s">
        <v>9</v>
      </c>
      <c s="12" t="s">
        <v>9</v>
      </c>
    </row>
    <row ht="14.95" s="23" customFormat="1">
      <c r="C10" s="23" t="s">
        <v>186</v>
      </c>
      <c s="9">
        <v>1</v>
      </c>
      <c s="12" t="str">
        <f>PRESU()</f>
        <v>bar</v>
      </c>
      <c r="H10" s="12"/>
      <c r="W10" s="12"/>
      <c s="23" t="s">
        <v>26</v>
      </c>
      <c s="23" t="s">
        <v>33</v>
      </c>
      <c r="AA10" s="23">
        <f>100*SAFEDIV(Output!AA11,Output!F11)</f>
        <v>0</v>
      </c>
      <c s="23">
        <f>100*SAFEDIV(Output!AB11,Output!F11)</f>
        <v>0</v>
      </c>
      <c s="23">
        <f>100*SAFEDIV(Output!AC11,Output!F11)</f>
        <v>0</v>
      </c>
      <c s="23">
        <f>100*SAFEDIV(Output!AD11,Output!F11)</f>
        <v>0</v>
      </c>
      <c s="23">
        <f>100*SAFEDIV(Output!AE11,Output!F11)</f>
        <v>0</v>
      </c>
      <c s="23">
        <f>100*SAFEDIV(Output!AF11,Output!F11)</f>
        <v>0</v>
      </c>
      <c s="23">
        <f>100*SAFEDIV(Output!AG11,Output!F11)</f>
        <v>0</v>
      </c>
      <c s="23">
        <f>100*SAFEDIV(Output!AH11,Output!F11)</f>
        <v>0</v>
      </c>
      <c s="23">
        <f>100*SAFEDIV(Output!AI11,Output!F11)</f>
        <v>0</v>
      </c>
      <c s="23">
        <f>100*SAFEDIV(Output!AJ11,Output!F11)</f>
        <v>0</v>
      </c>
      <c s="23">
        <f>100*SAFEDIV(Output!AK11,Output!F11)</f>
        <v>0</v>
      </c>
      <c s="23">
        <f>100*SAFEDIV(Output!AL11,Output!F11)</f>
        <v>0</v>
      </c>
      <c s="23">
        <f>100*SAFEDIV(Output!AM11,Output!F11)</f>
        <v>0</v>
      </c>
      <c s="23">
        <f>100*SAFEDIV(Output!AN11,Output!F11)</f>
        <v>0</v>
      </c>
      <c s="23">
        <f>100*SAFEDIV(Output!AO11,Output!F11)</f>
        <v>0</v>
      </c>
      <c s="23">
        <f>100*SAFEDIV(Output!AP11,Output!F11)</f>
        <v>0</v>
      </c>
      <c s="23">
        <f>100*SAFEDIV(Output!AQ11,Output!F11)</f>
        <v>0</v>
      </c>
      <c s="23">
        <f>100*SAFEDIV(Output!AR11,Output!F11)</f>
        <v>0</v>
      </c>
      <c s="23">
        <f>100*SAFEDIV(Output!AS11,Output!F11)</f>
        <v>0</v>
      </c>
      <c s="23">
        <f>100*SAFEDIV(Output!AT11,Output!F11)</f>
        <v>0</v>
      </c>
      <c s="23">
        <f>100*SAFEDIV(Output!AU11,Output!F11)</f>
        <v>0</v>
      </c>
      <c s="23">
        <f>100*SAFEDIV(Output!AV11,Output!F11)</f>
        <v>0</v>
      </c>
      <c s="23">
        <f>100*SAFEDIV(Output!AW11,Output!F11)</f>
        <v>0</v>
      </c>
      <c s="23">
        <f>100*SAFEDIV(Output!AX11,Output!F11)</f>
        <v>0</v>
      </c>
      <c s="23">
        <f>100*SAFEDIV(Output!AY11,Output!F11)</f>
        <v>0</v>
      </c>
      <c s="23">
        <f>100*SAFEDIV(Output!AZ11,Output!F11)</f>
        <v>0</v>
      </c>
      <c s="23">
        <f>100*SAFEDIV(Output!BA11,Output!F11)</f>
        <v>0</v>
      </c>
      <c s="23">
        <f>100*SAFEDIV(Output!BB11,Output!F11)</f>
        <v>0</v>
      </c>
      <c s="23">
        <f>100*SAFEDIV(Output!BC11,Output!F11)</f>
        <v>0</v>
      </c>
      <c s="23">
        <f>100*SAFEDIV(Output!BD11,Output!F11)</f>
        <v>0</v>
      </c>
      <c s="23">
        <f>100*SAFEDIV(Output!BE11,Output!F11)</f>
        <v>0</v>
      </c>
      <c s="23">
        <f>100*SAFEDIV(Output!BF11,Output!F11)</f>
        <v>0</v>
      </c>
      <c s="23">
        <f>100*SAFEDIV(Output!BG11,Output!F11)</f>
        <v>0</v>
      </c>
      <c s="23">
        <f>100*SAFEDIV(Output!BH11,Output!F11)</f>
        <v>0</v>
      </c>
      <c s="23">
        <f>100*SAFEDIV(Output!BI11,Output!F11)</f>
        <v>0</v>
      </c>
      <c s="23">
        <f>100*SAFEDIV(Output!BJ11,Output!F11)</f>
        <v>0</v>
      </c>
      <c s="23">
        <f>100*SAFEDIV(Output!BK11,Output!F11)</f>
        <v>0</v>
      </c>
      <c s="23">
        <f>100*SAFEDIV(Output!BL11,Output!F11)</f>
        <v>0</v>
      </c>
      <c s="23">
        <f>100*SAFEDIV(Output!BM11,Output!F11)</f>
        <v>0</v>
      </c>
      <c s="23">
        <f>100*SAFEDIV(Output!BN11,Output!F11)</f>
        <v>0</v>
      </c>
      <c s="23">
        <f>100*SAFEDIV(Output!BO11,Output!F11)</f>
        <v>0</v>
      </c>
      <c s="23">
        <f>100*SAFEDIV(Output!BP11,Output!F11)</f>
        <v>0</v>
      </c>
      <c s="23">
        <f>100*SAFEDIV(Output!BQ11,Output!F11)</f>
        <v>0</v>
      </c>
      <c s="23">
        <f>100*SAFEDIV(Output!BR11,Output!F11)</f>
        <v>0</v>
      </c>
      <c s="23">
        <f>100*SAFEDIV(Output!BS11,Output!F11)</f>
        <v>0</v>
      </c>
      <c s="23">
        <f>100*SAFEDIV(Output!BT11,Output!F11)</f>
        <v>0</v>
      </c>
      <c s="23">
        <f>100*SAFEDIV(Output!BU11,Output!F11)</f>
        <v>0</v>
      </c>
      <c s="23">
        <f>100*SAFEDIV(Output!BV11,Output!F11)</f>
        <v>0</v>
      </c>
      <c s="23">
        <f>100*SAFEDIV(Output!BW11,Output!F11)</f>
        <v>0</v>
      </c>
      <c s="23">
        <f>100*SAFEDIV(Output!BX11,Output!F11)</f>
        <v>0</v>
      </c>
      <c s="23">
        <f>100*SAFEDIV(Output!BY11,Output!F11)</f>
        <v>0</v>
      </c>
      <c s="23">
        <f>100*SAFEDIV(Output!BZ11,Output!F11)</f>
        <v>0</v>
      </c>
      <c s="23">
        <f>100*SAFEDIV(Output!CA11,Output!F11)</f>
        <v>0</v>
      </c>
      <c s="23">
        <f>100*SAFEDIV(Output!CB11,Output!F11)</f>
        <v>0</v>
      </c>
      <c s="23">
        <f>100*SAFEDIV(Output!CC11,Output!F11)</f>
        <v>0</v>
      </c>
      <c s="23">
        <f>100*SAFEDIV(Output!CD11,Output!F11)</f>
        <v>0</v>
      </c>
      <c s="23">
        <f>100*SAFEDIV(Output!CE11,Output!F11)</f>
        <v>0</v>
      </c>
      <c s="23">
        <f>100*SAFEDIV(Output!CF11,Output!F11)</f>
        <v>0</v>
      </c>
      <c s="23">
        <f>100*SAFEDIV(Output!CG11,Output!F11)</f>
        <v>0</v>
      </c>
      <c s="23">
        <f>100*SAFEDIV(Output!CH11,Output!F11)</f>
        <v>0</v>
      </c>
      <c s="23">
        <f>100*SAFEDIV(Output!CI11,Output!F11)</f>
        <v>0</v>
      </c>
      <c s="23">
        <f>100*SAFEDIV(Output!CJ11,Output!F11)</f>
        <v>0</v>
      </c>
      <c s="23">
        <f>100*SAFEDIV(Output!CK11,Output!F11)</f>
        <v>0</v>
      </c>
      <c s="23">
        <f>100*SAFEDIV(Output!CL11,Output!F11)</f>
        <v>0</v>
      </c>
      <c s="23">
        <f>100*SAFEDIV(Output!CM11,Output!F11)</f>
        <v>0</v>
      </c>
      <c s="23">
        <f>100*SAFEDIV(Output!CN11,Output!F11)</f>
        <v>0</v>
      </c>
      <c s="23">
        <f>100*SAFEDIV(Output!CO11,Output!F11)</f>
        <v>0</v>
      </c>
      <c s="23">
        <f>100*SAFEDIV(Output!CP11,Output!F11)</f>
        <v>0</v>
      </c>
      <c s="23">
        <f>100*SAFEDIV(Output!CQ11,Output!F11)</f>
        <v>0</v>
      </c>
      <c s="23">
        <f>100*SAFEDIV(Output!CR11,Output!F11)</f>
        <v>0</v>
      </c>
      <c s="23">
        <f>100*SAFEDIV(Output!CS11,Output!F11)</f>
        <v>0</v>
      </c>
      <c s="23">
        <f>100*SAFEDIV(Output!CT11,Output!F11)</f>
        <v>0</v>
      </c>
      <c s="23">
        <f>100*SAFEDIV(Output!CU11,Output!F11)</f>
        <v>0</v>
      </c>
      <c s="23">
        <f>100*SAFEDIV(Output!CV11,Output!F11)</f>
        <v>0</v>
      </c>
      <c s="23">
        <f>100*SAFEDIV(Output!CW11,Output!F11)</f>
        <v>0</v>
      </c>
      <c s="23">
        <f>100*SAFEDIV(Output!CX11,Output!F11)</f>
        <v>0</v>
      </c>
      <c s="23">
        <f>100*SAFEDIV(Output!CY11,Output!F11)</f>
        <v>0</v>
      </c>
      <c s="23">
        <f>100*SAFEDIV(Output!CZ11,Output!F11)</f>
        <v>0</v>
      </c>
      <c s="23">
        <f>100*SAFEDIV(Output!DA11,Output!F11)</f>
        <v>0</v>
      </c>
      <c s="23">
        <f>100*SAFEDIV(Output!DB11,Output!F11)</f>
        <v>0</v>
      </c>
      <c s="23">
        <f>100*SAFEDIV(Output!DC11,Output!F11)</f>
        <v>0</v>
      </c>
      <c s="23">
        <f>100*SAFEDIV(Output!DD11,Output!F11)</f>
        <v>0</v>
      </c>
      <c s="23">
        <f>100*SAFEDIV(Output!DE11,Output!F11)</f>
        <v>0</v>
      </c>
      <c s="23">
        <f>100*SAFEDIV(Output!DF11,Output!F11)</f>
        <v>0</v>
      </c>
      <c s="23">
        <f>100*SAFEDIV(Output!DG11,Output!F11)</f>
        <v>0</v>
      </c>
      <c s="23">
        <f>100*SAFEDIV(Output!DH11,Output!F11)</f>
        <v>0</v>
      </c>
      <c s="23">
        <f>100*SAFEDIV(Output!DI11,Output!F11)</f>
        <v>0</v>
      </c>
      <c s="23">
        <f>100*SAFEDIV(Output!DJ11,Output!F11)</f>
        <v>0</v>
      </c>
      <c s="23">
        <f>100*SAFEDIV(Output!DK11,Output!F11)</f>
        <v>0</v>
      </c>
      <c s="23">
        <f>100*SAFEDIV(Output!DL11,Output!F11)</f>
        <v>0</v>
      </c>
      <c s="23">
        <f>100*SAFEDIV(Output!DM11,Output!F11)</f>
        <v>0</v>
      </c>
      <c s="23">
        <f>100*SAFEDIV(Output!DN11,Output!F11)</f>
        <v>0</v>
      </c>
      <c s="23">
        <f>100*SAFEDIV(Output!DO11,Output!F11)</f>
        <v>0</v>
      </c>
      <c s="23">
        <f>100*SAFEDIV(Output!DP11,Output!F11)</f>
        <v>0</v>
      </c>
      <c s="23">
        <f>100*SAFEDIV(Output!DQ11,Output!F11)</f>
        <v>0</v>
      </c>
      <c s="23">
        <f>100*SAFEDIV(Output!DR11,Output!F11)</f>
        <v>0</v>
      </c>
      <c s="23">
        <f>100*SAFEDIV(Output!DS11,Output!F11)</f>
        <v>0</v>
      </c>
      <c s="23">
        <f>100*SAFEDIV(Output!DT11,Output!F11)</f>
        <v>0</v>
      </c>
      <c s="23">
        <f>100*SAFEDIV(Output!DU11,Output!F11)</f>
        <v>0</v>
      </c>
      <c s="23">
        <f>100*SAFEDIV(Output!DV11,Output!F11)</f>
        <v>0</v>
      </c>
      <c s="23">
        <f>100*SAFEDIV(Output!DW11,Output!F11)</f>
        <v>0</v>
      </c>
      <c s="23">
        <f>100*SAFEDIV(Output!DX11,Output!F11)</f>
        <v>0</v>
      </c>
      <c s="23">
        <f>100*SAFEDIV(Output!DY11,Output!F11)</f>
        <v>0</v>
      </c>
      <c s="23">
        <f>100*SAFEDIV(Output!DZ11,Output!F11)</f>
        <v>0</v>
      </c>
    </row>
    <row ht="14.95" s="29" customFormat="1">
      <c s="29" t="s">
        <v>184</v>
      </c>
      <c r="C11" s="29" t="s">
        <v>26</v>
      </c>
      <c s="29">
        <f>SUM(Output!D12:Output!D20)</f>
        <v>0</v>
      </c>
      <c s="10" t="s">
        <v>33</v>
      </c>
      <c s="29">
        <f t="shared" si="6" ref="F11:J11">SUM(F12:F20)</f>
        <v>0</v>
      </c>
      <c s="29">
        <f t="shared" si="6"/>
        <v>0</v>
      </c>
      <c s="10">
        <f t="shared" si="6"/>
        <v>0</v>
      </c>
      <c s="29">
        <f t="shared" si="6"/>
        <v>0</v>
      </c>
      <c s="29">
        <f t="shared" si="6"/>
        <v>0</v>
      </c>
      <c r="R11" s="29">
        <f t="shared" si="7" ref="R11:S11">SUM(R12:R20)</f>
        <v>0</v>
      </c>
      <c s="29">
        <f t="shared" si="7"/>
        <v>0</v>
      </c>
      <c r="U11" s="29">
        <f t="shared" si="8" ref="U11:W11">SUM(U12:U20)</f>
        <v>0</v>
      </c>
      <c s="29">
        <f t="shared" si="8"/>
        <v>0</v>
      </c>
      <c s="10">
        <f t="shared" si="8"/>
        <v>0</v>
      </c>
      <c s="29" t="s">
        <v>26</v>
      </c>
      <c s="29" t="s">
        <v>5</v>
      </c>
      <c r="AA11" s="29">
        <f t="shared" si="9" ref="AA11:DZ11">SUM(AA12:AA20)</f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s="29">
        <f t="shared" si="9"/>
        <v>0</v>
      </c>
      <c r="EE11" s="29">
        <f>StreamFV_O2Demand(C12:C20,F12:F20,"Cu")*F11</f>
        <v>0</v>
      </c>
      <c s="29">
        <f>StreamFV_O2Demand(C12:C20,F12:F20,"Zn")*F11</f>
        <v>0</v>
      </c>
      <c r="EJ11" s="29">
        <f>StreamFV_EndProdHf(C12:C20,F12:F20,"Cu")*F11</f>
        <v>0</v>
      </c>
      <c s="29">
        <f>StreamFV_EndProdHf(C12:C20,F12:F20,"Zn")*F11</f>
        <v>0</v>
      </c>
      <c r="EO11" s="29">
        <f>StreamFV_Hrea(C12:C20,F12:F20,"Cu")*F11</f>
        <v>0</v>
      </c>
      <c s="29">
        <f>StreamFV_Hrea(C12:C20,F12:F20,"Zn")*F11</f>
        <v>0</v>
      </c>
    </row>
    <row ht="14.95" s="24" customFormat="1">
      <c r="C12" s="24" t="s">
        <v>204</v>
      </c>
      <c s="24">
        <f>100*SAFEDIV(F12,F11)</f>
        <v>0</v>
      </c>
      <c s="11"/>
      <c s="24">
        <f>Input!F12*Input!EV12/100</f>
        <v>0</v>
      </c>
      <c s="24">
        <f t="shared" si="10" ref="G12:G19">H12*0.0224139681481865*1000</f>
        <v>0</v>
      </c>
      <c s="11">
        <f>SAFEDIV(Output!F12,Output!M12)</f>
        <v>0</v>
      </c>
      <c s="24">
        <f>Output!H12*Output!K12</f>
        <v>0</v>
      </c>
      <c s="24">
        <f>Output!H12*Output!L12</f>
        <v>0</v>
      </c>
      <c s="24">
        <f>HLATTP(C12,D9,D10)</f>
        <v>0</v>
      </c>
      <c s="24">
        <f>H_TP(C12,D9,D10)</f>
        <v>-30.70591576</v>
      </c>
      <c s="24">
        <v>28.010100000000001</v>
      </c>
      <c s="24">
        <f t="shared" si="11" ref="N12:N19">M12/(0.0224139681481865*1000)</f>
        <v>1.2496716250694895</v>
      </c>
      <c r="R12" s="24">
        <f>KN12*Output!H12*(Output!D9+273.15)</f>
        <v>0</v>
      </c>
      <c s="24">
        <f>KO12*Output!H12</f>
        <v>0</v>
      </c>
      <c r="U12" s="24">
        <f>KP12*Output!H12</f>
        <v>0</v>
      </c>
      <c s="24">
        <f>KQ12*Output!H12</f>
        <v>0</v>
      </c>
      <c s="11">
        <f>KR12*Output!H12</f>
        <v>0</v>
      </c>
      <c r="AO12" s="24">
        <f>0.42879889754053*Output!F12</f>
        <v>0</v>
      </c>
      <c r="CH12" s="24">
        <f>0.57120110245947*Output!F12</f>
        <v>0</v>
      </c>
      <c r="KN12" s="24">
        <f>S_TP(C12,D9,D10)</f>
        <v>0.054905698735555557</v>
      </c>
      <c s="24">
        <f>G_TP(C12,D9,D10)</f>
        <v>-47.076049838005893</v>
      </c>
      <c s="24">
        <f>CHEMICALEXERGY(C12,D9)</f>
        <v>76.402867354794765</v>
      </c>
      <c s="24">
        <f>PHYSICALEXERGY(C12,D9,D10)</f>
        <v>0</v>
      </c>
      <c s="24">
        <f t="shared" si="12" ref="KR12:KR19">KP12+KQ12</f>
        <v>76.402867354794765</v>
      </c>
      <c r="KT12" s="24" t="s">
        <v>203</v>
      </c>
      <c s="24" t="s">
        <v>205</v>
      </c>
      <c r="KY12" s="20"/>
      <c s="24">
        <v>1684505472</v>
      </c>
    </row>
    <row ht="14.95" s="24" customFormat="1">
      <c r="C13" s="24" t="s">
        <v>206</v>
      </c>
      <c s="24">
        <f>100*SAFEDIV(F13,F11)</f>
        <v>0</v>
      </c>
      <c s="11"/>
      <c s="24">
        <f>Input!F13*Input!EV13/100</f>
        <v>0</v>
      </c>
      <c s="24">
        <f t="shared" si="10"/>
        <v>0</v>
      </c>
      <c s="11">
        <f>SAFEDIV(Output!F13,Output!M13)</f>
        <v>0</v>
      </c>
      <c s="24">
        <f>Output!H13*Output!K13</f>
        <v>0</v>
      </c>
      <c s="24">
        <f>Output!H13*Output!L13</f>
        <v>0</v>
      </c>
      <c s="24">
        <f>HLATTP(C13,D9,D10)</f>
        <v>0</v>
      </c>
      <c s="24">
        <f>H_TP(C13,D9,D10)</f>
        <v>-109.30699418888889</v>
      </c>
      <c s="24">
        <v>44.009500000000003</v>
      </c>
      <c s="24">
        <f t="shared" si="11"/>
        <v>1.9634854350214992</v>
      </c>
      <c r="R13" s="24">
        <f>KN13*Output!H13*(Output!D9+273.15)</f>
        <v>0</v>
      </c>
      <c s="24">
        <f>KO13*Output!H13</f>
        <v>0</v>
      </c>
      <c r="U13" s="24">
        <f>KP13*Output!H13</f>
        <v>0</v>
      </c>
      <c s="24">
        <f>KQ13*Output!H13</f>
        <v>0</v>
      </c>
      <c s="11">
        <f>KR13*Output!H13</f>
        <v>0</v>
      </c>
      <c r="AO13" s="24">
        <f>0.272911530465013*Output!F13</f>
        <v>0</v>
      </c>
      <c r="CH13" s="24">
        <f>0.727088469534987*Output!F13</f>
        <v>0</v>
      </c>
      <c r="KN13" s="24">
        <f>S_TP(C13,D9,D10)</f>
        <v>0.059380251966666665</v>
      </c>
      <c s="24">
        <f>G_TP(C13,D9,D10)</f>
        <v>-127.01121631275056</v>
      </c>
      <c s="24">
        <f>CHEMICALEXERGY(C13,D9)</f>
        <v>5.5073084697396899</v>
      </c>
      <c s="24">
        <f>PHYSICALEXERGY(C13,D9,D10)</f>
        <v>0</v>
      </c>
      <c s="24">
        <f t="shared" si="12"/>
        <v>5.5073084697396899</v>
      </c>
      <c r="KT13" s="24" t="s">
        <v>207</v>
      </c>
      <c s="24" t="s">
        <v>205</v>
      </c>
      <c r="KY13" s="20"/>
      <c s="24">
        <v>1357446528</v>
      </c>
    </row>
    <row ht="14.95" s="24" customFormat="1">
      <c r="C14" s="24" t="s">
        <v>208</v>
      </c>
      <c s="24">
        <f>100*SAFEDIV(F14,F11)</f>
        <v>0</v>
      </c>
      <c s="11"/>
      <c s="24">
        <f>Input!F14*Input!EV14/100</f>
        <v>0</v>
      </c>
      <c s="24">
        <f t="shared" si="10"/>
        <v>0</v>
      </c>
      <c s="11">
        <f>SAFEDIV(Output!F14,Output!M14)</f>
        <v>0</v>
      </c>
      <c s="24">
        <f>Output!H14*Output!K14</f>
        <v>0</v>
      </c>
      <c s="24">
        <f>Output!H14*Output!L14</f>
        <v>0</v>
      </c>
      <c s="24">
        <f>HLATTP(C14,D9,D10)</f>
        <v>12.223332853333337</v>
      </c>
      <c s="24">
        <f>H_TP(C14,D9,D10)</f>
        <v>-67.173889880000004</v>
      </c>
      <c s="24">
        <v>18.015280000000001</v>
      </c>
      <c s="24">
        <f t="shared" si="11"/>
        <v>0.80375236909835635</v>
      </c>
      <c r="R14" s="24">
        <f>KN14*Output!H14*(Output!D9+273.15)</f>
        <v>0</v>
      </c>
      <c s="24">
        <f>KO14*Output!H14</f>
        <v>0</v>
      </c>
      <c r="U14" s="24">
        <f>KP14*Output!H14</f>
        <v>0</v>
      </c>
      <c s="24">
        <f>KQ14*Output!H14</f>
        <v>0</v>
      </c>
      <c s="11">
        <f>KR14*Output!H14</f>
        <v>0</v>
      </c>
      <c r="BK14" s="24">
        <f>0.111898344072365*Output!F14</f>
        <v>0</v>
      </c>
      <c r="CH14" s="24">
        <f>0.888101655927635*Output!F14</f>
        <v>0</v>
      </c>
      <c r="KN14" s="24">
        <f>S_TP(C14,D9,D10)</f>
        <v>0.052453331977777774</v>
      </c>
      <c s="24">
        <f>G_TP(C14,D9,D10)</f>
        <v>-82.812850809174449</v>
      </c>
      <c s="24">
        <f>CHEMICALEXERGY(C14,D9)</f>
        <v>0.26080769578334023</v>
      </c>
      <c s="24">
        <f>PHYSICALEXERGY(C14,D9,D10)</f>
        <v>2.377591632386673</v>
      </c>
      <c s="24">
        <f t="shared" si="12"/>
        <v>2.6383993281700131</v>
      </c>
      <c r="KT14" s="24" t="s">
        <v>210</v>
      </c>
      <c s="24" t="s">
        <v>209</v>
      </c>
      <c r="KY14" s="20"/>
      <c s="24">
        <v>1508534528</v>
      </c>
    </row>
    <row ht="14.95" s="24" customFormat="1">
      <c r="C15" s="24" t="s">
        <v>211</v>
      </c>
      <c s="24">
        <f>100*SAFEDIV(F15,F11)</f>
        <v>0</v>
      </c>
      <c s="11"/>
      <c s="24">
        <f>Input!F15*Input!EV15/100</f>
        <v>0</v>
      </c>
      <c s="24">
        <f t="shared" si="10"/>
        <v>0</v>
      </c>
      <c s="11">
        <f>SAFEDIV(Output!F15,Output!M15)</f>
        <v>0</v>
      </c>
      <c s="24">
        <f>Output!H15*Output!K15</f>
        <v>0</v>
      </c>
      <c s="24">
        <f>Output!H15*Output!L15</f>
        <v>0</v>
      </c>
      <c s="24">
        <f>HLATTP(C15,D9,D10)</f>
        <v>0</v>
      </c>
      <c s="24">
        <f>H_TP(C15,D9,D10)</f>
        <v>0</v>
      </c>
      <c s="24">
        <v>2.0158800000000001</v>
      </c>
      <c s="24">
        <f t="shared" si="11"/>
        <v>0.089938559146346589</v>
      </c>
      <c r="R15" s="24">
        <f>KN15*Output!H15*(Output!D9+273.15)</f>
        <v>0</v>
      </c>
      <c s="24">
        <f>KO15*Output!H15</f>
        <v>0</v>
      </c>
      <c r="U15" s="24">
        <f>KP15*Output!H15</f>
        <v>0</v>
      </c>
      <c s="24">
        <f>KQ15*Output!H15</f>
        <v>0</v>
      </c>
      <c s="11">
        <f>KR15*Output!H15</f>
        <v>0</v>
      </c>
      <c r="BK15" s="24">
        <f>Output!F15</f>
        <v>0</v>
      </c>
      <c r="KN15" s="24">
        <f>S_TP(C15,D9,D10)</f>
        <v>0.036299693640000005</v>
      </c>
      <c s="24">
        <f>G_TP(C15,D9,D10)</f>
        <v>-10.822753658765999</v>
      </c>
      <c s="24">
        <f>CHEMICALEXERGY(C15,D9)</f>
        <v>65.588888888888889</v>
      </c>
      <c s="24">
        <f>PHYSICALEXERGY(C15,D9,D10)</f>
        <v>0</v>
      </c>
      <c s="24">
        <f t="shared" si="12"/>
        <v>65.588888888888889</v>
      </c>
      <c r="KT15" s="24" t="s">
        <v>213</v>
      </c>
      <c s="24" t="s">
        <v>212</v>
      </c>
      <c r="KY15" s="20"/>
      <c s="24">
        <v>1559504512</v>
      </c>
    </row>
    <row ht="14.95" s="24" customFormat="1">
      <c r="C16" s="24" t="s">
        <v>214</v>
      </c>
      <c s="24">
        <f>100*SAFEDIV(F16,F11)</f>
        <v>0</v>
      </c>
      <c s="11"/>
      <c s="24">
        <f>Input!F16*Input!EV16/100</f>
        <v>0</v>
      </c>
      <c s="24">
        <f t="shared" si="10"/>
        <v>0</v>
      </c>
      <c s="11">
        <f>SAFEDIV(Output!F16,Output!M16)</f>
        <v>0</v>
      </c>
      <c s="24">
        <f>Output!H16*Output!K16</f>
        <v>0</v>
      </c>
      <c s="24">
        <f>Output!H16*Output!L16</f>
        <v>0</v>
      </c>
      <c s="24">
        <f>HLATTP(C16,D9,D10)</f>
        <v>0</v>
      </c>
      <c s="24">
        <f>H_TP(C16,D9,D10)</f>
        <v>0</v>
      </c>
      <c s="24">
        <v>28.013400000000001</v>
      </c>
      <c s="24">
        <f t="shared" si="11"/>
        <v>1.2498188546889029</v>
      </c>
      <c r="R16" s="24">
        <f>KN16*Output!H16*(Output!D9+273.15)</f>
        <v>0</v>
      </c>
      <c s="24">
        <f>KO16*Output!H16</f>
        <v>0</v>
      </c>
      <c r="U16" s="24">
        <f>KP16*Output!H16</f>
        <v>0</v>
      </c>
      <c s="24">
        <f>KQ16*Output!H16</f>
        <v>0</v>
      </c>
      <c s="11">
        <f>KR16*Output!H16</f>
        <v>0</v>
      </c>
      <c r="CA16" s="24">
        <f>Output!F16</f>
        <v>0</v>
      </c>
      <c r="KN16" s="24">
        <f>S_TP(C16,D9,D10)</f>
        <v>0.053225140511111116</v>
      </c>
      <c s="24">
        <f>G_TP(C16,D9,D10)</f>
        <v>-15.869075643387779</v>
      </c>
      <c s="24">
        <f>CHEMICALEXERGY(C16,D9)</f>
        <v>0.18611111111111114</v>
      </c>
      <c s="24">
        <f>PHYSICALEXERGY(C16,D9,D10)</f>
        <v>0</v>
      </c>
      <c s="24">
        <f t="shared" si="12"/>
        <v>0.18611111111111114</v>
      </c>
      <c r="KT16" s="24" t="s">
        <v>216</v>
      </c>
      <c s="24" t="s">
        <v>215</v>
      </c>
      <c r="KY16" s="20"/>
      <c s="24">
        <v>833416704</v>
      </c>
    </row>
    <row ht="14.95" s="24" customFormat="1">
      <c r="C17" s="24" t="s">
        <v>217</v>
      </c>
      <c s="24">
        <f>100*SAFEDIV(F17,F11)</f>
        <v>0</v>
      </c>
      <c s="11"/>
      <c s="24">
        <f>Input!F17*Input!EV17/100</f>
        <v>0</v>
      </c>
      <c s="24">
        <f t="shared" si="10"/>
        <v>0</v>
      </c>
      <c s="11">
        <f>SAFEDIV(Output!F17,Output!M17)</f>
        <v>0</v>
      </c>
      <c s="24">
        <f>Output!H17*Output!K17</f>
        <v>0</v>
      </c>
      <c s="24">
        <f>Output!H17*Output!L17</f>
        <v>0</v>
      </c>
      <c s="24">
        <f>HLATTP(C17,D9,D10)</f>
        <v>0</v>
      </c>
      <c s="24">
        <f>H_TP(C17,D9,D10)</f>
        <v>9.1815555555555566</v>
      </c>
      <c s="24">
        <v>46.005499999999998</v>
      </c>
      <c s="24">
        <f t="shared" si="11"/>
        <v>2.052537047248471</v>
      </c>
      <c r="R17" s="24">
        <f>KN17*Output!H17*(Output!D9+273.15)</f>
        <v>0</v>
      </c>
      <c s="24">
        <f>KO17*Output!H17</f>
        <v>0</v>
      </c>
      <c r="U17" s="24">
        <f>KP17*Output!H17</f>
        <v>0</v>
      </c>
      <c s="24">
        <f>KQ17*Output!H17</f>
        <v>0</v>
      </c>
      <c s="11">
        <f>KR17*Output!H17</f>
        <v>0</v>
      </c>
      <c r="CA17" s="24">
        <f>0.304457075784417*Output!F17</f>
        <v>0</v>
      </c>
      <c r="CH17" s="24">
        <f>0.695542924215583*Output!F17</f>
        <v>0</v>
      </c>
      <c r="KN17" s="24">
        <f>S_TP(C17,D9,D10)</f>
        <v>0.066712775888888881</v>
      </c>
      <c s="24">
        <f>G_TP(C17,D9,D10)</f>
        <v>-10.708858575716665</v>
      </c>
      <c s="24">
        <f>CHEMICALEXERGY(C17,D9)</f>
        <v>15.397949980911889</v>
      </c>
      <c s="24">
        <f>PHYSICALEXERGY(C17,D9,D10)</f>
        <v>0</v>
      </c>
      <c s="24">
        <f t="shared" si="12"/>
        <v>15.397949980911889</v>
      </c>
      <c r="KT17" s="24" t="s">
        <v>219</v>
      </c>
      <c s="24" t="s">
        <v>218</v>
      </c>
      <c r="KY17" s="20"/>
      <c s="24">
        <v>1912641408</v>
      </c>
    </row>
    <row ht="14.95" s="24" customFormat="1">
      <c r="C18" s="24" t="s">
        <v>220</v>
      </c>
      <c s="24">
        <f>100*SAFEDIV(F18,F11)</f>
        <v>0</v>
      </c>
      <c s="11"/>
      <c s="24">
        <f>Input!F18*Input!EV18/100</f>
        <v>0</v>
      </c>
      <c s="24">
        <f t="shared" si="10"/>
        <v>0</v>
      </c>
      <c s="11">
        <f>SAFEDIV(Output!F18,Output!M18)</f>
        <v>0</v>
      </c>
      <c s="24">
        <f>Output!H18*Output!K18</f>
        <v>0</v>
      </c>
      <c s="24">
        <f>Output!H18*Output!L18</f>
        <v>0</v>
      </c>
      <c s="24">
        <f>HLATTP(C18,D9,D10)</f>
        <v>0</v>
      </c>
      <c s="24">
        <f>H_TP(C18,D9,D10)</f>
        <v>25.083333364444446</v>
      </c>
      <c s="24">
        <v>30.0061</v>
      </c>
      <c s="24">
        <f t="shared" si="11"/>
        <v>1.338723237296461</v>
      </c>
      <c r="R18" s="24">
        <f>KN18*Output!H18*(Output!D9+273.15)</f>
        <v>0</v>
      </c>
      <c s="24">
        <f>KO18*Output!H18</f>
        <v>0</v>
      </c>
      <c r="U18" s="24">
        <f>KP18*Output!H18</f>
        <v>0</v>
      </c>
      <c s="24">
        <f>KQ18*Output!H18</f>
        <v>0</v>
      </c>
      <c s="11">
        <f>KR18*Output!H18</f>
        <v>0</v>
      </c>
      <c r="CA18" s="24">
        <f>0.466795084999383*Output!F18</f>
        <v>0</v>
      </c>
      <c r="CH18" s="24">
        <f>0.533204915000617*Output!F18</f>
        <v>0</v>
      </c>
      <c r="KN18" s="24">
        <f>S_TP(C18,D9,D10)</f>
        <v>0.058540276775555553</v>
      </c>
      <c s="24">
        <f>G_TP(C18,D9,D10)</f>
        <v>7.6295498438125611</v>
      </c>
      <c s="24">
        <f>CHEMICALEXERGY(C18,D9)</f>
        <v>24.696750810751563</v>
      </c>
      <c s="24">
        <f>PHYSICALEXERGY(C18,D9,D10)</f>
        <v>0</v>
      </c>
      <c s="24">
        <f t="shared" si="12"/>
        <v>24.696750810751563</v>
      </c>
      <c r="KT18" s="24" t="s">
        <v>221</v>
      </c>
      <c s="24" t="s">
        <v>218</v>
      </c>
      <c r="KY18" s="20"/>
      <c s="24">
        <v>1837865728</v>
      </c>
    </row>
    <row ht="14.95" s="24" customFormat="1">
      <c r="C19" s="24" t="s">
        <v>222</v>
      </c>
      <c s="24">
        <f>100*SAFEDIV(F19,F11)</f>
        <v>0</v>
      </c>
      <c s="11"/>
      <c s="24">
        <f>Input!F19*Input!EV19/100</f>
        <v>0</v>
      </c>
      <c s="24">
        <f t="shared" si="10"/>
        <v>0</v>
      </c>
      <c s="11">
        <f>SAFEDIV(Output!F19,Output!M19)</f>
        <v>0</v>
      </c>
      <c s="24">
        <f>Output!H19*Output!K19</f>
        <v>0</v>
      </c>
      <c s="24">
        <f>Output!H19*Output!L19</f>
        <v>0</v>
      </c>
      <c s="24">
        <f>HLATTP(C19,D9,D10)</f>
        <v>0</v>
      </c>
      <c s="24">
        <f>H_TP(C19,D9,D10)</f>
        <v>0</v>
      </c>
      <c s="24">
        <v>31.998799999999999</v>
      </c>
      <c s="24">
        <f t="shared" si="11"/>
        <v>1.4276276199040194</v>
      </c>
      <c r="R19" s="24">
        <f>KN19*Output!H19*(Output!D9+273.15)</f>
        <v>0</v>
      </c>
      <c s="24">
        <f>KO19*Output!H19</f>
        <v>0</v>
      </c>
      <c r="U19" s="24">
        <f>KP19*Output!H19</f>
        <v>0</v>
      </c>
      <c s="24">
        <f>KQ19*Output!H19</f>
        <v>0</v>
      </c>
      <c s="11">
        <f>KR19*Output!H19</f>
        <v>0</v>
      </c>
      <c r="CH19" s="24">
        <f>Output!F19</f>
        <v>0</v>
      </c>
      <c r="KN19" s="24">
        <f>S_TP(C19,D9,D10)</f>
        <v>0.05698583360888889</v>
      </c>
      <c s="24">
        <f>G_TP(C19,D9,D10)</f>
        <v>-16.99032629049022</v>
      </c>
      <c s="24">
        <f>CHEMICALEXERGY(C19,D9)</f>
        <v>1.088888888888889</v>
      </c>
      <c s="24">
        <f>PHYSICALEXERGY(C19,D9,D10)</f>
        <v>0</v>
      </c>
      <c s="24">
        <f t="shared" si="12"/>
        <v>1.088888888888889</v>
      </c>
      <c r="KT19" s="24" t="s">
        <v>224</v>
      </c>
      <c s="24" t="s">
        <v>223</v>
      </c>
      <c r="KY19" s="20"/>
      <c s="24">
        <v>1566085248</v>
      </c>
    </row>
    <row ht="14.95" s="20" customFormat="1">
      <c r="E20" s="11"/>
      <c r="H20" s="11"/>
      <c r="W20" s="11"/>
      <c r="KT20" s="20" t="s">
        <v>187</v>
      </c>
      <c r="KZ20" s="20">
        <v>1635356928</v>
      </c>
    </row>
    <row ht="14.95" s="27" customFormat="1">
      <c s="27" t="s">
        <v>183</v>
      </c>
      <c r="C21" s="25" t="s">
        <v>234</v>
      </c>
      <c s="27">
        <v>0</v>
      </c>
      <c s="17" t="s">
        <v>148</v>
      </c>
      <c s="27" t="s">
        <v>4</v>
      </c>
      <c r="H21" s="17"/>
      <c s="27" t="s">
        <v>8</v>
      </c>
      <c s="27" t="s">
        <v>10</v>
      </c>
      <c s="27" t="s">
        <v>11</v>
      </c>
      <c s="27" t="s">
        <v>13</v>
      </c>
      <c s="27" t="s">
        <v>14</v>
      </c>
      <c s="27" t="s">
        <v>16</v>
      </c>
      <c r="R21" s="27" t="s">
        <v>18</v>
      </c>
      <c s="27" t="s">
        <v>19</v>
      </c>
      <c s="27" t="s">
        <v>20</v>
      </c>
      <c s="27" t="s">
        <v>21</v>
      </c>
      <c s="27" t="s">
        <v>22</v>
      </c>
      <c s="17" t="s">
        <v>23</v>
      </c>
      <c s="27" t="s">
        <v>24</v>
      </c>
      <c r="IW21" s="27" t="s">
        <v>232</v>
      </c>
    </row>
    <row ht="14.95" s="23" customFormat="1">
      <c r="C22" s="23" t="s">
        <v>185</v>
      </c>
      <c s="9">
        <v>25</v>
      </c>
      <c s="12" t="str">
        <f>TEMPU()</f>
        <v>°C</v>
      </c>
      <c s="23" t="s">
        <v>5</v>
      </c>
      <c s="23" t="s">
        <v>6</v>
      </c>
      <c s="12" t="s">
        <v>7</v>
      </c>
      <c s="23" t="s">
        <v>9</v>
      </c>
      <c s="23" t="s">
        <v>9</v>
      </c>
      <c s="23" t="s">
        <v>12</v>
      </c>
      <c s="23" t="s">
        <v>12</v>
      </c>
      <c s="23" t="s">
        <v>15</v>
      </c>
      <c s="23" t="s">
        <v>17</v>
      </c>
      <c r="R22" s="23" t="s">
        <v>9</v>
      </c>
      <c s="23" t="s">
        <v>9</v>
      </c>
      <c r="U22" s="23" t="s">
        <v>9</v>
      </c>
      <c s="23" t="s">
        <v>9</v>
      </c>
      <c s="12" t="s">
        <v>9</v>
      </c>
    </row>
    <row ht="14.95" s="23" customFormat="1">
      <c r="C23" s="23" t="s">
        <v>186</v>
      </c>
      <c s="9">
        <v>1</v>
      </c>
      <c s="12" t="str">
        <f>PRESU()</f>
        <v>bar</v>
      </c>
      <c r="H23" s="12"/>
      <c r="W23" s="12"/>
      <c s="23" t="s">
        <v>26</v>
      </c>
      <c s="23" t="s">
        <v>33</v>
      </c>
      <c r="AA23" s="23">
        <f>100*SAFEDIV(Output!AA24,Output!F24)</f>
        <v>0</v>
      </c>
      <c s="23">
        <f>100*SAFEDIV(Output!AB24,Output!F24)</f>
        <v>0</v>
      </c>
      <c s="23">
        <f>100*SAFEDIV(Output!AC24,Output!F24)</f>
        <v>0</v>
      </c>
      <c s="23">
        <f>100*SAFEDIV(Output!AD24,Output!F24)</f>
        <v>0</v>
      </c>
      <c s="23">
        <f>100*SAFEDIV(Output!AE24,Output!F24)</f>
        <v>0</v>
      </c>
      <c s="23">
        <f>100*SAFEDIV(Output!AF24,Output!F24)</f>
        <v>0</v>
      </c>
      <c s="23">
        <f>100*SAFEDIV(Output!AG24,Output!F24)</f>
        <v>0</v>
      </c>
      <c s="23">
        <f>100*SAFEDIV(Output!AH24,Output!F24)</f>
        <v>0</v>
      </c>
      <c s="23">
        <f>100*SAFEDIV(Output!AI24,Output!F24)</f>
        <v>0</v>
      </c>
      <c s="23">
        <f>100*SAFEDIV(Output!AJ24,Output!F24)</f>
        <v>0</v>
      </c>
      <c s="23">
        <f>100*SAFEDIV(Output!AK24,Output!F24)</f>
        <v>0</v>
      </c>
      <c s="23">
        <f>100*SAFEDIV(Output!AL24,Output!F24)</f>
        <v>0</v>
      </c>
      <c s="23">
        <f>100*SAFEDIV(Output!AM24,Output!F24)</f>
        <v>0</v>
      </c>
      <c s="23">
        <f>100*SAFEDIV(Output!AN24,Output!F24)</f>
        <v>0</v>
      </c>
      <c s="23">
        <f>100*SAFEDIV(Output!AO24,Output!F24)</f>
        <v>0</v>
      </c>
      <c s="23">
        <f>100*SAFEDIV(Output!AP24,Output!F24)</f>
        <v>0</v>
      </c>
      <c s="23">
        <f>100*SAFEDIV(Output!AQ24,Output!F24)</f>
        <v>0</v>
      </c>
      <c s="23">
        <f>100*SAFEDIV(Output!AR24,Output!F24)</f>
        <v>0</v>
      </c>
      <c s="23">
        <f>100*SAFEDIV(Output!AS24,Output!F24)</f>
        <v>0</v>
      </c>
      <c s="23">
        <f>100*SAFEDIV(Output!AT24,Output!F24)</f>
        <v>0</v>
      </c>
      <c s="23">
        <f>100*SAFEDIV(Output!AU24,Output!F24)</f>
        <v>0</v>
      </c>
      <c s="23">
        <f>100*SAFEDIV(Output!AV24,Output!F24)</f>
        <v>0</v>
      </c>
      <c s="23">
        <f>100*SAFEDIV(Output!AW24,Output!F24)</f>
        <v>0</v>
      </c>
      <c s="23">
        <f>100*SAFEDIV(Output!AX24,Output!F24)</f>
        <v>0</v>
      </c>
      <c s="23">
        <f>100*SAFEDIV(Output!AY24,Output!F24)</f>
        <v>0</v>
      </c>
      <c s="23">
        <f>100*SAFEDIV(Output!AZ24,Output!F24)</f>
        <v>0</v>
      </c>
      <c s="23">
        <f>100*SAFEDIV(Output!BA24,Output!F24)</f>
        <v>0</v>
      </c>
      <c s="23">
        <f>100*SAFEDIV(Output!BB24,Output!F24)</f>
        <v>0</v>
      </c>
      <c s="23">
        <f>100*SAFEDIV(Output!BC24,Output!F24)</f>
        <v>0</v>
      </c>
      <c s="23">
        <f>100*SAFEDIV(Output!BD24,Output!F24)</f>
        <v>0</v>
      </c>
      <c s="23">
        <f>100*SAFEDIV(Output!BE24,Output!F24)</f>
        <v>0</v>
      </c>
      <c s="23">
        <f>100*SAFEDIV(Output!BF24,Output!F24)</f>
        <v>0</v>
      </c>
      <c s="23">
        <f>100*SAFEDIV(Output!BG24,Output!F24)</f>
        <v>0</v>
      </c>
      <c s="23">
        <f>100*SAFEDIV(Output!BH24,Output!F24)</f>
        <v>0</v>
      </c>
      <c s="23">
        <f>100*SAFEDIV(Output!BI24,Output!F24)</f>
        <v>0</v>
      </c>
      <c s="23">
        <f>100*SAFEDIV(Output!BJ24,Output!F24)</f>
        <v>0</v>
      </c>
      <c s="23">
        <f>100*SAFEDIV(Output!BK24,Output!F24)</f>
        <v>0</v>
      </c>
      <c s="23">
        <f>100*SAFEDIV(Output!BL24,Output!F24)</f>
        <v>0</v>
      </c>
      <c s="23">
        <f>100*SAFEDIV(Output!BM24,Output!F24)</f>
        <v>0</v>
      </c>
      <c s="23">
        <f>100*SAFEDIV(Output!BN24,Output!F24)</f>
        <v>0</v>
      </c>
      <c s="23">
        <f>100*SAFEDIV(Output!BO24,Output!F24)</f>
        <v>0</v>
      </c>
      <c s="23">
        <f>100*SAFEDIV(Output!BP24,Output!F24)</f>
        <v>0</v>
      </c>
      <c s="23">
        <f>100*SAFEDIV(Output!BQ24,Output!F24)</f>
        <v>0</v>
      </c>
      <c s="23">
        <f>100*SAFEDIV(Output!BR24,Output!F24)</f>
        <v>0</v>
      </c>
      <c s="23">
        <f>100*SAFEDIV(Output!BS24,Output!F24)</f>
        <v>0</v>
      </c>
      <c s="23">
        <f>100*SAFEDIV(Output!BT24,Output!F24)</f>
        <v>0</v>
      </c>
      <c s="23">
        <f>100*SAFEDIV(Output!BU24,Output!F24)</f>
        <v>0</v>
      </c>
      <c s="23">
        <f>100*SAFEDIV(Output!BV24,Output!F24)</f>
        <v>0</v>
      </c>
      <c s="23">
        <f>100*SAFEDIV(Output!BW24,Output!F24)</f>
        <v>0</v>
      </c>
      <c s="23">
        <f>100*SAFEDIV(Output!BX24,Output!F24)</f>
        <v>0</v>
      </c>
      <c s="23">
        <f>100*SAFEDIV(Output!BY24,Output!F24)</f>
        <v>0</v>
      </c>
      <c s="23">
        <f>100*SAFEDIV(Output!BZ24,Output!F24)</f>
        <v>0</v>
      </c>
      <c s="23">
        <f>100*SAFEDIV(Output!CA24,Output!F24)</f>
        <v>0</v>
      </c>
      <c s="23">
        <f>100*SAFEDIV(Output!CB24,Output!F24)</f>
        <v>0</v>
      </c>
      <c s="23">
        <f>100*SAFEDIV(Output!CC24,Output!F24)</f>
        <v>0</v>
      </c>
      <c s="23">
        <f>100*SAFEDIV(Output!CD24,Output!F24)</f>
        <v>0</v>
      </c>
      <c s="23">
        <f>100*SAFEDIV(Output!CE24,Output!F24)</f>
        <v>0</v>
      </c>
      <c s="23">
        <f>100*SAFEDIV(Output!CF24,Output!F24)</f>
        <v>0</v>
      </c>
      <c s="23">
        <f>100*SAFEDIV(Output!CG24,Output!F24)</f>
        <v>0</v>
      </c>
      <c s="23">
        <f>100*SAFEDIV(Output!CH24,Output!F24)</f>
        <v>0</v>
      </c>
      <c s="23">
        <f>100*SAFEDIV(Output!CI24,Output!F24)</f>
        <v>0</v>
      </c>
      <c s="23">
        <f>100*SAFEDIV(Output!CJ24,Output!F24)</f>
        <v>0</v>
      </c>
      <c s="23">
        <f>100*SAFEDIV(Output!CK24,Output!F24)</f>
        <v>0</v>
      </c>
      <c s="23">
        <f>100*SAFEDIV(Output!CL24,Output!F24)</f>
        <v>0</v>
      </c>
      <c s="23">
        <f>100*SAFEDIV(Output!CM24,Output!F24)</f>
        <v>0</v>
      </c>
      <c s="23">
        <f>100*SAFEDIV(Output!CN24,Output!F24)</f>
        <v>0</v>
      </c>
      <c s="23">
        <f>100*SAFEDIV(Output!CO24,Output!F24)</f>
        <v>0</v>
      </c>
      <c s="23">
        <f>100*SAFEDIV(Output!CP24,Output!F24)</f>
        <v>0</v>
      </c>
      <c s="23">
        <f>100*SAFEDIV(Output!CQ24,Output!F24)</f>
        <v>0</v>
      </c>
      <c s="23">
        <f>100*SAFEDIV(Output!CR24,Output!F24)</f>
        <v>0</v>
      </c>
      <c s="23">
        <f>100*SAFEDIV(Output!CS24,Output!F24)</f>
        <v>0</v>
      </c>
      <c s="23">
        <f>100*SAFEDIV(Output!CT24,Output!F24)</f>
        <v>0</v>
      </c>
      <c s="23">
        <f>100*SAFEDIV(Output!CU24,Output!F24)</f>
        <v>0</v>
      </c>
      <c s="23">
        <f>100*SAFEDIV(Output!CV24,Output!F24)</f>
        <v>0</v>
      </c>
      <c s="23">
        <f>100*SAFEDIV(Output!CW24,Output!F24)</f>
        <v>0</v>
      </c>
      <c s="23">
        <f>100*SAFEDIV(Output!CX24,Output!F24)</f>
        <v>0</v>
      </c>
      <c s="23">
        <f>100*SAFEDIV(Output!CY24,Output!F24)</f>
        <v>0</v>
      </c>
      <c s="23">
        <f>100*SAFEDIV(Output!CZ24,Output!F24)</f>
        <v>0</v>
      </c>
      <c s="23">
        <f>100*SAFEDIV(Output!DA24,Output!F24)</f>
        <v>0</v>
      </c>
      <c s="23">
        <f>100*SAFEDIV(Output!DB24,Output!F24)</f>
        <v>0</v>
      </c>
      <c s="23">
        <f>100*SAFEDIV(Output!DC24,Output!F24)</f>
        <v>0</v>
      </c>
      <c s="23">
        <f>100*SAFEDIV(Output!DD24,Output!F24)</f>
        <v>0</v>
      </c>
      <c s="23">
        <f>100*SAFEDIV(Output!DE24,Output!F24)</f>
        <v>0</v>
      </c>
      <c s="23">
        <f>100*SAFEDIV(Output!DF24,Output!F24)</f>
        <v>0</v>
      </c>
      <c s="23">
        <f>100*SAFEDIV(Output!DG24,Output!F24)</f>
        <v>0</v>
      </c>
      <c s="23">
        <f>100*SAFEDIV(Output!DH24,Output!F24)</f>
        <v>0</v>
      </c>
      <c s="23">
        <f>100*SAFEDIV(Output!DI24,Output!F24)</f>
        <v>0</v>
      </c>
      <c s="23">
        <f>100*SAFEDIV(Output!DJ24,Output!F24)</f>
        <v>0</v>
      </c>
      <c s="23">
        <f>100*SAFEDIV(Output!DK24,Output!F24)</f>
        <v>0</v>
      </c>
      <c s="23">
        <f>100*SAFEDIV(Output!DL24,Output!F24)</f>
        <v>0</v>
      </c>
      <c s="23">
        <f>100*SAFEDIV(Output!DM24,Output!F24)</f>
        <v>0</v>
      </c>
      <c s="23">
        <f>100*SAFEDIV(Output!DN24,Output!F24)</f>
        <v>0</v>
      </c>
      <c s="23">
        <f>100*SAFEDIV(Output!DO24,Output!F24)</f>
        <v>0</v>
      </c>
      <c s="23">
        <f>100*SAFEDIV(Output!DP24,Output!F24)</f>
        <v>0</v>
      </c>
      <c s="23">
        <f>100*SAFEDIV(Output!DQ24,Output!F24)</f>
        <v>0</v>
      </c>
      <c s="23">
        <f>100*SAFEDIV(Output!DR24,Output!F24)</f>
        <v>0</v>
      </c>
      <c s="23">
        <f>100*SAFEDIV(Output!DS24,Output!F24)</f>
        <v>0</v>
      </c>
      <c s="23">
        <f>100*SAFEDIV(Output!DT24,Output!F24)</f>
        <v>0</v>
      </c>
      <c s="23">
        <f>100*SAFEDIV(Output!DU24,Output!F24)</f>
        <v>0</v>
      </c>
      <c s="23">
        <f>100*SAFEDIV(Output!DV24,Output!F24)</f>
        <v>0</v>
      </c>
      <c s="23">
        <f>100*SAFEDIV(Output!DW24,Output!F24)</f>
        <v>0</v>
      </c>
      <c s="23">
        <f>100*SAFEDIV(Output!DX24,Output!F24)</f>
        <v>0</v>
      </c>
      <c s="23">
        <f>100*SAFEDIV(Output!DY24,Output!F24)</f>
        <v>0</v>
      </c>
      <c s="23">
        <f>100*SAFEDIV(Output!DZ24,Output!F24)</f>
        <v>0</v>
      </c>
    </row>
    <row ht="14.95" s="29" customFormat="1">
      <c s="29" t="s">
        <v>184</v>
      </c>
      <c r="C24" s="29" t="s">
        <v>26</v>
      </c>
      <c s="29">
        <f>SUM(Output!D25:Output!D26)</f>
        <v>0</v>
      </c>
      <c s="10" t="s">
        <v>33</v>
      </c>
      <c s="29">
        <f t="shared" si="13" ref="F24:H24">SUM(F25:F26)-F25</f>
        <v>0</v>
      </c>
      <c s="29">
        <f t="shared" si="13"/>
        <v>0</v>
      </c>
      <c s="10">
        <f t="shared" si="13"/>
        <v>0</v>
      </c>
      <c s="29">
        <f t="shared" si="14" ref="I24:J24">SUM(I25:I26)</f>
        <v>0</v>
      </c>
      <c s="29">
        <f t="shared" si="14"/>
        <v>50</v>
      </c>
      <c r="R24" s="29">
        <f t="shared" si="15" ref="R24:S24">SUM(R25:R26)</f>
        <v>0</v>
      </c>
      <c s="29">
        <f t="shared" si="15"/>
        <v>0</v>
      </c>
      <c r="U24" s="29">
        <f t="shared" si="16" ref="U24:W24">SUM(U25:U26)</f>
        <v>0</v>
      </c>
      <c s="29">
        <f t="shared" si="16"/>
        <v>0</v>
      </c>
      <c s="10">
        <f t="shared" si="16"/>
        <v>0</v>
      </c>
      <c s="29" t="s">
        <v>26</v>
      </c>
      <c s="29" t="s">
        <v>5</v>
      </c>
      <c r="AA24" s="29">
        <f t="shared" si="17" ref="AA24:DZ24">SUM(AA25:AA26)-AA25</f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s="29">
        <f t="shared" si="17"/>
        <v>0</v>
      </c>
      <c r="EE24" s="29">
        <f>StreamFV_O2Demand(C25:C26,F25:F26,"Cu")*F24</f>
        <v>0</v>
      </c>
      <c s="29">
        <f>StreamFV_O2Demand(C25:C26,F25:F26,"Zn")*F24</f>
        <v>0</v>
      </c>
      <c r="EJ24" s="29">
        <f>StreamFV_EndProdHf(C25:C26,F25:F26,"Cu")*F24</f>
        <v>0</v>
      </c>
      <c s="29">
        <f>StreamFV_EndProdHf(C25:C26,F25:F26,"Zn")*F24</f>
        <v>0</v>
      </c>
      <c r="EO24" s="29">
        <f>StreamFV_Hrea(C25:C26,F25:F26,"Cu")*F24</f>
        <v>0</v>
      </c>
      <c s="29">
        <f>StreamFV_Hrea(C25:C26,F25:F26,"Zn")*F24</f>
        <v>0</v>
      </c>
    </row>
    <row ht="14.95" s="24" customFormat="1">
      <c s="24" t="s">
        <v>235</v>
      </c>
      <c r="C25" s="24" t="s">
        <v>236</v>
      </c>
      <c r="E25" s="11"/>
      <c r="H25" s="11"/>
      <c r="J25" s="83">
        <v>50</v>
      </c>
      <c r="W25" s="11">
        <f>J25*(1-298.15/TEMPERATURETOKELVINS(Output!D22))</f>
        <v>0</v>
      </c>
      <c r="KS25" s="24" t="s">
        <v>235</v>
      </c>
      <c s="24" t="s">
        <v>231</v>
      </c>
      <c r="KY25" s="20"/>
      <c s="24">
        <v>163675904</v>
      </c>
    </row>
    <row ht="14.95" s="20" customFormat="1">
      <c r="E26" s="11"/>
      <c r="H26" s="11"/>
      <c r="W26" s="11"/>
      <c r="KT26" s="20" t="s">
        <v>187</v>
      </c>
      <c r="KZ26" s="20">
        <v>1424404096</v>
      </c>
    </row>
  </sheetData>
  <sheetProtection sheet="1" objects="1" scenarios="1"/>
  <conditionalFormatting sqref="D11 D24">
    <cfRule type="cellIs" dxfId="0" priority="13" stopIfTrue="1" operator="greaterThan">
      <formula>100.001</formula>
    </cfRule>
    <cfRule type="cellIs" dxfId="0" priority="14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25" ySplit="7" topLeftCell="AO8" activePane="bottomRight" state="frozenSplit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5.9609375" bestFit="1" customWidth="1"/>
    <col min="11" max="23" width="8.8984375" hidden="1" customWidth="1"/>
    <col min="24" max="24" width="10.7890625" bestFit="1" customWidth="1"/>
    <col min="26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</cols>
  <sheetData>
    <row ht="14.95" s="33" customFormat="1">
      <c r="C1" s="31" t="s">
        <v>138</v>
      </c>
      <c r="K1" s="33" t="s">
        <v>11</v>
      </c>
      <c s="33" t="s">
        <v>13</v>
      </c>
      <c s="33" t="s">
        <v>14</v>
      </c>
      <c s="33" t="s">
        <v>16</v>
      </c>
      <c r="R1" s="33" t="s">
        <v>18</v>
      </c>
      <c s="33" t="s">
        <v>19</v>
      </c>
      <c r="X1" s="33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3" customFormat="1"/>
    <row ht="14.95" s="35" customFormat="1">
      <c r="C3" s="64" t="s">
        <v>10</v>
      </c>
      <c r="X3" s="35" t="s">
        <v>32</v>
      </c>
    </row>
    <row ht="14.95" s="36" customFormat="1">
      <c s="36" t="s">
        <v>0</v>
      </c>
      <c r="C4" s="96" t="s">
        <v>28</v>
      </c>
      <c s="36" t="str">
        <f t="shared" si="0" ref="D4:D6">POWERU()</f>
        <v>kW</v>
      </c>
      <c r="J4" s="13">
        <f>J6-J5</f>
        <v>50</v>
      </c>
      <c r="R4" s="36">
        <f t="shared" si="1" ref="R4:T4">R6-R5</f>
        <v>0</v>
      </c>
      <c s="36">
        <f t="shared" si="1"/>
        <v>0</v>
      </c>
      <c s="36">
        <f t="shared" si="1"/>
        <v>0</v>
      </c>
      <c r="X4" s="36" t="s">
        <v>28</v>
      </c>
      <c s="13" t="s">
        <v>5</v>
      </c>
      <c r="AO4" s="36">
        <f>AO6-AO5</f>
        <v>0</v>
      </c>
      <c r="BK4" s="36">
        <f>BK6-BK5</f>
        <v>0</v>
      </c>
      <c r="CA4" s="36">
        <f>CA6-CA5</f>
        <v>0</v>
      </c>
      <c r="CH4" s="36">
        <f>CH6-CH5</f>
        <v>0</v>
      </c>
      <c r="EA4" s="87"/>
    </row>
    <row ht="14.95" s="41" customFormat="1">
      <c r="C5" s="84" t="s">
        <v>29</v>
      </c>
      <c s="41" t="str">
        <f t="shared" si="0"/>
        <v>kW</v>
      </c>
      <c r="J5" s="15">
        <f>Input!J7+J3</f>
        <v>0</v>
      </c>
      <c r="R5" s="41">
        <f>Input!R7+R3</f>
        <v>0</v>
      </c>
      <c s="41">
        <f>Input!S7+S3</f>
        <v>0</v>
      </c>
      <c s="41">
        <f>Input!T7+T3</f>
        <v>0</v>
      </c>
      <c r="X5" s="41" t="s">
        <v>29</v>
      </c>
      <c s="15" t="s">
        <v>5</v>
      </c>
      <c r="AO5" s="41">
        <f>Input!AO7+AO3+AO2</f>
        <v>0</v>
      </c>
      <c r="BK5" s="41">
        <f>Input!BK7+BK3+BK2</f>
        <v>0</v>
      </c>
      <c r="CA5" s="41">
        <f>Input!CA7+CA3+CA2</f>
        <v>0</v>
      </c>
      <c r="CH5" s="41">
        <f>Input!CH7+CH3+CH2</f>
        <v>0</v>
      </c>
      <c r="EA5" s="73"/>
    </row>
    <row ht="14.95" s="41" customFormat="1">
      <c r="C6" s="84" t="s">
        <v>30</v>
      </c>
      <c s="41" t="str">
        <f t="shared" si="0"/>
        <v>kW</v>
      </c>
      <c r="J6" s="15">
        <f>Output!J7</f>
        <v>50</v>
      </c>
      <c r="R6" s="41">
        <f>Output!R7</f>
        <v>0</v>
      </c>
      <c s="41">
        <f>Output!S7</f>
        <v>0</v>
      </c>
      <c s="41">
        <f>Output!T7</f>
        <v>0</v>
      </c>
      <c r="X6" s="41" t="s">
        <v>30</v>
      </c>
      <c s="15" t="s">
        <v>5</v>
      </c>
      <c r="AO6" s="41">
        <f>Output!AO7</f>
        <v>0</v>
      </c>
      <c r="BK6" s="41">
        <f>Output!BK7</f>
        <v>0</v>
      </c>
      <c r="CA6" s="41">
        <f>Output!CA7</f>
        <v>0</v>
      </c>
      <c r="CH6" s="41">
        <f>Output!CH7</f>
        <v>0</v>
      </c>
      <c r="EA6" s="73"/>
    </row>
    <row ht="14.95" s="40" customFormat="1">
      <c r="J7" s="16"/>
      <c r="Y7" s="16" t="s">
        <v>33</v>
      </c>
      <c r="AO7" s="40">
        <f>AO8+AO21</f>
        <v>0</v>
      </c>
      <c r="BK7" s="40">
        <f>BK8+BK21</f>
        <v>0</v>
      </c>
      <c r="CA7" s="40">
        <f>CA8+CA21</f>
        <v>0</v>
      </c>
      <c r="CH7" s="40">
        <f>CH8+CH21</f>
        <v>0</v>
      </c>
      <c r="EA7" s="70"/>
    </row>
    <row ht="14.95" s="50" customFormat="1">
      <c s="50" t="s">
        <v>183</v>
      </c>
      <c r="C8" s="44" t="s">
        <v>202</v>
      </c>
      <c r="J8" s="58"/>
      <c r="X8" s="54" t="s">
        <v>191</v>
      </c>
      <c s="60" t="s">
        <v>33</v>
      </c>
      <c r="AO8" s="50">
        <f>100*SAFEDIV(Dist!AO10,Dist!AO5)</f>
        <v>0</v>
      </c>
      <c r="BK8" s="50">
        <f>100*SAFEDIV(Dist!BK10,Dist!BK5)</f>
        <v>0</v>
      </c>
      <c r="CA8" s="50">
        <f>100*SAFEDIV(Dist!CA10,Dist!CA5)</f>
        <v>0</v>
      </c>
      <c r="CH8" s="50">
        <f>100*SAFEDIV(Dist!CH10,Dist!CH5)</f>
        <v>0</v>
      </c>
      <c r="EA8" s="46"/>
    </row>
    <row ht="14.95" s="14" customFormat="1">
      <c r="J9" s="19"/>
      <c r="X9" s="56" t="s">
        <v>192</v>
      </c>
      <c s="34"/>
      <c r="AO9" s="14" t="s">
        <v>233</v>
      </c>
      <c r="BK9" s="14" t="s">
        <v>233</v>
      </c>
      <c r="CA9" s="14" t="s">
        <v>233</v>
      </c>
      <c r="CH9" s="14" t="s">
        <v>233</v>
      </c>
      <c r="EA9" s="39"/>
    </row>
    <row ht="14.95" s="14" customFormat="1">
      <c r="J10" s="19"/>
      <c r="X10" s="56" t="s">
        <v>193</v>
      </c>
      <c s="34" t="s">
        <v>5</v>
      </c>
      <c r="AO10" s="14">
        <f>Output!AO11</f>
        <v>0</v>
      </c>
      <c r="BK10" s="14">
        <f>Output!BK11</f>
        <v>0</v>
      </c>
      <c r="CA10" s="14">
        <f>Output!CA11</f>
        <v>0</v>
      </c>
      <c r="CH10" s="14">
        <f>Output!CH11</f>
        <v>0</v>
      </c>
      <c r="EA10" s="39"/>
    </row>
    <row ht="14.95" s="59" customFormat="1">
      <c r="C11" s="59" t="s">
        <v>190</v>
      </c>
      <c r="J11" s="48"/>
      <c r="X11" s="57" t="s">
        <v>26</v>
      </c>
      <c s="47" t="s">
        <v>33</v>
      </c>
      <c r="AO11" s="59">
        <f>SUM(AO12:AO20)</f>
        <v>0</v>
      </c>
      <c r="BK11" s="59">
        <f>SUM(BK12:BK20)</f>
        <v>0</v>
      </c>
      <c r="CA11" s="59">
        <f>SUM(CA12:CA20)</f>
        <v>0</v>
      </c>
      <c r="CH11" s="59">
        <f>SUM(CH12:CH20)</f>
        <v>0</v>
      </c>
      <c r="EA11" s="55"/>
    </row>
    <row ht="14.95" s="37" customFormat="1">
      <c r="C12" s="37" t="s">
        <v>204</v>
      </c>
      <c r="J12" s="19"/>
      <c r="X12" s="21"/>
      <c s="34"/>
      <c r="AO12" s="37">
        <f>100*SAFEDIV(Output!AO12,Output!AO11)</f>
        <v>0</v>
      </c>
      <c r="CH12" s="37">
        <f>100*SAFEDIV(Output!CH12,Output!CH11)</f>
        <v>0</v>
      </c>
      <c r="EA12" s="39"/>
      <c r="KT12" s="37" t="s">
        <v>203</v>
      </c>
      <c r="KY12" s="14"/>
      <c s="37">
        <v>852941952</v>
      </c>
    </row>
    <row ht="14.95" s="37" customFormat="1">
      <c r="C13" s="37" t="s">
        <v>206</v>
      </c>
      <c r="J13" s="19"/>
      <c r="X13" s="21"/>
      <c s="34"/>
      <c r="AO13" s="37">
        <f>100*SAFEDIV(Output!AO13,Output!AO11)</f>
        <v>0</v>
      </c>
      <c r="CH13" s="37">
        <f>100*SAFEDIV(Output!CH13,Output!CH11)</f>
        <v>0</v>
      </c>
      <c r="EA13" s="39"/>
      <c r="KT13" s="37" t="s">
        <v>207</v>
      </c>
      <c r="KY13" s="14"/>
      <c s="37">
        <v>9982336</v>
      </c>
    </row>
    <row ht="14.95" s="37" customFormat="1">
      <c r="C14" s="37" t="s">
        <v>208</v>
      </c>
      <c r="J14" s="19"/>
      <c r="X14" s="21"/>
      <c s="34"/>
      <c r="BK14" s="37">
        <f>100*SAFEDIV(Output!BK14,Output!BK11)</f>
        <v>0</v>
      </c>
      <c r="CH14" s="37">
        <f>100*SAFEDIV(Output!CH14,Output!CH11)</f>
        <v>0</v>
      </c>
      <c r="EA14" s="39"/>
      <c r="KT14" s="37" t="s">
        <v>210</v>
      </c>
      <c r="KY14" s="14"/>
      <c s="37">
        <v>1630301440</v>
      </c>
    </row>
    <row ht="14.95" s="37" customFormat="1">
      <c r="C15" s="37" t="s">
        <v>211</v>
      </c>
      <c r="J15" s="19"/>
      <c r="X15" s="21"/>
      <c s="34"/>
      <c r="BK15" s="37">
        <f>100*SAFEDIV(Output!BK15,Output!BK11)</f>
        <v>0</v>
      </c>
      <c r="EA15" s="39"/>
      <c r="KT15" s="37" t="s">
        <v>213</v>
      </c>
      <c r="KX15" s="37">
        <f>Dist!BK5*Dist!BK8/10000*Dist!BK15</f>
        <v>0</v>
      </c>
      <c s="14"/>
      <c s="37">
        <v>1144920704</v>
      </c>
    </row>
    <row ht="14.95" s="37" customFormat="1">
      <c r="C16" s="37" t="s">
        <v>214</v>
      </c>
      <c r="J16" s="19"/>
      <c r="X16" s="21"/>
      <c s="34"/>
      <c r="CA16" s="37">
        <f>100*SAFEDIV(Output!CA16,Output!CA11)</f>
        <v>0</v>
      </c>
      <c r="EA16" s="39"/>
      <c r="KT16" s="37" t="s">
        <v>216</v>
      </c>
      <c r="KX16" s="37">
        <f>Dist!CA5*Dist!CA8/10000*Dist!CA16</f>
        <v>0</v>
      </c>
      <c s="14"/>
      <c s="37">
        <v>1151275520</v>
      </c>
    </row>
    <row ht="14.95" s="37" customFormat="1">
      <c r="C17" s="37" t="s">
        <v>217</v>
      </c>
      <c r="J17" s="19"/>
      <c r="X17" s="21"/>
      <c s="34"/>
      <c r="CA17" s="37">
        <f>100*SAFEDIV(Output!CA17,Output!CA11)</f>
        <v>0</v>
      </c>
      <c r="CH17" s="37">
        <f>100*SAFEDIV(Output!CH17,Output!CH11)</f>
        <v>0</v>
      </c>
      <c r="EA17" s="39"/>
      <c r="KT17" s="37" t="s">
        <v>219</v>
      </c>
      <c r="KY17" s="14"/>
      <c s="37">
        <v>515517312</v>
      </c>
    </row>
    <row ht="14.95" s="37" customFormat="1">
      <c r="C18" s="37" t="s">
        <v>220</v>
      </c>
      <c r="J18" s="19"/>
      <c r="X18" s="21"/>
      <c s="34"/>
      <c r="CA18" s="37">
        <f>100*SAFEDIV(Output!CA18,Output!CA11)</f>
        <v>0</v>
      </c>
      <c r="CH18" s="37">
        <f>100*SAFEDIV(Output!CH18,Output!CH11)</f>
        <v>0</v>
      </c>
      <c r="EA18" s="39"/>
      <c r="KT18" s="37" t="s">
        <v>221</v>
      </c>
      <c r="KY18" s="14"/>
      <c s="37">
        <v>1991171840</v>
      </c>
    </row>
    <row ht="14.95" s="37" customFormat="1">
      <c r="C19" s="37" t="s">
        <v>222</v>
      </c>
      <c r="J19" s="19"/>
      <c r="X19" s="21"/>
      <c s="34"/>
      <c r="CH19" s="37">
        <f>100*SAFEDIV(Output!CH19,Output!CH11)</f>
        <v>0</v>
      </c>
      <c r="EA19" s="39"/>
      <c r="KT19" s="37" t="s">
        <v>224</v>
      </c>
      <c r="KX19" s="37">
        <f>Dist!CH5*Dist!CH8/10000*Dist!CH19</f>
        <v>0</v>
      </c>
      <c s="14"/>
      <c s="37">
        <v>1409205376</v>
      </c>
    </row>
    <row ht="14.95" s="14" customFormat="1">
      <c r="J20" s="19"/>
      <c r="Y20" s="19"/>
      <c r="EA20" s="39"/>
      <c r="KT20" s="14" t="s">
        <v>187</v>
      </c>
      <c r="KZ20" s="14">
        <v>502617600</v>
      </c>
    </row>
    <row ht="14.95" s="50" customFormat="1">
      <c s="50" t="s">
        <v>183</v>
      </c>
      <c r="C21" s="44" t="s">
        <v>234</v>
      </c>
      <c r="J21" s="58"/>
      <c r="X21" s="54" t="s">
        <v>191</v>
      </c>
      <c s="60" t="s">
        <v>33</v>
      </c>
      <c r="EA21" s="46"/>
    </row>
    <row ht="14.95" s="14" customFormat="1">
      <c r="J22" s="19"/>
      <c r="X22" s="56" t="s">
        <v>192</v>
      </c>
      <c s="34"/>
      <c r="EA22" s="39"/>
    </row>
    <row ht="14.95" s="14" customFormat="1">
      <c r="J23" s="19"/>
      <c r="X23" s="56" t="s">
        <v>193</v>
      </c>
      <c s="34" t="s">
        <v>5</v>
      </c>
      <c r="EA23" s="39"/>
    </row>
    <row ht="14.95" s="59" customFormat="1">
      <c r="C24" s="59" t="s">
        <v>190</v>
      </c>
      <c r="J24" s="48"/>
      <c r="X24" s="57" t="s">
        <v>26</v>
      </c>
      <c s="47" t="s">
        <v>33</v>
      </c>
      <c r="EA24" s="55"/>
    </row>
    <row ht="14.95" hidden="1" customHeight="1" s="37" customFormat="1">
      <c s="37" t="s">
        <v>235</v>
      </c>
      <c r="C25" s="37" t="s">
        <v>236</v>
      </c>
      <c r="J25" s="19"/>
      <c r="X25" s="21"/>
      <c s="34"/>
      <c r="EA25" s="39"/>
      <c r="KS25" s="37" t="s">
        <v>235</v>
      </c>
      <c s="37" t="s">
        <v>231</v>
      </c>
      <c r="KY25" s="14"/>
      <c s="37">
        <v>19706880</v>
      </c>
    </row>
    <row ht="14.95" s="14" customFormat="1">
      <c r="J26" s="19"/>
      <c r="Y26" s="19"/>
      <c r="EA26" s="39"/>
      <c r="KT26" s="14" t="s">
        <v>187</v>
      </c>
      <c r="KZ26" s="14">
        <v>818372480</v>
      </c>
    </row>
  </sheetData>
  <sheetProtection sheet="1" objects="1" scenarios="1"/>
  <conditionalFormatting sqref="AO7 BK7 CA7 CH7">
    <cfRule type="cellIs" dxfId="0" priority="37" stopIfTrue="1" operator="greaterThan">
      <formula>100.001</formula>
    </cfRule>
    <cfRule type="cellIs" dxfId="0" priority="38" stopIfTrue="1" operator="lessThan">
      <formula>99.999</formula>
    </cfRule>
  </conditionalFormatting>
  <conditionalFormatting sqref="J4 R4:T4 AO4 BK4 CA4 CH4">
    <cfRule type="cellIs" dxfId="0" priority="47" stopIfTrue="1" operator="greaterThan">
      <formula>0.001</formula>
    </cfRule>
    <cfRule type="cellIs" dxfId="0" priority="48" stopIfTrue="1" operator="lessThan">
      <formula>-0.001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500"/>
  <sheetViews>
    <sheetView topLeftCell="C2" workbookViewId="0"/>
  </sheetViews>
  <sheetFormatPr defaultRowHeight="12.75" zeroHeight="1"/>
  <cols>
    <col min="1" max="2" width="8.8984375" style="51" hidden="1" customWidth="1"/>
    <col min="3" max="3" width="21.47265625" style="51" bestFit="1" customWidth="1"/>
    <col min="4" max="4" width="13.0625" style="51" customWidth="1"/>
    <col min="5" max="16384" width="8.8984375" style="51"/>
  </cols>
  <sheetData>
    <row hidden="1">
      <c s="4"/>
      <c s="45"/>
      <c s="4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>
      <c s="4"/>
      <c s="45"/>
      <c s="4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5"/>
      <c s="4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5"/>
      <c s="4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5"/>
      <c s="4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5"/>
      <c s="4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45"/>
      <c s="45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>
      <c s="22"/>
      <c s="26"/>
      <c s="28" t="s">
        <v>149</v>
      </c>
      <c s="89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>
      <c s="1"/>
      <c r="C9" s="18" t="s">
        <v>150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10" s="18" t="s">
        <v>154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3"/>
      <c s="61"/>
      <c s="53" t="s">
        <v>151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3"/>
      <c s="61"/>
      <c s="53" t="s">
        <v>152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1"/>
      <c r="C13" s="18" t="s">
        <v>153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14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2"/>
      <c s="26"/>
      <c s="28" t="s">
        <v>155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>
      <c s="1"/>
      <c r="C16" s="18" t="s">
        <v>156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17" s="18" t="s">
        <v>154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3"/>
      <c s="61"/>
      <c s="53" t="s">
        <v>157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>
      <c s="1"/>
      <c r="C19" s="18" t="s">
        <v>158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0" s="18" t="s">
        <v>159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1" s="18" t="s">
        <v>160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2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2"/>
      <c s="26"/>
      <c s="28" t="s">
        <v>161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>
      <c s="1"/>
      <c r="C24" s="18" t="s">
        <v>162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5" s="18" t="s">
        <v>163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6" s="18" t="s">
        <v>164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7" s="18" t="s">
        <v>165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28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22"/>
      <c s="26"/>
      <c s="28" t="s">
        <v>167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>
      <c s="1"/>
      <c r="C30" s="18" t="s">
        <v>168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31" s="18" t="s">
        <v>169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32" s="18" t="s">
        <v>170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33" s="18" t="s">
        <v>171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34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>
      <c s="1"/>
      <c r="C35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2"/>
      <c s="26"/>
      <c s="28" t="s">
        <v>172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18" t="s">
        <v>173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18" t="s">
        <v>174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18" t="s">
        <v>175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18" t="s">
        <v>176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18" t="s">
        <v>180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18" t="s">
        <v>177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18" t="s">
        <v>178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18" t="s">
        <v>179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18" t="s">
        <v>181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18" t="s">
        <v>182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1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500" hidden="1">
      <c r="C500" s="51" t="s">
        <v>166</v>
      </c>
    </row>
  </sheetData>
  <sheetProtection sheet="1" objects="1" scenarios="1"/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26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3" customFormat="1">
      <c r="C1" s="31" t="s">
        <v>139</v>
      </c>
      <c s="75"/>
    </row>
    <row ht="14.95" s="33" customFormat="1"/>
    <row ht="14.95" s="35" customFormat="1"/>
    <row ht="14.95" s="36" customFormat="1"/>
    <row ht="14.95" s="41" customFormat="1"/>
    <row ht="14.95" s="41" customFormat="1"/>
    <row ht="14.95" s="40" customFormat="1"/>
    <row s="27" customFormat="1">
      <c s="27" t="s">
        <v>183</v>
      </c>
      <c r="C8" s="25" t="s">
        <v>202</v>
      </c>
      <c r="G8" s="27" t="s">
        <v>197</v>
      </c>
      <c s="27" t="s">
        <v>195</v>
      </c>
      <c s="27" t="s">
        <v>3</v>
      </c>
      <c s="27" t="s">
        <v>194</v>
      </c>
      <c s="27" t="s">
        <v>196</v>
      </c>
      <c r="X8" s="6" t="s">
        <v>191</v>
      </c>
      <c s="6" t="s">
        <v>33</v>
      </c>
    </row>
    <row s="23" customFormat="1">
      <c r="C9" s="23" t="s">
        <v>185</v>
      </c>
      <c r="E9" s="23" t="str">
        <f>TEMPU()</f>
        <v>°C</v>
      </c>
      <c r="H9" s="9"/>
      <c s="9" t="s">
        <v>199</v>
      </c>
      <c s="9"/>
      <c s="9" t="s">
        <v>200</v>
      </c>
      <c r="M9" s="23" t="s">
        <v>198</v>
      </c>
      <c r="X9" s="30" t="s">
        <v>192</v>
      </c>
      <c s="30"/>
    </row>
    <row s="23" customFormat="1">
      <c r="C10" s="23" t="s">
        <v>186</v>
      </c>
      <c r="E10" s="23" t="str">
        <f>PRESU()</f>
        <v>bar</v>
      </c>
      <c r="G10" s="49">
        <f>SAFEDIV(Tank!G9,Tank!H9)</f>
        <v>0</v>
      </c>
      <c r="X10" s="30" t="s">
        <v>193</v>
      </c>
      <c s="30" t="s">
        <v>5</v>
      </c>
    </row>
    <row s="29" customFormat="1">
      <c s="29" t="s">
        <v>184</v>
      </c>
      <c r="C11" s="29" t="s">
        <v>26</v>
      </c>
      <c r="X11" s="38" t="s">
        <v>26</v>
      </c>
      <c s="38" t="s">
        <v>33</v>
      </c>
    </row>
    <row s="37" customFormat="1">
      <c r="C12" s="37" t="s">
        <v>204</v>
      </c>
      <c r="X12" s="21"/>
      <c s="21"/>
    </row>
    <row s="37" customFormat="1">
      <c r="C13" s="37" t="s">
        <v>206</v>
      </c>
      <c r="X13" s="21"/>
      <c s="21"/>
    </row>
    <row s="37" customFormat="1">
      <c r="C14" s="37" t="s">
        <v>208</v>
      </c>
      <c r="X14" s="21"/>
      <c s="21"/>
    </row>
    <row s="37" customFormat="1">
      <c r="C15" s="37" t="s">
        <v>211</v>
      </c>
      <c r="X15" s="21"/>
      <c s="21"/>
    </row>
    <row s="37" customFormat="1">
      <c r="C16" s="37" t="s">
        <v>214</v>
      </c>
      <c r="X16" s="21"/>
      <c s="21"/>
    </row>
    <row s="37" customFormat="1">
      <c r="C17" s="37" t="s">
        <v>217</v>
      </c>
      <c r="X17" s="21"/>
      <c s="21"/>
    </row>
    <row s="37" customFormat="1">
      <c r="C18" s="37" t="s">
        <v>220</v>
      </c>
      <c r="X18" s="21"/>
      <c s="21"/>
    </row>
    <row s="37" customFormat="1">
      <c r="C19" s="37" t="s">
        <v>222</v>
      </c>
      <c r="X19" s="21"/>
      <c s="21"/>
    </row>
    <row s="14" customFormat="1"/>
    <row s="27" customFormat="1">
      <c s="27" t="s">
        <v>183</v>
      </c>
      <c r="C21" s="25" t="s">
        <v>234</v>
      </c>
      <c r="G21" s="27" t="s">
        <v>197</v>
      </c>
      <c s="27" t="s">
        <v>195</v>
      </c>
      <c s="27" t="s">
        <v>3</v>
      </c>
      <c s="27" t="s">
        <v>194</v>
      </c>
      <c s="27" t="s">
        <v>196</v>
      </c>
      <c r="X21" s="6" t="s">
        <v>191</v>
      </c>
      <c s="6" t="s">
        <v>33</v>
      </c>
    </row>
    <row s="23" customFormat="1">
      <c r="C22" s="23" t="s">
        <v>185</v>
      </c>
      <c r="E22" s="23" t="str">
        <f>TEMPU()</f>
        <v>°C</v>
      </c>
      <c r="H22" s="9"/>
      <c s="9" t="s">
        <v>199</v>
      </c>
      <c s="9"/>
      <c s="9" t="s">
        <v>200</v>
      </c>
      <c r="M22" s="23" t="s">
        <v>198</v>
      </c>
      <c r="X22" s="30" t="s">
        <v>192</v>
      </c>
      <c s="30"/>
    </row>
    <row s="23" customFormat="1">
      <c r="C23" s="23" t="s">
        <v>186</v>
      </c>
      <c r="E23" s="23" t="str">
        <f>PRESU()</f>
        <v>bar</v>
      </c>
      <c r="G23" s="49">
        <f>SAFEDIV(Tank!G22,Tank!H22)</f>
        <v>0</v>
      </c>
      <c r="X23" s="30" t="s">
        <v>193</v>
      </c>
      <c s="30" t="s">
        <v>5</v>
      </c>
    </row>
    <row s="29" customFormat="1">
      <c s="29" t="s">
        <v>184</v>
      </c>
      <c r="C24" s="29" t="s">
        <v>26</v>
      </c>
      <c r="X24" s="38" t="s">
        <v>26</v>
      </c>
      <c s="38" t="s">
        <v>33</v>
      </c>
    </row>
    <row s="37" customFormat="1">
      <c s="24" t="s">
        <v>235</v>
      </c>
      <c r="C25" s="24" t="s">
        <v>236</v>
      </c>
      <c r="X25" s="21"/>
      <c s="21"/>
    </row>
    <row s="14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16"/>
  <sheetViews>
    <sheetView workbookViewId="0">
      <selection activeCell="G12" sqref="G12"/>
    </sheetView>
  </sheetViews>
  <sheetFormatPr defaultRowHeight="14.95"/>
  <cols>
    <col min="1" max="1" width="12.49609375" style="63" bestFit="1" customWidth="1"/>
    <col min="2" max="2" width="7.05078125" style="52" bestFit="1" customWidth="1"/>
    <col min="3" max="3" width="2.07421875" style="88" hidden="1" bestFit="1" customWidth="1"/>
    <col min="4" max="4" width="8.32421875" style="52" bestFit="1" customWidth="1"/>
    <col min="5" max="6" width="10.15234375" style="88" hidden="1" bestFit="1" customWidth="1"/>
    <col min="7" max="16384" width="8.8984375" style="88"/>
  </cols>
  <sheetData>
    <row s="91" customFormat="1">
      <c s="32"/>
      <c s="32"/>
      <c s="69"/>
      <c s="32"/>
      <c s="32"/>
    </row>
    <row s="91" customFormat="1">
      <c s="32"/>
      <c s="32"/>
      <c s="69"/>
      <c s="32"/>
      <c s="32"/>
    </row>
    <row s="82" customFormat="1">
      <c r="C3" s="76"/>
      <c s="77" t="s">
        <v>228</v>
      </c>
    </row>
    <row s="79" customFormat="1">
      <c s="67" t="s">
        <v>229</v>
      </c>
      <c s="80" t="s">
        <v>230</v>
      </c>
      <c s="43"/>
      <c s="43" t="str">
        <f>Output!C8</f>
        <v>Stack gas</v>
      </c>
      <c s="62" t="s">
        <v>226</v>
      </c>
    </row>
    <row ht="12.75" hidden="1" s="79" customFormat="1">
      <c s="68"/>
      <c s="43"/>
      <c s="43"/>
      <c s="43"/>
      <c s="62"/>
    </row>
    <row ht="12.75" hidden="1" s="79" customFormat="1">
      <c s="68"/>
      <c s="43"/>
      <c s="43"/>
      <c s="43"/>
      <c s="62"/>
    </row>
    <row ht="12.75" hidden="1" s="95" customFormat="1">
      <c s="74"/>
      <c s="42"/>
      <c s="42"/>
      <c s="42"/>
      <c s="85"/>
    </row>
    <row s="78" customFormat="1">
      <c s="81" t="str">
        <f>Input!C8</f>
        <v>Off gas</v>
      </c>
      <c s="93"/>
      <c s="78" t="s">
        <v>227</v>
      </c>
      <c s="86">
        <v>0</v>
      </c>
    </row>
    <row>
      <c s="63" t="s">
        <v>204</v>
      </c>
      <c s="90">
        <f t="shared" si="0" ref="B9:B16">SUM(D9:XFD9)</f>
        <v>100</v>
      </c>
      <c r="D9" s="72">
        <v>100</v>
      </c>
    </row>
    <row>
      <c s="63" t="s">
        <v>206</v>
      </c>
      <c s="90">
        <f t="shared" si="0"/>
        <v>100</v>
      </c>
      <c r="D10" s="72">
        <v>100</v>
      </c>
    </row>
    <row>
      <c s="63" t="s">
        <v>208</v>
      </c>
      <c s="90">
        <f t="shared" si="0"/>
        <v>100</v>
      </c>
      <c r="D11" s="72">
        <v>100</v>
      </c>
    </row>
    <row>
      <c s="63" t="s">
        <v>211</v>
      </c>
      <c s="90">
        <f t="shared" si="0"/>
        <v>100</v>
      </c>
      <c r="D12" s="72">
        <v>100</v>
      </c>
    </row>
    <row>
      <c s="63" t="s">
        <v>214</v>
      </c>
      <c s="90">
        <f t="shared" si="0"/>
        <v>100</v>
      </c>
      <c r="D13" s="72">
        <v>100</v>
      </c>
    </row>
    <row>
      <c s="63" t="s">
        <v>217</v>
      </c>
      <c s="90">
        <f t="shared" si="0"/>
        <v>100</v>
      </c>
      <c r="D14" s="72">
        <v>100</v>
      </c>
    </row>
    <row>
      <c s="63" t="s">
        <v>220</v>
      </c>
      <c s="90">
        <f t="shared" si="0"/>
        <v>100</v>
      </c>
      <c r="D15" s="72">
        <v>100</v>
      </c>
    </row>
    <row s="65" customFormat="1">
      <c s="94" t="s">
        <v>222</v>
      </c>
      <c s="66">
        <f t="shared" si="0"/>
        <v>100</v>
      </c>
      <c r="D16" s="92">
        <v>100</v>
      </c>
    </row>
  </sheetData>
  <sheetProtection sheet="1" objects="1" scenarios="1"/>
  <conditionalFormatting sqref="B9:B16">
    <cfRule type="cellIs" dxfId="0" priority="15" stopIfTrue="1" operator="greaterThan">
      <formula>100.001</formula>
    </cfRule>
    <cfRule type="cellIs" dxfId="0" priority="16" stopIfTrue="1" operator="lessThan">
      <formula>99.999</formula>
    </cfRule>
  </conditionalFormatting>
  <pageMargins left="0.7" right="0.7" top="0.75" bottom="0.75" header="0.3" footer="0.3"/>
</worksheet>
</file>