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Wizard" sheetId="6" state="hidden" r:id="rId6"/>
    <sheet name="Tank" sheetId="7" state="hidden" r:id="rId7"/>
    <sheet name="Custom 1" sheetId="8" r:id="rId8"/>
  </sheets>
  <definedNames>
    <definedName name="_COMMENT_0" comment="Stream source is not connected." hidden="1">"Input!E6"</definedName>
    <definedName name="_COMMENT_1" comment="Density could not be calculated without any Mass Fraction variables. Add Mass Fraction(s) to the variable list." hidden="1">"Input!E10"</definedName>
    <definedName name="_COMMENT_2" comment="Density could not be calculated without any Mass Fraction variables. Add Mass Fraction(s) to the variable list." hidden="1">"Input!E28"</definedName>
    <definedName name="_COMMENT_3" comment="Density could not be calculated without any Mass Fraction variables. Add Mass Fraction(s) to the variable list." hidden="1">"Input!E31"</definedName>
    <definedName name="_COMMENT_4" comment="Stream destination is not connected." hidden="1">"Output!E6"</definedName>
    <definedName name="_COMMENT_5" comment="Density could not be calculated without any Mass Fraction variables. Add Mass Fraction(s) to the variable list." hidden="1">"Output!E10"</definedName>
    <definedName name="_COMMENT_6" comment="Density could not be calculated without any Mass Fraction variables. Add Mass Fraction(s) to the variable list." hidden="1">"Output!E28"</definedName>
    <definedName name="_COMMENT_7" comment="Density could not be calculated without any Mass Fraction variables. Add Mass Fraction(s) to the variable list." hidden="1">"Output!E31"</definedName>
    <definedName name="_COMMENT_8" comment="Stream destination is not connected." hidden="1">"Dist!E6"</definedName>
    <definedName name="_F1B_VisibleRowsRange" localSheetId="3" hidden="1">Controls!$1:$31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5" hidden="1">1</definedName>
    <definedName name="_Flag_UnitDLLFormat1" hidden="1">1</definedName>
    <definedName name="_Flag_UnitDLLFormat2" hidden="1">1</definedName>
    <definedName name="_Flag_UnitType" hidden="1">"HydroF1"</definedName>
    <definedName name="_Flag_VariableListGuid" hidden="1">"a667a6eb-192c-4673-9e2a-7b55f6e0c836"</definedName>
    <definedName name="TIMESTEPSECONDS">1</definedName>
  </definedNames>
  <calcPr calcId="40001"/>
</workbook>
</file>

<file path=xl/sharedStrings.xml><?xml version="1.0" encoding="utf-8"?>
<sst xmlns="http://schemas.openxmlformats.org/spreadsheetml/2006/main" count="449" uniqueCount="127">
  <si>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</si>
  <si>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</si>
  <si>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</si>
  <si>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</si>
  <si>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</si>
  <si>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</si>
  <si>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</si>
  <si>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</si>
  <si>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</si>
  <si>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</si>
  <si>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</si>
  <si>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</si>
  <si>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</si>
  <si>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</si>
  <si>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</si>
  <si>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</si>
  <si>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</si>
  <si>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</si>
  <si>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</si>
  <si>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</si>
  <si>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</si>
  <si>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</si>
  <si>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</si>
  <si>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</si>
  <si>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</si>
  <si>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</si>
  <si>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</si>
  <si>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</si>
  <si>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</si>
  <si>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</si>
  <si>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</si>
  <si>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</si>
  <si>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</si>
  <si>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</si>
  <si>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>INPUT</t>
  </si>
  <si>
    <t>Variables</t>
  </si>
  <si>
    <t>Units</t>
  </si>
  <si>
    <t>Total</t>
  </si>
  <si>
    <t>Sum</t>
  </si>
  <si>
    <t>Type</t>
  </si>
  <si>
    <t>OUTPUT</t>
  </si>
  <si>
    <t>Dist</t>
  </si>
  <si>
    <t>Total %</t>
  </si>
  <si>
    <t>A</t>
  </si>
  <si>
    <t>VARIABLES:</t>
  </si>
  <si>
    <t>Phases/Species</t>
  </si>
  <si>
    <t>BALANCE</t>
  </si>
  <si>
    <t>Coef.</t>
  </si>
  <si>
    <t>fluorite</t>
  </si>
  <si>
    <t>Stream 1</t>
  </si>
  <si>
    <t>Mass Flow</t>
  </si>
  <si>
    <t>t/h</t>
  </si>
  <si>
    <t>T</t>
  </si>
  <si>
    <t>Temperature</t>
  </si>
  <si>
    <t>°C</t>
  </si>
  <si>
    <t>Pr</t>
  </si>
  <si>
    <t>Pressure</t>
  </si>
  <si>
    <t>bar</t>
  </si>
  <si>
    <t>V</t>
  </si>
  <si>
    <t>Volumetric Flow</t>
  </si>
  <si>
    <t>m3/h</t>
  </si>
  <si>
    <t>H</t>
  </si>
  <si>
    <t>Enthalpy Flow</t>
  </si>
  <si>
    <t>kW</t>
  </si>
  <si>
    <t>Cp</t>
  </si>
  <si>
    <t>Heat Capacity</t>
  </si>
  <si>
    <t>kJ/kgK</t>
  </si>
  <si>
    <t>Ex</t>
  </si>
  <si>
    <t>Exergy Flow</t>
  </si>
  <si>
    <t>P1g</t>
  </si>
  <si>
    <t>Gas Phase</t>
  </si>
  <si>
    <t>Nm3/h</t>
  </si>
  <si>
    <t>P2a</t>
  </si>
  <si>
    <t>Water Phase</t>
  </si>
  <si>
    <t>H2O</t>
  </si>
  <si>
    <t>Ca(+2a)</t>
  </si>
  <si>
    <t>F(-a)</t>
  </si>
  <si>
    <t>P3s</t>
  </si>
  <si>
    <t>Pure Phase</t>
  </si>
  <si>
    <t>CaF2</t>
  </si>
  <si>
    <t>A1</t>
  </si>
  <si>
    <t>Mass Flow Phase 1</t>
  </si>
  <si>
    <t>A2</t>
  </si>
  <si>
    <t>Mass Flow Phase 2</t>
  </si>
  <si>
    <t>A3</t>
  </si>
  <si>
    <t>Mass Flow Phase 3</t>
  </si>
  <si>
    <t>H1</t>
  </si>
  <si>
    <t>Enthalpy Flow Phase 1</t>
  </si>
  <si>
    <t>H2</t>
  </si>
  <si>
    <t>Enthalpy Flow Phase 2</t>
  </si>
  <si>
    <t>H3</t>
  </si>
  <si>
    <t>Enthalpy Flow Phase 3</t>
  </si>
  <si>
    <t>V1</t>
  </si>
  <si>
    <t>Volumetric Flow Phase 1</t>
  </si>
  <si>
    <t>V2</t>
  </si>
  <si>
    <t>Volumetric Flow Phase 2</t>
  </si>
  <si>
    <t>V3</t>
  </si>
  <si>
    <t>Volumetric Flow Phase 3</t>
  </si>
  <si>
    <t>D1</t>
  </si>
  <si>
    <t>Density Phase 1</t>
  </si>
  <si>
    <t>kg/m3</t>
  </si>
  <si>
    <t>D2</t>
  </si>
  <si>
    <t>Density Phase 2</t>
  </si>
  <si>
    <t>D3</t>
  </si>
  <si>
    <t>Density Phase 3</t>
  </si>
  <si>
    <t>Cp1</t>
  </si>
  <si>
    <t>Heat Capacity Phase 1</t>
  </si>
  <si>
    <t>Cp2</t>
  </si>
  <si>
    <t>Heat Capacity Phase 2</t>
  </si>
  <si>
    <t>Cp3</t>
  </si>
  <si>
    <t>Heat Capacity Phase 3</t>
  </si>
  <si>
    <t>Ex1</t>
  </si>
  <si>
    <t>Exergy Flow Phase 1</t>
  </si>
  <si>
    <t>Ex2</t>
  </si>
  <si>
    <t>Exergy Flow Phase 2</t>
  </si>
  <si>
    <t>Ex3</t>
  </si>
  <si>
    <t>Exergy Flow Phase 3</t>
  </si>
  <si>
    <t>kmol/h</t>
  </si>
  <si>
    <t>=</t>
  </si>
  <si>
    <t>Progress</t>
  </si>
  <si>
    <t>REACTANTS</t>
  </si>
  <si>
    <t>WIZARD: Chemical Reactions</t>
  </si>
  <si>
    <t>CHEMICAL REACTIONS</t>
  </si>
  <si>
    <t>%</t>
  </si>
  <si>
    <t>PRODUCTS</t>
  </si>
  <si>
    <t>k</t>
  </si>
  <si>
    <t>tau</t>
  </si>
</sst>
</file>

<file path=xl/styles.xml><?xml version="1.0" encoding="utf-8"?>
<styleSheet xmlns="http://schemas.openxmlformats.org/spreadsheetml/2006/main">
  <numFmts count="1">
    <numFmt numFmtId="164" formatCode="#\ ##0.00"/>
  </numFmts>
  <fonts count="2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ED9C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EEECE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9F0D9"/>
        <bgColor indexed="64"/>
      </patternFill>
    </fill>
    <fill>
      <patternFill patternType="solid">
        <fgColor rgb="FF00FFFF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2" fontId="0" fillId="0" borderId="0" xfId="0" applyNumberFormat="1" applyFont="1" applyFill="1"/>
    <xf numFmtId="2" fontId="0" fillId="0" borderId="2" xfId="0" applyNumberFormat="1" applyFont="1" applyFill="1" applyBorder="1"/>
    <xf numFmtId="2" fontId="3" fillId="0" borderId="3" xfId="0" applyNumberFormat="1" applyFont="1" applyFill="1" applyBorder="1"/>
    <xf numFmtId="2" fontId="3" fillId="4" borderId="4" xfId="0" applyNumberFormat="1" applyFont="1" applyFill="1" applyBorder="1"/>
    <xf numFmtId="2" fontId="0" fillId="4" borderId="0" xfId="0" applyNumberFormat="1" applyFont="1" applyFill="1" applyBorder="1"/>
    <xf numFmtId="2" fontId="3" fillId="5" borderId="5" xfId="0" applyNumberFormat="1" applyFont="1" applyFill="1" applyBorder="1"/>
    <xf numFmtId="2" fontId="3" fillId="6" borderId="4" xfId="0" applyNumberFormat="1" applyFont="1" applyFill="1" applyBorder="1"/>
    <xf numFmtId="2" fontId="3" fillId="5" borderId="6" xfId="0" applyNumberFormat="1" applyFont="1" applyFill="1" applyBorder="1"/>
    <xf numFmtId="2" fontId="3" fillId="4" borderId="7" xfId="0" applyNumberFormat="1" applyFont="1" applyFill="1" applyBorder="1"/>
    <xf numFmtId="2" fontId="3" fillId="6" borderId="0" xfId="0" applyNumberFormat="1" applyFont="1" applyFill="1"/>
    <xf numFmtId="0" fontId="1" fillId="2" borderId="8" xfId="0" applyFont="1" applyFill="1" applyBorder="1" applyAlignment="1" applyProtection="1"/>
    <xf numFmtId="0" fontId="2" fillId="7" borderId="1" xfId="0" applyFont="1" applyFill="1" applyBorder="1" applyAlignment="1" applyProtection="1">
      <alignment horizontal="center"/>
    </xf>
    <xf numFmtId="0" fontId="2" fillId="7" borderId="9" xfId="0" applyFont="1" applyFill="1" applyBorder="1" applyAlignment="1" applyProtection="1"/>
    <xf numFmtId="2" fontId="0" fillId="5" borderId="6" xfId="0" applyNumberFormat="1" applyFont="1" applyFill="1" applyBorder="1"/>
    <xf numFmtId="2" fontId="3" fillId="5" borderId="10" xfId="0" applyNumberFormat="1" applyFont="1" applyFill="1" applyBorder="1"/>
    <xf numFmtId="2" fontId="3" fillId="5" borderId="11" xfId="0" applyNumberFormat="1" applyFont="1" applyFill="1" applyBorder="1"/>
    <xf numFmtId="2" fontId="0" fillId="6" borderId="0" xfId="0" applyNumberFormat="1" applyFont="1" applyFill="1"/>
    <xf numFmtId="2" fontId="0" fillId="6" borderId="4" xfId="0" applyNumberFormat="1" applyFont="1" applyFill="1" applyBorder="1"/>
    <xf numFmtId="2" fontId="3" fillId="5" borderId="12" xfId="0" applyNumberFormat="1" applyFont="1" applyFill="1" applyBorder="1"/>
    <xf numFmtId="2" fontId="0" fillId="4" borderId="2" xfId="0" applyNumberFormat="1" applyFont="1" applyFill="1" applyBorder="1"/>
    <xf numFmtId="2" fontId="0" fillId="4" borderId="4" xfId="0" applyNumberFormat="1" applyFont="1" applyFill="1" applyBorder="1"/>
    <xf numFmtId="2" fontId="0" fillId="4" borderId="0" xfId="0" applyNumberFormat="1" applyFont="1" applyFill="1"/>
    <xf numFmtId="2" fontId="0" fillId="0" borderId="4" xfId="0" applyNumberFormat="1" applyFont="1" applyFill="1" applyBorder="1" applyProtection="1">
      <protection locked="0"/>
    </xf>
    <xf numFmtId="2" fontId="3" fillId="5" borderId="13" xfId="0" applyNumberFormat="1" applyFont="1" applyFill="1" applyBorder="1"/>
    <xf numFmtId="2" fontId="0" fillId="4" borderId="7" xfId="0" applyNumberFormat="1" applyFont="1" applyFill="1" applyBorder="1"/>
    <xf numFmtId="2" fontId="3" fillId="6" borderId="7" xfId="0" applyNumberFormat="1" applyFont="1" applyFill="1" applyBorder="1"/>
    <xf numFmtId="2" fontId="3" fillId="8" borderId="4" xfId="0" applyNumberFormat="1" applyFont="1" applyFill="1" applyBorder="1" applyProtection="1">
      <protection locked="0"/>
    </xf>
    <xf numFmtId="164" fontId="0" fillId="4" borderId="7" xfId="0" applyNumberFormat="1" applyFont="1" applyFill="1" applyBorder="1"/>
    <xf numFmtId="0" fontId="2" fillId="2" borderId="8" xfId="0" applyFont="1" applyFill="1" applyBorder="1" applyAlignment="1" applyProtection="1"/>
    <xf numFmtId="2" fontId="3" fillId="0" borderId="4" xfId="0" applyNumberFormat="1" applyFont="1" applyFill="1" applyBorder="1" applyProtection="1">
      <protection locked="0"/>
    </xf>
    <xf numFmtId="2" fontId="0" fillId="0" borderId="14" xfId="0" applyNumberFormat="1" applyFont="1" applyFill="1" applyBorder="1"/>
    <xf numFmtId="2" fontId="3" fillId="6" borderId="15" xfId="0" applyNumberFormat="1" applyFont="1" applyFill="1" applyBorder="1"/>
    <xf numFmtId="2" fontId="0" fillId="6" borderId="7" xfId="0" applyNumberFormat="1" applyFont="1" applyFill="1" applyBorder="1"/>
    <xf numFmtId="2" fontId="3" fillId="0" borderId="3" xfId="0" quotePrefix="1" applyNumberFormat="1" applyFont="1" applyFill="1" applyBorder="1"/>
    <xf numFmtId="2" fontId="3" fillId="0" borderId="16" xfId="0" applyNumberFormat="1" applyFont="1" applyFill="1" applyBorder="1"/>
    <xf numFmtId="0" fontId="1" fillId="3" borderId="0" xfId="0" applyFont="1" applyFill="1" applyAlignment="1" applyProtection="1"/>
    <xf numFmtId="2" fontId="0" fillId="6" borderId="15" xfId="0" applyNumberFormat="1" applyFont="1" applyFill="1" applyBorder="1"/>
    <xf numFmtId="2" fontId="0" fillId="0" borderId="17" xfId="0" applyNumberFormat="1" applyFont="1" applyFill="1" applyBorder="1"/>
    <xf numFmtId="2" fontId="3" fillId="9" borderId="18" xfId="0" applyNumberFormat="1" applyFont="1" applyFill="1" applyBorder="1" applyProtection="1">
      <protection locked="0"/>
    </xf>
    <xf numFmtId="2" fontId="0" fillId="0" borderId="19" xfId="0" applyNumberFormat="1" applyFont="1" applyFill="1" applyBorder="1"/>
    <xf numFmtId="0" fontId="1" fillId="2" borderId="0" xfId="0" applyFont="1" applyFill="1" applyAlignment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2" fontId="0" fillId="0" borderId="15" xfId="0" applyNumberFormat="1" applyFont="1" applyFill="1" applyBorder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9" Type="http://schemas.openxmlformats.org/officeDocument/2006/relationships/theme" Target="theme/theme1.xml" /><Relationship Id="rId10" Type="http://schemas.openxmlformats.org/officeDocument/2006/relationships/styles" Target="styles.xml" /><Relationship Id="rId11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401990</xdr:colOff>
      <xdr:row>4</xdr:row>
      <xdr:rowOff>126365</xdr:rowOff>
    </xdr:from>
    <xdr:to>
      <xdr:col>5</xdr:col>
      <xdr:colOff>169628</xdr:colOff>
      <xdr:row>10</xdr:row>
      <xdr:rowOff>15875</xdr:rowOff>
    </xdr:to>
    <xdr:sp macro="" textlink="">
      <xdr:nvSpPr>
        <xdr:cNvPr id="2" name="Comment 1" hidden="1"/>
        <xdr:cNvSpPr txBox="1"/>
      </xdr:nvSpPr>
      <xdr:spPr>
        <a:xfrm>
          <a:off x="2802639" y="8858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Stream source is not connected.</a:t>
          </a:r>
        </a:p>
      </xdr:txBody>
    </xdr:sp>
    <xdr:clientData/>
  </xdr:twoCellAnchor>
  <xdr:twoCellAnchor editAs="absolute">
    <xdr:from>
      <xdr:col>5</xdr:col>
      <xdr:colOff>114300</xdr:colOff>
      <xdr:row>8</xdr:row>
      <xdr:rowOff>126365</xdr:rowOff>
    </xdr:from>
    <xdr:to>
      <xdr:col>6</xdr:col>
      <xdr:colOff>562710</xdr:colOff>
      <xdr:row>14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844592" y="16452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  <xdr:twoCellAnchor editAs="absolute">
    <xdr:from>
      <xdr:col>5</xdr:col>
      <xdr:colOff>114300</xdr:colOff>
      <xdr:row>26</xdr:row>
      <xdr:rowOff>126365</xdr:rowOff>
    </xdr:from>
    <xdr:to>
      <xdr:col>6</xdr:col>
      <xdr:colOff>562710</xdr:colOff>
      <xdr:row>32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844592" y="50628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  <xdr:twoCellAnchor editAs="absolute">
    <xdr:from>
      <xdr:col>5</xdr:col>
      <xdr:colOff>114300</xdr:colOff>
      <xdr:row>29</xdr:row>
      <xdr:rowOff>126365</xdr:rowOff>
    </xdr:from>
    <xdr:to>
      <xdr:col>6</xdr:col>
      <xdr:colOff>562710</xdr:colOff>
      <xdr:row>35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844592" y="563245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114015</xdr:colOff>
      <xdr:row>4</xdr:row>
      <xdr:rowOff>126365</xdr:rowOff>
    </xdr:from>
    <xdr:to>
      <xdr:col>5</xdr:col>
      <xdr:colOff>227451</xdr:colOff>
      <xdr:row>10</xdr:row>
      <xdr:rowOff>15875</xdr:rowOff>
    </xdr:to>
    <xdr:sp macro="" textlink="">
      <xdr:nvSpPr>
        <xdr:cNvPr id="2" name="Comment 1" hidden="1"/>
        <xdr:cNvSpPr txBox="1"/>
      </xdr:nvSpPr>
      <xdr:spPr>
        <a:xfrm>
          <a:off x="2514664" y="8858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Stream destination is not connected.</a:t>
          </a:r>
        </a:p>
      </xdr:txBody>
    </xdr:sp>
    <xdr:clientData/>
  </xdr:twoCellAnchor>
  <xdr:twoCellAnchor editAs="absolute">
    <xdr:from>
      <xdr:col>3</xdr:col>
      <xdr:colOff>72143</xdr:colOff>
      <xdr:row>8</xdr:row>
      <xdr:rowOff>126365</xdr:rowOff>
    </xdr:from>
    <xdr:to>
      <xdr:col>5</xdr:col>
      <xdr:colOff>185579</xdr:colOff>
      <xdr:row>14</xdr:row>
      <xdr:rowOff>15875</xdr:rowOff>
    </xdr:to>
    <xdr:sp macro="" textlink="">
      <xdr:nvSpPr>
        <xdr:cNvPr id="3" name="Comment 2" hidden="1"/>
        <xdr:cNvSpPr txBox="1"/>
      </xdr:nvSpPr>
      <xdr:spPr>
        <a:xfrm>
          <a:off x="2472792" y="164528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  <xdr:twoCellAnchor editAs="absolute">
    <xdr:from>
      <xdr:col>3</xdr:col>
      <xdr:colOff>72143</xdr:colOff>
      <xdr:row>26</xdr:row>
      <xdr:rowOff>126365</xdr:rowOff>
    </xdr:from>
    <xdr:to>
      <xdr:col>5</xdr:col>
      <xdr:colOff>185579</xdr:colOff>
      <xdr:row>32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472792" y="50628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  <xdr:twoCellAnchor editAs="absolute">
    <xdr:from>
      <xdr:col>3</xdr:col>
      <xdr:colOff>72143</xdr:colOff>
      <xdr:row>29</xdr:row>
      <xdr:rowOff>126365</xdr:rowOff>
    </xdr:from>
    <xdr:to>
      <xdr:col>5</xdr:col>
      <xdr:colOff>185579</xdr:colOff>
      <xdr:row>35</xdr:row>
      <xdr:rowOff>15875</xdr:rowOff>
    </xdr:to>
    <xdr:sp macro="" textlink="">
      <xdr:nvSpPr>
        <xdr:cNvPr id="5" name="Comment 4" hidden="1"/>
        <xdr:cNvSpPr txBox="1"/>
      </xdr:nvSpPr>
      <xdr:spPr>
        <a:xfrm>
          <a:off x="2472792" y="563245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Density could not be calculated without any Mass Fraction variables. Add Mass Fraction(s) to the variable list.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557229</xdr:colOff>
      <xdr:row>4</xdr:row>
      <xdr:rowOff>126365</xdr:rowOff>
    </xdr:from>
    <xdr:to>
      <xdr:col>6</xdr:col>
      <xdr:colOff>398641</xdr:colOff>
      <xdr:row>17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266282" y="88582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Stream destination is not connected.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tabSelected="1" workbookViewId="0">
      <pane xSplit="0" ySplit="6" topLeftCell="A7" activePane="bottomLeft" state="frozenSplit"/>
      <selection pane="bottomLeft" activeCell="F17" sqref="F17"/>
    </sheetView>
  </sheetViews>
  <sheetFormatPr defaultRowHeight="14.95"/>
  <cols>
    <col min="1" max="1" width="4.94921875" style="25" bestFit="1" customWidth="1"/>
    <col min="2" max="2" width="21.17578125" style="25" bestFit="1" customWidth="1"/>
    <col min="3" max="3" width="6.796875" style="25" bestFit="1" customWidth="1"/>
    <col min="4" max="4" width="9.1171875" style="29" bestFit="1" customWidth="1"/>
    <col min="5" max="5" width="9.1171875" style="22" bestFit="1" customWidth="1"/>
    <col min="6" max="16384" width="8.8984375" style="21"/>
  </cols>
  <sheetData>
    <row s="26" customFormat="1">
      <c s="9"/>
      <c s="9"/>
      <c s="9"/>
      <c s="9"/>
      <c s="9"/>
    </row>
    <row s="26" customFormat="1">
      <c s="9"/>
      <c s="9"/>
      <c s="9"/>
      <c s="9"/>
      <c s="9"/>
    </row>
    <row s="26" customFormat="1">
      <c s="9"/>
      <c s="9"/>
      <c s="9"/>
      <c s="9"/>
      <c s="9"/>
    </row>
    <row s="24" customFormat="1"/>
    <row s="19" customFormat="1">
      <c s="18" t="s">
        <v>39</v>
      </c>
      <c s="12" t="s">
        <v>34</v>
      </c>
      <c s="12" t="s">
        <v>36</v>
      </c>
      <c s="23" t="s">
        <v>37</v>
      </c>
      <c s="12"/>
    </row>
    <row s="20" customFormat="1">
      <c s="10"/>
      <c s="10" t="s">
        <v>35</v>
      </c>
      <c s="10"/>
      <c s="28" t="s">
        <v>38</v>
      </c>
      <c s="10" t="s">
        <v>48</v>
      </c>
    </row>
    <row s="14" customFormat="1">
      <c s="8" t="s">
        <v>43</v>
      </c>
      <c s="8" t="s">
        <v>50</v>
      </c>
      <c s="8" t="s">
        <v>51</v>
      </c>
      <c s="13">
        <f t="shared" si="0" ref="D7:E7">0+SUM(D16:D18)+SUM(D20:D20)</f>
        <v>15</v>
      </c>
      <c s="11">
        <f t="shared" si="0"/>
        <v>15</v>
      </c>
    </row>
    <row s="14" customFormat="1">
      <c s="8" t="s">
        <v>52</v>
      </c>
      <c s="8" t="s">
        <v>53</v>
      </c>
      <c s="8" t="s">
        <v>54</v>
      </c>
      <c s="13"/>
      <c s="34">
        <v>25</v>
      </c>
    </row>
    <row s="14" customFormat="1">
      <c s="8" t="s">
        <v>55</v>
      </c>
      <c s="8" t="s">
        <v>56</v>
      </c>
      <c s="8" t="s">
        <v>57</v>
      </c>
      <c s="13"/>
      <c s="34">
        <v>1</v>
      </c>
    </row>
    <row s="14" customFormat="1">
      <c s="8" t="s">
        <v>58</v>
      </c>
      <c s="8" t="s">
        <v>59</v>
      </c>
      <c s="8" t="s">
        <v>60</v>
      </c>
      <c s="13">
        <f>SUM(E10:AZ10)</f>
        <v>0</v>
      </c>
      <c s="11"/>
    </row>
    <row s="14" customFormat="1">
      <c s="8" t="s">
        <v>61</v>
      </c>
      <c s="8" t="s">
        <v>62</v>
      </c>
      <c s="8" t="s">
        <v>63</v>
      </c>
      <c s="13">
        <f>SUM(E11:Z11)</f>
        <v>-65917.302727171482</v>
      </c>
      <c s="11">
        <f>0+1000*StreamHkg_TP($B16:$B18,E16:E18,E8,E9)+1000*StreamHkg_TP($B20:$B20,E20:E20,E8,E9)</f>
        <v>-65917.302727171482</v>
      </c>
    </row>
    <row s="14" customFormat="1">
      <c s="8" t="s">
        <v>64</v>
      </c>
      <c s="8" t="s">
        <v>65</v>
      </c>
      <c s="8" t="s">
        <v>66</v>
      </c>
      <c s="13">
        <f>SAFEDIV((E7*E12),D7)</f>
        <v>3.076733688565378</v>
      </c>
      <c s="11">
        <f>SAFEDIV((0*(0)+StreamCPkgSI($B16:$B18,E16:E18,E8)*(SUM(E16:E18))+StreamCPkgSI($B20:$B20,E20:E20,E8)*(SUM(E20:E20))),E7)</f>
        <v>3.076733688565378</v>
      </c>
    </row>
    <row s="14" customFormat="1">
      <c s="8" t="s">
        <v>67</v>
      </c>
      <c s="8" t="s">
        <v>68</v>
      </c>
      <c s="8" t="s">
        <v>63</v>
      </c>
      <c s="13">
        <f>SUM(E13:Z13)</f>
        <v>1200.6058526225247</v>
      </c>
      <c s="11">
        <f>0+SAFEDIV(TOTALEXERGY($B16,E8,E9)*E16,MW($B16))*1000+SAFEDIV(TOTALEXERGY($B17,E8,E9)*E17,MW($B17))*1000+SAFEDIV(TOTALEXERGY($B18,E8,E9)*E18,MW($B18))*1000+SAFEDIV(TOTALEXERGY($B20,E8,E9)*E20,MW($B20))*1000</f>
        <v>1200.6058526225247</v>
      </c>
    </row>
    <row s="14" customFormat="1">
      <c s="8" t="s">
        <v>69</v>
      </c>
      <c s="8" t="s">
        <v>70</v>
      </c>
      <c s="8" t="s">
        <v>71</v>
      </c>
      <c s="13">
        <f t="shared" si="1" ref="D14:E14">SUM(0)</f>
        <v>0</v>
      </c>
      <c s="11">
        <f t="shared" si="1"/>
        <v>0</v>
      </c>
    </row>
    <row s="14" customFormat="1">
      <c s="8" t="s">
        <v>72</v>
      </c>
      <c s="8" t="s">
        <v>73</v>
      </c>
      <c s="8" t="s">
        <v>51</v>
      </c>
      <c s="13">
        <f t="shared" si="2" ref="D15:E15">SUM(D16:D18)</f>
        <v>10</v>
      </c>
      <c s="11">
        <f t="shared" si="2"/>
        <v>10</v>
      </c>
    </row>
    <row>
      <c r="B16" s="25" t="s">
        <v>74</v>
      </c>
      <c s="25" t="s">
        <v>51</v>
      </c>
      <c s="29">
        <f t="shared" si="3" ref="D16:D18">SUM(E16:AZ16)</f>
        <v>10</v>
      </c>
      <c s="27">
        <v>10</v>
      </c>
    </row>
    <row>
      <c r="B17" s="25" t="s">
        <v>75</v>
      </c>
      <c s="25" t="s">
        <v>51</v>
      </c>
      <c s="29">
        <f t="shared" si="3"/>
        <v>0</v>
      </c>
      <c s="27"/>
    </row>
    <row>
      <c r="B18" s="25" t="s">
        <v>76</v>
      </c>
      <c s="25" t="s">
        <v>51</v>
      </c>
      <c s="29">
        <f t="shared" si="3"/>
        <v>0</v>
      </c>
      <c s="27"/>
    </row>
    <row s="14" customFormat="1">
      <c s="8" t="s">
        <v>77</v>
      </c>
      <c s="8" t="s">
        <v>78</v>
      </c>
      <c s="8" t="s">
        <v>51</v>
      </c>
      <c s="13">
        <f t="shared" si="4" ref="D19:E19">SUM(D20:D20)</f>
        <v>5</v>
      </c>
      <c s="11">
        <f t="shared" si="4"/>
        <v>5</v>
      </c>
    </row>
    <row>
      <c r="B20" s="25" t="s">
        <v>79</v>
      </c>
      <c s="25" t="s">
        <v>51</v>
      </c>
      <c s="29">
        <f>SUM(E20:AZ20)</f>
        <v>5</v>
      </c>
      <c s="27">
        <v>5</v>
      </c>
    </row>
    <row s="14" customFormat="1">
      <c s="8" t="s">
        <v>80</v>
      </c>
      <c s="8" t="s">
        <v>81</v>
      </c>
      <c s="8" t="s">
        <v>51</v>
      </c>
      <c s="13">
        <f t="shared" si="5" ref="D21:E21">0</f>
        <v>0</v>
      </c>
      <c s="11">
        <f t="shared" si="5"/>
        <v>0</v>
      </c>
    </row>
    <row s="14" customFormat="1">
      <c s="8" t="s">
        <v>82</v>
      </c>
      <c s="8" t="s">
        <v>83</v>
      </c>
      <c s="8" t="s">
        <v>51</v>
      </c>
      <c s="13">
        <f t="shared" si="6" ref="D22:E22">SUM(D16:D18)</f>
        <v>10</v>
      </c>
      <c s="11">
        <f t="shared" si="6"/>
        <v>10</v>
      </c>
    </row>
    <row s="14" customFormat="1">
      <c s="8" t="s">
        <v>84</v>
      </c>
      <c s="8" t="s">
        <v>85</v>
      </c>
      <c s="8" t="s">
        <v>51</v>
      </c>
      <c s="13">
        <f t="shared" si="7" ref="D23:E23">SUM(D20:D20)</f>
        <v>5</v>
      </c>
      <c s="11">
        <f t="shared" si="7"/>
        <v>5</v>
      </c>
    </row>
    <row s="14" customFormat="1">
      <c s="8" t="s">
        <v>86</v>
      </c>
      <c s="8" t="s">
        <v>87</v>
      </c>
      <c s="8" t="s">
        <v>63</v>
      </c>
      <c s="13">
        <f t="shared" si="8" ref="D24:D26">SUM(E24:Z24)</f>
        <v>0</v>
      </c>
      <c s="11">
        <f>0</f>
        <v>0</v>
      </c>
    </row>
    <row s="14" customFormat="1">
      <c s="8" t="s">
        <v>88</v>
      </c>
      <c s="8" t="s">
        <v>89</v>
      </c>
      <c s="8" t="s">
        <v>63</v>
      </c>
      <c s="13">
        <f t="shared" si="8"/>
        <v>-44072.155821798682</v>
      </c>
      <c s="11">
        <f>1000*StreamHkg_TP($B16:$B18,E16:E18,E8,E9)</f>
        <v>-44072.155821798682</v>
      </c>
    </row>
    <row s="14" customFormat="1">
      <c s="8" t="s">
        <v>90</v>
      </c>
      <c s="8" t="s">
        <v>91</v>
      </c>
      <c s="8" t="s">
        <v>63</v>
      </c>
      <c s="13">
        <f t="shared" si="8"/>
        <v>-21845.146905372803</v>
      </c>
      <c s="11">
        <f>1000*StreamHkg_TP($B20:$B20,E20:E20,E8,E9)</f>
        <v>-21845.146905372803</v>
      </c>
    </row>
    <row s="14" customFormat="1">
      <c s="8" t="s">
        <v>92</v>
      </c>
      <c s="8" t="s">
        <v>93</v>
      </c>
      <c s="8" t="s">
        <v>60</v>
      </c>
      <c s="13">
        <f t="shared" si="9" ref="D27:D29">SUM(E27:AZ27)</f>
        <v>0</v>
      </c>
      <c s="11">
        <f>IF(ISERROR(SAFEDIV(1000*(0),(0))),0,SAFEDIV(1000*(0),(0)))</f>
        <v>0</v>
      </c>
    </row>
    <row s="14" customFormat="1">
      <c s="8" t="s">
        <v>94</v>
      </c>
      <c s="8" t="s">
        <v>95</v>
      </c>
      <c s="8" t="s">
        <v>60</v>
      </c>
      <c s="13">
        <f t="shared" si="9"/>
        <v>0</v>
      </c>
      <c s="11"/>
    </row>
    <row s="14" customFormat="1">
      <c s="8" t="s">
        <v>96</v>
      </c>
      <c s="8" t="s">
        <v>97</v>
      </c>
      <c s="8" t="s">
        <v>60</v>
      </c>
      <c s="13">
        <f t="shared" si="9"/>
        <v>1.5723270440251571</v>
      </c>
      <c s="11">
        <f>IF(ISERROR(SAFEDIV(1000*(SUM(E20:E20)),(DensityKg($B20:$B20,E20:E20)))),0,SAFEDIV(1000*(SUM(E20:E20)),(DensityKg($B20:$B20,E20:E20))))</f>
        <v>1.5723270440251571</v>
      </c>
    </row>
    <row s="14" customFormat="1">
      <c s="8" t="s">
        <v>98</v>
      </c>
      <c s="8" t="s">
        <v>99</v>
      </c>
      <c s="8" t="s">
        <v>100</v>
      </c>
      <c s="13"/>
      <c s="11">
        <f>0</f>
        <v>0</v>
      </c>
    </row>
    <row s="14" customFormat="1">
      <c s="8" t="s">
        <v>101</v>
      </c>
      <c s="8" t="s">
        <v>102</v>
      </c>
      <c s="8" t="s">
        <v>100</v>
      </c>
      <c s="13"/>
      <c s="11"/>
    </row>
    <row s="14" customFormat="1">
      <c s="8" t="s">
        <v>103</v>
      </c>
      <c s="8" t="s">
        <v>104</v>
      </c>
      <c s="8" t="s">
        <v>100</v>
      </c>
      <c s="13"/>
      <c s="11">
        <f>DensityKg($B20:$B20,E20:E20)</f>
        <v>3180.0000000000005</v>
      </c>
    </row>
    <row s="14" customFormat="1">
      <c s="8" t="s">
        <v>105</v>
      </c>
      <c s="8" t="s">
        <v>106</v>
      </c>
      <c s="8" t="s">
        <v>66</v>
      </c>
      <c s="13">
        <f>SAFEDIV(((0)*E33),(0))</f>
        <v>0</v>
      </c>
      <c s="11">
        <f>0</f>
        <v>0</v>
      </c>
    </row>
    <row s="14" customFormat="1">
      <c s="8" t="s">
        <v>107</v>
      </c>
      <c s="8" t="s">
        <v>108</v>
      </c>
      <c s="8" t="s">
        <v>66</v>
      </c>
      <c s="13">
        <f>SAFEDIV(((SUM(E16:E18))*E34),(SUM(D16:D18)))</f>
        <v>4.175855099251006</v>
      </c>
      <c s="11">
        <f>StreamCPkgSI($B16:$B18,E16:E18,E8)</f>
        <v>4.175855099251006</v>
      </c>
    </row>
    <row s="14" customFormat="1">
      <c s="8" t="s">
        <v>109</v>
      </c>
      <c s="8" t="s">
        <v>110</v>
      </c>
      <c s="8" t="s">
        <v>66</v>
      </c>
      <c s="13">
        <f>SAFEDIV(((SUM(E20:E20))*E35),(SUM(D20:D20)))</f>
        <v>0.87849086719412239</v>
      </c>
      <c s="11">
        <f>StreamCPkgSI($B20:$B20,E20:E20,E8)</f>
        <v>0.87849086719412239</v>
      </c>
    </row>
    <row s="14" customFormat="1">
      <c s="8" t="s">
        <v>111</v>
      </c>
      <c s="8" t="s">
        <v>112</v>
      </c>
      <c s="8" t="s">
        <v>63</v>
      </c>
      <c s="13">
        <f t="shared" si="10" ref="D36:D38">SUM(E36:Z36)</f>
        <v>0</v>
      </c>
      <c s="11">
        <f>0</f>
        <v>0</v>
      </c>
    </row>
    <row s="14" customFormat="1">
      <c s="8" t="s">
        <v>113</v>
      </c>
      <c s="8" t="s">
        <v>114</v>
      </c>
      <c s="8" t="s">
        <v>63</v>
      </c>
      <c s="13">
        <f t="shared" si="10"/>
        <v>144.77027045005141</v>
      </c>
      <c s="11">
        <f>SAFEDIV(TOTALEXERGY($B16,E8,E9)*E16,MW($B16))*1000+SAFEDIV(TOTALEXERGY($B17,E8,E9)*E17,MW($B17))*1000+SAFEDIV(TOTALEXERGY($B18,E8,E9)*E18,MW($B18))*1000</f>
        <v>144.77027045005141</v>
      </c>
    </row>
    <row s="14" customFormat="1">
      <c s="8" t="s">
        <v>115</v>
      </c>
      <c s="8" t="s">
        <v>116</v>
      </c>
      <c s="8" t="s">
        <v>63</v>
      </c>
      <c s="13">
        <f t="shared" si="10"/>
        <v>1055.8355821724733</v>
      </c>
      <c s="11">
        <f>SAFEDIV(TOTALEXERGY($B20,E8,E9)*E20,MW($B20))*1000</f>
        <v>1055.8355821724733</v>
      </c>
    </row>
  </sheetData>
  <sheetProtection sheet="1" objects="1" scenarios="1"/>
  <conditionalFormatting sqref="E16:E18 E20">
    <cfRule type="cellIs" dxfId="0" priority="4" stopIfTrue="1" operator="less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8"/>
  <sheetViews>
    <sheetView workbookViewId="0">
      <pane xSplit="0" ySplit="6" topLeftCell="A7" activePane="bottomLeft" state="frozenSplit"/>
    </sheetView>
  </sheetViews>
  <sheetFormatPr defaultRowHeight="14.95"/>
  <cols>
    <col min="1" max="1" width="4.94921875" style="25" bestFit="1" customWidth="1"/>
    <col min="2" max="2" width="21.17578125" style="25" bestFit="1" customWidth="1"/>
    <col min="3" max="3" width="6.796875" style="25" bestFit="1" customWidth="1"/>
    <col min="4" max="4" width="5.16796875" style="29" bestFit="1" customWidth="1"/>
    <col min="5" max="5" width="8.32421875" style="22" bestFit="1" customWidth="1"/>
    <col min="6" max="16384" width="8.8984375" style="21"/>
  </cols>
  <sheetData>
    <row s="26" customFormat="1">
      <c s="9"/>
      <c s="9"/>
      <c s="9"/>
      <c s="9"/>
      <c s="9"/>
    </row>
    <row s="26" customFormat="1">
      <c s="9"/>
      <c s="9"/>
      <c s="9"/>
      <c s="9"/>
      <c s="9"/>
    </row>
    <row s="26" customFormat="1">
      <c s="9"/>
      <c s="9"/>
      <c s="9"/>
      <c s="9"/>
      <c s="9"/>
    </row>
    <row s="24" customFormat="1"/>
    <row s="19" customFormat="1">
      <c s="18" t="s">
        <v>39</v>
      </c>
      <c s="12" t="s">
        <v>40</v>
      </c>
      <c s="12" t="s">
        <v>36</v>
      </c>
      <c s="23" t="s">
        <v>37</v>
      </c>
      <c s="12"/>
    </row>
    <row s="20" customFormat="1">
      <c s="10"/>
      <c s="10" t="s">
        <v>35</v>
      </c>
      <c s="10"/>
      <c s="28" t="s">
        <v>38</v>
      </c>
      <c s="10" t="s">
        <v>49</v>
      </c>
    </row>
    <row s="14" customFormat="1">
      <c s="8" t="s">
        <v>43</v>
      </c>
      <c s="8" t="s">
        <v>50</v>
      </c>
      <c s="8" t="s">
        <v>51</v>
      </c>
      <c s="13">
        <f t="shared" si="0" ref="D7:E7">0+SUM(D16:D18)+SUM(D20:D20)</f>
        <v>0</v>
      </c>
      <c s="11">
        <f t="shared" si="0"/>
        <v>0</v>
      </c>
    </row>
    <row s="14" customFormat="1">
      <c s="8" t="s">
        <v>52</v>
      </c>
      <c s="8" t="s">
        <v>53</v>
      </c>
      <c s="8" t="s">
        <v>54</v>
      </c>
      <c s="13"/>
      <c s="34">
        <v>25</v>
      </c>
    </row>
    <row s="14" customFormat="1">
      <c s="8" t="s">
        <v>55</v>
      </c>
      <c s="8" t="s">
        <v>56</v>
      </c>
      <c s="8" t="s">
        <v>57</v>
      </c>
      <c s="13"/>
      <c s="34">
        <v>1</v>
      </c>
    </row>
    <row s="14" customFormat="1">
      <c s="8" t="s">
        <v>58</v>
      </c>
      <c s="8" t="s">
        <v>59</v>
      </c>
      <c s="8" t="s">
        <v>60</v>
      </c>
      <c s="13">
        <f>SUM(E10:AZ10)</f>
        <v>0</v>
      </c>
      <c s="11"/>
    </row>
    <row s="14" customFormat="1">
      <c s="8" t="s">
        <v>61</v>
      </c>
      <c s="8" t="s">
        <v>62</v>
      </c>
      <c s="8" t="s">
        <v>63</v>
      </c>
      <c s="13">
        <f>SUM(E11:Z11)</f>
        <v>0</v>
      </c>
      <c s="11">
        <f>0+1000*StreamHkg_TP($B16:$B18,E16:E18,E8,E9)+1000*StreamHkg_TP($B20:$B20,E20:E20,E8,E9)</f>
        <v>0</v>
      </c>
    </row>
    <row s="14" customFormat="1">
      <c s="8" t="s">
        <v>64</v>
      </c>
      <c s="8" t="s">
        <v>65</v>
      </c>
      <c s="8" t="s">
        <v>66</v>
      </c>
      <c s="13">
        <f>SAFEDIV((E7*E12),D7)</f>
        <v>0</v>
      </c>
      <c s="11">
        <f>SAFEDIV((0*(0)+StreamCPkgSI($B16:$B18,E16:E18,E8)*(SUM(E16:E18))+StreamCPkgSI($B20:$B20,E20:E20,E8)*(SUM(E20:E20))),E7)</f>
        <v>0</v>
      </c>
    </row>
    <row s="14" customFormat="1">
      <c s="8" t="s">
        <v>67</v>
      </c>
      <c s="8" t="s">
        <v>68</v>
      </c>
      <c s="8" t="s">
        <v>63</v>
      </c>
      <c s="13">
        <f>SUM(E13:Z13)</f>
        <v>0</v>
      </c>
      <c s="11">
        <f>0+SAFEDIV(TOTALEXERGY($B16,E8,E9)*E16,MW($B16))*1000+SAFEDIV(TOTALEXERGY($B17,E8,E9)*E17,MW($B17))*1000+SAFEDIV(TOTALEXERGY($B18,E8,E9)*E18,MW($B18))*1000+SAFEDIV(TOTALEXERGY($B20,E8,E9)*E20,MW($B20))*1000</f>
        <v>0</v>
      </c>
    </row>
    <row s="14" customFormat="1">
      <c s="8" t="s">
        <v>69</v>
      </c>
      <c s="8" t="s">
        <v>70</v>
      </c>
      <c s="8" t="s">
        <v>71</v>
      </c>
      <c s="13">
        <f t="shared" si="1" ref="D14:E14">SUM(0)</f>
        <v>0</v>
      </c>
      <c s="11">
        <f t="shared" si="1"/>
        <v>0</v>
      </c>
    </row>
    <row s="14" customFormat="1">
      <c s="8" t="s">
        <v>72</v>
      </c>
      <c s="8" t="s">
        <v>73</v>
      </c>
      <c s="8" t="s">
        <v>51</v>
      </c>
      <c s="13">
        <f t="shared" si="2" ref="D15:E15">SUM(D16:D18)</f>
        <v>0</v>
      </c>
      <c s="11">
        <f t="shared" si="2"/>
        <v>0</v>
      </c>
    </row>
    <row>
      <c r="B16" s="25" t="s">
        <v>74</v>
      </c>
      <c s="25" t="s">
        <v>51</v>
      </c>
      <c s="29">
        <f t="shared" si="3" ref="D16:D18">SUM(E16:AZ16)</f>
        <v>0</v>
      </c>
      <c s="22">
        <f>0.01*Dist!E16*Model!E16</f>
        <v>0</v>
      </c>
    </row>
    <row>
      <c r="B17" s="25" t="s">
        <v>75</v>
      </c>
      <c s="25" t="s">
        <v>51</v>
      </c>
      <c s="29">
        <f t="shared" si="3"/>
        <v>0</v>
      </c>
      <c s="22">
        <f>0.01*Dist!E17*Model!E17</f>
        <v>0</v>
      </c>
    </row>
    <row>
      <c r="B18" s="25" t="s">
        <v>76</v>
      </c>
      <c s="25" t="s">
        <v>51</v>
      </c>
      <c s="29">
        <f t="shared" si="3"/>
        <v>0</v>
      </c>
      <c s="22">
        <f>0.01*Dist!E18*Model!E18</f>
        <v>0</v>
      </c>
    </row>
    <row s="14" customFormat="1">
      <c s="8" t="s">
        <v>77</v>
      </c>
      <c s="8" t="s">
        <v>78</v>
      </c>
      <c s="8" t="s">
        <v>51</v>
      </c>
      <c s="13">
        <f t="shared" si="4" ref="D19:E19">SUM(D20:D20)</f>
        <v>0</v>
      </c>
      <c s="11">
        <f t="shared" si="4"/>
        <v>0</v>
      </c>
    </row>
    <row>
      <c r="B20" s="25" t="s">
        <v>79</v>
      </c>
      <c s="25" t="s">
        <v>51</v>
      </c>
      <c s="29">
        <f>SUM(E20:AZ20)</f>
        <v>0</v>
      </c>
      <c s="22">
        <f>0.01*Dist!E20*Model!E20</f>
        <v>0</v>
      </c>
    </row>
    <row s="14" customFormat="1">
      <c s="8" t="s">
        <v>80</v>
      </c>
      <c s="8" t="s">
        <v>81</v>
      </c>
      <c s="8" t="s">
        <v>51</v>
      </c>
      <c s="13">
        <f t="shared" si="5" ref="D21:E21">0</f>
        <v>0</v>
      </c>
      <c s="11">
        <f t="shared" si="5"/>
        <v>0</v>
      </c>
    </row>
    <row s="14" customFormat="1">
      <c s="8" t="s">
        <v>82</v>
      </c>
      <c s="8" t="s">
        <v>83</v>
      </c>
      <c s="8" t="s">
        <v>51</v>
      </c>
      <c s="13">
        <f t="shared" si="6" ref="D22:E22">SUM(D16:D18)</f>
        <v>0</v>
      </c>
      <c s="11">
        <f t="shared" si="6"/>
        <v>0</v>
      </c>
    </row>
    <row s="14" customFormat="1">
      <c s="8" t="s">
        <v>84</v>
      </c>
      <c s="8" t="s">
        <v>85</v>
      </c>
      <c s="8" t="s">
        <v>51</v>
      </c>
      <c s="13">
        <f t="shared" si="7" ref="D23:E23">SUM(D20:D20)</f>
        <v>0</v>
      </c>
      <c s="11">
        <f t="shared" si="7"/>
        <v>0</v>
      </c>
    </row>
    <row s="14" customFormat="1">
      <c s="8" t="s">
        <v>86</v>
      </c>
      <c s="8" t="s">
        <v>87</v>
      </c>
      <c s="8" t="s">
        <v>63</v>
      </c>
      <c s="13">
        <f t="shared" si="8" ref="D24:D26">SUM(E24:Z24)</f>
        <v>0</v>
      </c>
      <c s="11">
        <f>0</f>
        <v>0</v>
      </c>
    </row>
    <row s="14" customFormat="1">
      <c s="8" t="s">
        <v>88</v>
      </c>
      <c s="8" t="s">
        <v>89</v>
      </c>
      <c s="8" t="s">
        <v>63</v>
      </c>
      <c s="13">
        <f t="shared" si="8"/>
        <v>0</v>
      </c>
      <c s="11">
        <f>1000*StreamHkg_TP($B16:$B18,E16:E18,E8,E9)</f>
        <v>0</v>
      </c>
    </row>
    <row s="14" customFormat="1">
      <c s="8" t="s">
        <v>90</v>
      </c>
      <c s="8" t="s">
        <v>91</v>
      </c>
      <c s="8" t="s">
        <v>63</v>
      </c>
      <c s="13">
        <f t="shared" si="8"/>
        <v>0</v>
      </c>
      <c s="11">
        <f>1000*StreamHkg_TP($B20:$B20,E20:E20,E8,E9)</f>
        <v>0</v>
      </c>
    </row>
    <row s="14" customFormat="1">
      <c s="8" t="s">
        <v>92</v>
      </c>
      <c s="8" t="s">
        <v>93</v>
      </c>
      <c s="8" t="s">
        <v>60</v>
      </c>
      <c s="13">
        <f t="shared" si="9" ref="D27:D29">SUM(E27:AZ27)</f>
        <v>0</v>
      </c>
      <c s="11">
        <f>IF(ISERROR(SAFEDIV(1000*(0),(0))),0,SAFEDIV(1000*(0),(0)))</f>
        <v>0</v>
      </c>
    </row>
    <row s="14" customFormat="1">
      <c s="8" t="s">
        <v>94</v>
      </c>
      <c s="8" t="s">
        <v>95</v>
      </c>
      <c s="8" t="s">
        <v>60</v>
      </c>
      <c s="13">
        <f t="shared" si="9"/>
        <v>0</v>
      </c>
      <c s="11"/>
    </row>
    <row s="14" customFormat="1">
      <c s="8" t="s">
        <v>96</v>
      </c>
      <c s="8" t="s">
        <v>97</v>
      </c>
      <c s="8" t="s">
        <v>60</v>
      </c>
      <c s="13">
        <f t="shared" si="9"/>
        <v>0</v>
      </c>
      <c s="11">
        <f>IF(ISERROR(SAFEDIV(1000*(SUM(E20:E20)),(DensityKg($B20:$B20,E20:E20)))),0,SAFEDIV(1000*(SUM(E20:E20)),(DensityKg($B20:$B20,E20:E20))))</f>
        <v>0</v>
      </c>
    </row>
    <row s="14" customFormat="1">
      <c s="8" t="s">
        <v>98</v>
      </c>
      <c s="8" t="s">
        <v>99</v>
      </c>
      <c s="8" t="s">
        <v>100</v>
      </c>
      <c s="13"/>
      <c s="11">
        <f>0</f>
        <v>0</v>
      </c>
    </row>
    <row s="14" customFormat="1">
      <c s="8" t="s">
        <v>101</v>
      </c>
      <c s="8" t="s">
        <v>102</v>
      </c>
      <c s="8" t="s">
        <v>100</v>
      </c>
      <c s="13"/>
      <c s="11"/>
    </row>
    <row s="14" customFormat="1">
      <c s="8" t="s">
        <v>103</v>
      </c>
      <c s="8" t="s">
        <v>104</v>
      </c>
      <c s="8" t="s">
        <v>100</v>
      </c>
      <c s="13"/>
      <c s="11">
        <f>DensityKg($B20:$B20,E20:E20)</f>
        <v>0</v>
      </c>
    </row>
    <row s="14" customFormat="1">
      <c s="8" t="s">
        <v>105</v>
      </c>
      <c s="8" t="s">
        <v>106</v>
      </c>
      <c s="8" t="s">
        <v>66</v>
      </c>
      <c s="13">
        <f>SAFEDIV(((0)*E33),(0))</f>
        <v>0</v>
      </c>
      <c s="11">
        <f>0</f>
        <v>0</v>
      </c>
    </row>
    <row s="14" customFormat="1">
      <c s="8" t="s">
        <v>107</v>
      </c>
      <c s="8" t="s">
        <v>108</v>
      </c>
      <c s="8" t="s">
        <v>66</v>
      </c>
      <c s="13">
        <f>SAFEDIV(((SUM(E16:E18))*E34),(SUM(D16:D18)))</f>
        <v>0</v>
      </c>
      <c s="11">
        <f>StreamCPkgSI($B16:$B18,E16:E18,E8)</f>
        <v>0</v>
      </c>
    </row>
    <row s="14" customFormat="1">
      <c s="8" t="s">
        <v>109</v>
      </c>
      <c s="8" t="s">
        <v>110</v>
      </c>
      <c s="8" t="s">
        <v>66</v>
      </c>
      <c s="13">
        <f>SAFEDIV(((SUM(E20:E20))*E35),(SUM(D20:D20)))</f>
        <v>0</v>
      </c>
      <c s="11">
        <f>StreamCPkgSI($B20:$B20,E20:E20,E8)</f>
        <v>0</v>
      </c>
    </row>
    <row s="14" customFormat="1">
      <c s="8" t="s">
        <v>111</v>
      </c>
      <c s="8" t="s">
        <v>112</v>
      </c>
      <c s="8" t="s">
        <v>63</v>
      </c>
      <c s="13">
        <f t="shared" si="10" ref="D36:D38">SUM(E36:Z36)</f>
        <v>0</v>
      </c>
      <c s="11">
        <f>0</f>
        <v>0</v>
      </c>
    </row>
    <row s="14" customFormat="1">
      <c s="8" t="s">
        <v>113</v>
      </c>
      <c s="8" t="s">
        <v>114</v>
      </c>
      <c s="8" t="s">
        <v>63</v>
      </c>
      <c s="13">
        <f t="shared" si="10"/>
        <v>0</v>
      </c>
      <c s="11">
        <f>SAFEDIV(TOTALEXERGY($B16,E8,E9)*E16,MW($B16))*1000+SAFEDIV(TOTALEXERGY($B17,E8,E9)*E17,MW($B17))*1000+SAFEDIV(TOTALEXERGY($B18,E8,E9)*E18,MW($B18))*1000</f>
        <v>0</v>
      </c>
    </row>
    <row s="14" customFormat="1">
      <c s="8" t="s">
        <v>115</v>
      </c>
      <c s="8" t="s">
        <v>116</v>
      </c>
      <c s="8" t="s">
        <v>63</v>
      </c>
      <c s="13">
        <f t="shared" si="10"/>
        <v>0</v>
      </c>
      <c s="11">
        <f>SAFEDIV(TOTALEXERGY($B20,E8,E9)*E20,MW($B20))*1000</f>
        <v>0</v>
      </c>
    </row>
  </sheetData>
  <sheetProtection sheet="1" objects="1" scenarios="1"/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E38"/>
  <sheetViews>
    <sheetView workbookViewId="0">
      <pane xSplit="0" ySplit="6" topLeftCell="A14" activePane="bottomLeft" state="frozenSplit"/>
    </sheetView>
  </sheetViews>
  <sheetFormatPr defaultRowHeight="14.95"/>
  <cols>
    <col min="1" max="1" width="4.94921875" style="25" bestFit="1" customWidth="1"/>
    <col min="2" max="2" width="11.4375" style="25" bestFit="1" customWidth="1"/>
    <col min="3" max="3" width="6.796875" style="25" hidden="1" bestFit="1" customWidth="1"/>
    <col min="4" max="4" width="7.05078125" style="29" bestFit="1" customWidth="1"/>
    <col min="5" max="5" width="8.32421875" style="22" bestFit="1" customWidth="1"/>
    <col min="6" max="16384" width="8.8984375" style="21"/>
  </cols>
  <sheetData>
    <row s="26" customFormat="1">
      <c s="9"/>
      <c s="9"/>
      <c s="9"/>
      <c s="9"/>
      <c s="9"/>
    </row>
    <row s="26" customFormat="1">
      <c s="9"/>
      <c s="9"/>
      <c s="9"/>
      <c s="9"/>
      <c s="9"/>
    </row>
    <row s="26" customFormat="1">
      <c s="9"/>
      <c s="9"/>
      <c s="9"/>
      <c s="9"/>
      <c s="9"/>
    </row>
    <row s="24" customFormat="1"/>
    <row s="19" customFormat="1">
      <c s="18" t="s">
        <v>39</v>
      </c>
      <c s="12" t="s">
        <v>41</v>
      </c>
      <c s="12" t="s">
        <v>36</v>
      </c>
      <c s="23" t="s">
        <v>42</v>
      </c>
      <c s="12"/>
    </row>
    <row s="20" customFormat="1">
      <c s="10"/>
      <c s="10" t="s">
        <v>35</v>
      </c>
      <c s="10"/>
      <c s="28" t="s">
        <v>38</v>
      </c>
      <c s="10" t="s">
        <v>49</v>
      </c>
    </row>
    <row ht="14.95" hidden="1" customHeight="1" s="14" customFormat="1">
      <c s="8" t="s">
        <v>43</v>
      </c>
      <c s="8" t="s">
        <v>50</v>
      </c>
      <c s="8" t="s">
        <v>51</v>
      </c>
      <c s="13"/>
      <c s="11"/>
    </row>
    <row ht="14.95" hidden="1" customHeight="1" s="14" customFormat="1">
      <c s="8" t="s">
        <v>52</v>
      </c>
      <c s="8" t="s">
        <v>53</v>
      </c>
      <c s="8" t="s">
        <v>54</v>
      </c>
      <c s="13"/>
      <c s="11"/>
    </row>
    <row ht="14.95" hidden="1" customHeight="1" s="14" customFormat="1">
      <c s="8" t="s">
        <v>55</v>
      </c>
      <c s="8" t="s">
        <v>56</v>
      </c>
      <c s="8" t="s">
        <v>57</v>
      </c>
      <c s="13"/>
      <c s="11"/>
    </row>
    <row ht="14.95" hidden="1" customHeight="1" s="14" customFormat="1">
      <c s="8" t="s">
        <v>58</v>
      </c>
      <c s="8" t="s">
        <v>59</v>
      </c>
      <c s="8" t="s">
        <v>60</v>
      </c>
      <c s="13"/>
      <c s="11"/>
    </row>
    <row ht="14.95" hidden="1" customHeight="1" s="14" customFormat="1">
      <c s="8" t="s">
        <v>61</v>
      </c>
      <c s="8" t="s">
        <v>62</v>
      </c>
      <c s="8" t="s">
        <v>63</v>
      </c>
      <c s="13"/>
      <c s="11"/>
    </row>
    <row ht="14.95" hidden="1" customHeight="1" s="14" customFormat="1">
      <c s="8" t="s">
        <v>64</v>
      </c>
      <c s="8" t="s">
        <v>65</v>
      </c>
      <c s="8" t="s">
        <v>66</v>
      </c>
      <c s="13"/>
      <c s="11"/>
    </row>
    <row ht="14.95" hidden="1" customHeight="1" s="14" customFormat="1">
      <c s="8" t="s">
        <v>67</v>
      </c>
      <c s="8" t="s">
        <v>68</v>
      </c>
      <c s="8" t="s">
        <v>63</v>
      </c>
      <c s="13"/>
      <c s="11"/>
    </row>
    <row s="14" customFormat="1">
      <c s="8" t="s">
        <v>69</v>
      </c>
      <c s="8" t="s">
        <v>70</v>
      </c>
      <c s="8" t="s">
        <v>71</v>
      </c>
      <c s="13">
        <f t="shared" si="0" ref="D14:D15">SUM(E14:Z14)</f>
        <v>0</v>
      </c>
      <c s="31"/>
    </row>
    <row s="14" customFormat="1">
      <c s="8" t="s">
        <v>72</v>
      </c>
      <c s="8" t="s">
        <v>73</v>
      </c>
      <c s="8" t="s">
        <v>51</v>
      </c>
      <c s="13">
        <f t="shared" si="0"/>
        <v>0</v>
      </c>
      <c s="31"/>
    </row>
    <row>
      <c r="B16" s="25" t="s">
        <v>74</v>
      </c>
      <c s="25" t="s">
        <v>51</v>
      </c>
      <c s="32">
        <f t="shared" si="1" ref="D16:D18">SUM(E16:AZ16)</f>
        <v>0</v>
      </c>
      <c s="27">
        <f>E15</f>
        <v>0</v>
      </c>
    </row>
    <row>
      <c r="B17" s="25" t="s">
        <v>75</v>
      </c>
      <c s="25" t="s">
        <v>51</v>
      </c>
      <c s="32">
        <f t="shared" si="1"/>
        <v>0</v>
      </c>
      <c s="27">
        <f>E15</f>
        <v>0</v>
      </c>
    </row>
    <row>
      <c r="B18" s="25" t="s">
        <v>76</v>
      </c>
      <c s="25" t="s">
        <v>51</v>
      </c>
      <c s="32">
        <f t="shared" si="1"/>
        <v>0</v>
      </c>
      <c s="27">
        <f>E15</f>
        <v>0</v>
      </c>
    </row>
    <row s="14" customFormat="1">
      <c s="8" t="s">
        <v>77</v>
      </c>
      <c s="8" t="s">
        <v>78</v>
      </c>
      <c s="8" t="s">
        <v>51</v>
      </c>
      <c s="13">
        <f>SUM(E19:Z19)</f>
        <v>0</v>
      </c>
      <c s="31"/>
    </row>
    <row>
      <c r="B20" s="25" t="s">
        <v>79</v>
      </c>
      <c s="25" t="s">
        <v>51</v>
      </c>
      <c s="32">
        <f>SUM(E20:AZ20)</f>
        <v>0</v>
      </c>
      <c s="27">
        <f>E19</f>
        <v>0</v>
      </c>
    </row>
    <row ht="14.95" hidden="1" customHeight="1" s="14" customFormat="1">
      <c s="8" t="s">
        <v>80</v>
      </c>
      <c s="8" t="s">
        <v>81</v>
      </c>
      <c s="8" t="s">
        <v>51</v>
      </c>
      <c s="13"/>
      <c s="11"/>
    </row>
    <row ht="14.95" hidden="1" customHeight="1" s="14" customFormat="1">
      <c s="8" t="s">
        <v>82</v>
      </c>
      <c s="8" t="s">
        <v>83</v>
      </c>
      <c s="8" t="s">
        <v>51</v>
      </c>
      <c s="13"/>
      <c s="11"/>
    </row>
    <row ht="14.95" hidden="1" customHeight="1" s="14" customFormat="1">
      <c s="8" t="s">
        <v>84</v>
      </c>
      <c s="8" t="s">
        <v>85</v>
      </c>
      <c s="8" t="s">
        <v>51</v>
      </c>
      <c s="13"/>
      <c s="11"/>
    </row>
    <row ht="14.95" hidden="1" customHeight="1" s="14" customFormat="1">
      <c s="8" t="s">
        <v>86</v>
      </c>
      <c s="8" t="s">
        <v>87</v>
      </c>
      <c s="8" t="s">
        <v>63</v>
      </c>
      <c s="13"/>
      <c s="11"/>
    </row>
    <row ht="14.95" hidden="1" customHeight="1" s="14" customFormat="1">
      <c s="8" t="s">
        <v>88</v>
      </c>
      <c s="8" t="s">
        <v>89</v>
      </c>
      <c s="8" t="s">
        <v>63</v>
      </c>
      <c s="13"/>
      <c s="11"/>
    </row>
    <row ht="14.95" hidden="1" customHeight="1" s="14" customFormat="1">
      <c s="8" t="s">
        <v>90</v>
      </c>
      <c s="8" t="s">
        <v>91</v>
      </c>
      <c s="8" t="s">
        <v>63</v>
      </c>
      <c s="13"/>
      <c s="11"/>
    </row>
    <row ht="14.95" hidden="1" customHeight="1" s="14" customFormat="1">
      <c s="8" t="s">
        <v>92</v>
      </c>
      <c s="8" t="s">
        <v>93</v>
      </c>
      <c s="8" t="s">
        <v>60</v>
      </c>
      <c s="13"/>
      <c s="11"/>
    </row>
    <row ht="14.95" hidden="1" customHeight="1" s="14" customFormat="1">
      <c s="8" t="s">
        <v>94</v>
      </c>
      <c s="8" t="s">
        <v>95</v>
      </c>
      <c s="8" t="s">
        <v>60</v>
      </c>
      <c s="13"/>
      <c s="11"/>
    </row>
    <row ht="14.95" hidden="1" customHeight="1" s="14" customFormat="1">
      <c s="8" t="s">
        <v>96</v>
      </c>
      <c s="8" t="s">
        <v>97</v>
      </c>
      <c s="8" t="s">
        <v>60</v>
      </c>
      <c s="13"/>
      <c s="11"/>
    </row>
    <row ht="14.95" hidden="1" customHeight="1" s="14" customFormat="1">
      <c s="8" t="s">
        <v>98</v>
      </c>
      <c s="8" t="s">
        <v>99</v>
      </c>
      <c s="8" t="s">
        <v>100</v>
      </c>
      <c s="13"/>
      <c s="11"/>
    </row>
    <row ht="14.95" hidden="1" customHeight="1" s="14" customFormat="1">
      <c s="8" t="s">
        <v>101</v>
      </c>
      <c s="8" t="s">
        <v>102</v>
      </c>
      <c s="8" t="s">
        <v>100</v>
      </c>
      <c s="13"/>
      <c s="11"/>
    </row>
    <row ht="14.95" hidden="1" customHeight="1" s="14" customFormat="1">
      <c s="8" t="s">
        <v>103</v>
      </c>
      <c s="8" t="s">
        <v>104</v>
      </c>
      <c s="8" t="s">
        <v>100</v>
      </c>
      <c s="13"/>
      <c s="11"/>
    </row>
    <row ht="14.95" hidden="1" customHeight="1" s="14" customFormat="1">
      <c s="8" t="s">
        <v>105</v>
      </c>
      <c s="8" t="s">
        <v>106</v>
      </c>
      <c s="8" t="s">
        <v>66</v>
      </c>
      <c s="13"/>
      <c s="11"/>
    </row>
    <row ht="14.95" hidden="1" customHeight="1" s="14" customFormat="1">
      <c s="8" t="s">
        <v>107</v>
      </c>
      <c s="8" t="s">
        <v>108</v>
      </c>
      <c s="8" t="s">
        <v>66</v>
      </c>
      <c s="13"/>
      <c s="11"/>
    </row>
    <row ht="14.95" hidden="1" customHeight="1" s="14" customFormat="1">
      <c s="8" t="s">
        <v>109</v>
      </c>
      <c s="8" t="s">
        <v>110</v>
      </c>
      <c s="8" t="s">
        <v>66</v>
      </c>
      <c s="13"/>
      <c s="11"/>
    </row>
    <row ht="14.95" hidden="1" customHeight="1" s="14" customFormat="1">
      <c s="8" t="s">
        <v>111</v>
      </c>
      <c s="8" t="s">
        <v>112</v>
      </c>
      <c s="8" t="s">
        <v>63</v>
      </c>
      <c s="13"/>
      <c s="11"/>
    </row>
    <row ht="14.95" hidden="1" customHeight="1" s="14" customFormat="1">
      <c s="8" t="s">
        <v>113</v>
      </c>
      <c s="8" t="s">
        <v>114</v>
      </c>
      <c s="8" t="s">
        <v>63</v>
      </c>
      <c s="13"/>
      <c s="11"/>
    </row>
    <row ht="14.95" hidden="1" customHeight="1" s="14" customFormat="1">
      <c s="8" t="s">
        <v>115</v>
      </c>
      <c s="8" t="s">
        <v>116</v>
      </c>
      <c s="8" t="s">
        <v>63</v>
      </c>
      <c s="13"/>
      <c s="11"/>
    </row>
  </sheetData>
  <sheetProtection sheet="1" objects="1" scenarios="1"/>
  <conditionalFormatting sqref="D16:D18 D20">
    <cfRule type="cellIs" dxfId="0" priority="7" stopIfTrue="1" operator="greaterThan">
      <formula>100.001</formula>
    </cfRule>
    <cfRule type="cellIs" dxfId="0" priority="8" stopIfTrue="1" operator="lessThan">
      <formula>99.999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500"/>
  <sheetViews>
    <sheetView topLeftCell="B2" workbookViewId="0"/>
  </sheetViews>
  <sheetFormatPr defaultRowHeight="12.75" zeroHeight="1"/>
  <cols>
    <col min="1" max="1" width="8.8984375" style="45" hidden="1" customWidth="1"/>
    <col min="2" max="2" width="21.47265625" style="45" bestFit="1" customWidth="1"/>
    <col min="3" max="3" width="13.0625" style="45" customWidth="1"/>
    <col min="4" max="16384" width="8.8984375" style="45"/>
  </cols>
  <sheetData>
    <row hidden="1">
      <c s="4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4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0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16"/>
      <c s="17" t="s">
        <v>0</v>
      </c>
      <c s="46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s="15" t="s">
        <v>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3" t="s">
        <v>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3"/>
      <c s="33" t="s">
        <v>3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s="15" t="s">
        <v>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6"/>
      <c s="17" t="s">
        <v>6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s="15" t="s">
        <v>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33" t="s">
        <v>8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s="15" t="s">
        <v>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10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6"/>
      <c s="17" t="s">
        <v>12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s="15" t="s">
        <v>13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14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16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6"/>
      <c s="17" t="s">
        <v>18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s="15" t="s">
        <v>19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20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21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 t="s">
        <v>22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6"/>
      <c s="17" t="s">
        <v>23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s="15" t="s">
        <v>24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25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26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27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31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28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29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30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32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 t="s">
        <v>33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s="1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500" hidden="1">
      <c r="B500" s="45" t="s">
        <v>17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B38"/>
  <sheetViews>
    <sheetView workbookViewId="0">
      <pane xSplit="0" ySplit="6" topLeftCell="A7" activePane="bottomLeft" state="frozenSplit"/>
      <selection pane="bottomLeft" activeCell="H8" sqref="H8"/>
    </sheetView>
  </sheetViews>
  <sheetFormatPr defaultRowHeight="14.95"/>
  <cols>
    <col min="1" max="1" width="4.94921875" style="25" bestFit="1" customWidth="1"/>
    <col min="2" max="2" width="24.13671875" style="25" bestFit="1" customWidth="1"/>
    <col min="3" max="3" width="6.796875" style="25" bestFit="1" customWidth="1"/>
    <col min="4" max="4" width="9.1171875" style="22" bestFit="1" customWidth="1"/>
    <col min="5" max="5" width="7.90234375" style="22" bestFit="1" customWidth="1"/>
    <col min="6" max="6" width="8.625" style="37" bestFit="1" customWidth="1"/>
    <col min="7" max="7" width="8.8984375" style="21"/>
    <col min="8" max="8" width="8.00390625" style="21" bestFit="1" customWidth="1"/>
    <col min="9" max="9" width="19.0625" style="21" bestFit="1" customWidth="1"/>
    <col min="10" max="108" width="8.8984375" style="21" hidden="1" customWidth="1"/>
    <col min="109" max="109" width="1.96875" style="21" bestFit="1" customWidth="1"/>
    <col min="110" max="110" width="9.96875" style="21" bestFit="1" customWidth="1"/>
    <col min="111" max="111" width="4.69921875" style="21" bestFit="1" customWidth="1"/>
    <col min="112" max="209" width="8.8984375" style="21" hidden="1" customWidth="1"/>
    <col min="210" max="210" width="26.4140625" style="21" customWidth="1"/>
    <col min="211" max="16384" width="8.8984375" style="21"/>
  </cols>
  <sheetData>
    <row s="26" customFormat="1">
      <c s="9"/>
      <c s="9"/>
      <c s="9"/>
      <c s="9"/>
      <c s="9"/>
      <c s="9"/>
    </row>
    <row s="26" customFormat="1">
      <c s="9"/>
      <c s="9"/>
      <c s="9"/>
      <c s="9"/>
      <c s="9"/>
      <c s="9"/>
    </row>
    <row s="26" customFormat="1">
      <c s="9"/>
      <c s="9" t="s">
        <v>121</v>
      </c>
      <c s="9"/>
      <c s="9"/>
      <c s="9"/>
      <c s="9"/>
      <c r="I3" s="26" t="s">
        <v>122</v>
      </c>
    </row>
    <row s="24" customFormat="1"/>
    <row s="19" customFormat="1">
      <c s="18" t="s">
        <v>39</v>
      </c>
      <c s="12" t="s">
        <v>44</v>
      </c>
      <c s="12" t="s">
        <v>36</v>
      </c>
      <c s="12" t="s">
        <v>34</v>
      </c>
      <c s="12" t="s">
        <v>40</v>
      </c>
      <c s="23" t="s">
        <v>46</v>
      </c>
      <c r="H5" s="19" t="s">
        <v>119</v>
      </c>
      <c s="19" t="s">
        <v>120</v>
      </c>
      <c r="DF5" s="19" t="s">
        <v>124</v>
      </c>
    </row>
    <row s="20" customFormat="1">
      <c s="10"/>
      <c s="10" t="s">
        <v>45</v>
      </c>
      <c s="10"/>
      <c s="10" t="s">
        <v>37</v>
      </c>
      <c s="10" t="s">
        <v>37</v>
      </c>
      <c s="28" t="s">
        <v>37</v>
      </c>
      <c r="H6" s="20" t="s">
        <v>123</v>
      </c>
    </row>
    <row>
      <c s="8" t="s">
        <v>43</v>
      </c>
      <c s="8" t="s">
        <v>50</v>
      </c>
      <c s="8" t="s">
        <v>51</v>
      </c>
      <c s="11">
        <f>Input!D7</f>
        <v>15</v>
      </c>
      <c s="11">
        <f>Output!D7</f>
        <v>0</v>
      </c>
      <c s="30">
        <f>Model!E7-Model!D7</f>
        <v>-15</v>
      </c>
      <c r="H7" s="43">
        <v>5</v>
      </c>
      <c s="7" t="s">
        <v>79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38" t="s">
        <v>118</v>
      </c>
      <c s="7" t="s">
        <v>75</v>
      </c>
      <c s="7" t="s">
        <v>76</v>
      </c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7"/>
      <c s="39"/>
      <c s="36"/>
    </row>
    <row>
      <c s="8" t="s">
        <v>52</v>
      </c>
      <c s="8" t="s">
        <v>53</v>
      </c>
      <c s="8" t="s">
        <v>54</v>
      </c>
      <c s="11">
        <f>Input!D8</f>
        <v>0</v>
      </c>
      <c s="11">
        <f>Output!D8</f>
        <v>0</v>
      </c>
      <c s="30"/>
      <c r="H8" s="47" t="s">
        <v>47</v>
      </c>
      <c s="5">
        <v>1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>
        <v>1</v>
      </c>
      <c s="5">
        <v>2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  <c s="41"/>
    </row>
    <row>
      <c s="8" t="s">
        <v>55</v>
      </c>
      <c s="8" t="s">
        <v>56</v>
      </c>
      <c s="8" t="s">
        <v>57</v>
      </c>
      <c s="11">
        <f>Input!D9</f>
        <v>0</v>
      </c>
      <c s="11">
        <f>Output!D9</f>
        <v>0</v>
      </c>
      <c s="30"/>
      <c r="H9" s="47" t="s">
        <v>117</v>
      </c>
      <c s="5">
        <f>(0.01*H7)*(D20/0.078074806326)</f>
        <v>3.2020572546299935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>
        <f>I9*SAFEDIV(DF8,I8)</f>
        <v>3.2020572546299935</v>
      </c>
      <c s="5">
        <f>I9*SAFEDIV(DG8,I8)</f>
        <v>6.4041145092599869</v>
      </c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5"/>
      <c s="35"/>
      <c s="41"/>
    </row>
    <row>
      <c s="8" t="s">
        <v>58</v>
      </c>
      <c s="8" t="s">
        <v>59</v>
      </c>
      <c s="8" t="s">
        <v>60</v>
      </c>
      <c s="11">
        <f>Input!D10</f>
        <v>0</v>
      </c>
      <c s="11">
        <f>Output!D10</f>
        <v>0</v>
      </c>
      <c s="30"/>
      <c r="H10" s="44" t="s">
        <v>51</v>
      </c>
      <c s="6">
        <f>0.078074806326*I9</f>
        <v>0.25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>
        <f>0.0400769026*DF9</f>
        <v>0.12832853671342964</v>
      </c>
      <c s="6">
        <f>0.018998951863*DG9</f>
        <v>0.12167146328657037</v>
      </c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6"/>
      <c s="42"/>
      <c s="41"/>
    </row>
    <row>
      <c s="8" t="s">
        <v>61</v>
      </c>
      <c s="8" t="s">
        <v>62</v>
      </c>
      <c s="8" t="s">
        <v>63</v>
      </c>
      <c s="11">
        <f>Input!D11</f>
        <v>-65917.302727171482</v>
      </c>
      <c s="11">
        <f>Output!D11</f>
        <v>0</v>
      </c>
      <c s="30">
        <f>Model!E11-Model!D11</f>
        <v>65917.302727171482</v>
      </c>
    </row>
    <row>
      <c s="8" t="s">
        <v>64</v>
      </c>
      <c s="8" t="s">
        <v>65</v>
      </c>
      <c s="8" t="s">
        <v>66</v>
      </c>
      <c s="11">
        <f>Input!D12</f>
        <v>3.076733688565378</v>
      </c>
      <c s="11">
        <f>Output!D12</f>
        <v>0</v>
      </c>
      <c s="30"/>
    </row>
    <row>
      <c s="8" t="s">
        <v>67</v>
      </c>
      <c s="8" t="s">
        <v>68</v>
      </c>
      <c s="8" t="s">
        <v>63</v>
      </c>
      <c s="11">
        <f>Input!D13</f>
        <v>1200.6058526225247</v>
      </c>
      <c s="11">
        <f>Output!D13</f>
        <v>0</v>
      </c>
      <c s="30">
        <f>Model!E13-Model!D13</f>
        <v>-1200.6058526225247</v>
      </c>
    </row>
    <row>
      <c s="8" t="s">
        <v>69</v>
      </c>
      <c s="8" t="s">
        <v>70</v>
      </c>
      <c s="8" t="s">
        <v>71</v>
      </c>
      <c s="11">
        <f>Input!D14</f>
        <v>0</v>
      </c>
      <c s="11">
        <f>Output!D14</f>
        <v>0</v>
      </c>
      <c s="30"/>
    </row>
    <row>
      <c s="8" t="s">
        <v>72</v>
      </c>
      <c s="8" t="s">
        <v>73</v>
      </c>
      <c s="8" t="s">
        <v>51</v>
      </c>
      <c s="11">
        <f>Input!D15</f>
        <v>10</v>
      </c>
      <c s="11">
        <f>Output!D15</f>
        <v>0</v>
      </c>
      <c s="30"/>
    </row>
    <row>
      <c r="B16" s="25" t="s">
        <v>74</v>
      </c>
      <c s="25" t="s">
        <v>51</v>
      </c>
      <c s="22">
        <f>Input!D16</f>
        <v>10</v>
      </c>
      <c s="22">
        <f t="shared" si="0" ref="E16:E18">D16+F16</f>
        <v>10</v>
      </c>
    </row>
    <row>
      <c r="B17" s="25" t="s">
        <v>75</v>
      </c>
      <c s="25" t="s">
        <v>51</v>
      </c>
      <c s="22">
        <f>Input!D17</f>
        <v>0</v>
      </c>
      <c s="22">
        <f t="shared" si="0"/>
        <v>0.12832853671342964</v>
      </c>
      <c s="37">
        <f>+DF10</f>
        <v>0.12832853671342964</v>
      </c>
    </row>
    <row>
      <c r="B18" s="25" t="s">
        <v>76</v>
      </c>
      <c s="25" t="s">
        <v>51</v>
      </c>
      <c s="22">
        <f>Input!D18</f>
        <v>0</v>
      </c>
      <c s="22">
        <f t="shared" si="0"/>
        <v>0.12167146328657037</v>
      </c>
      <c s="37">
        <f>+DG10</f>
        <v>0.12167146328657037</v>
      </c>
    </row>
    <row>
      <c s="8" t="s">
        <v>77</v>
      </c>
      <c s="8" t="s">
        <v>78</v>
      </c>
      <c s="8" t="s">
        <v>51</v>
      </c>
      <c s="11">
        <f>Input!D19</f>
        <v>5</v>
      </c>
      <c s="11">
        <f>Output!D19</f>
        <v>0</v>
      </c>
      <c s="30"/>
    </row>
    <row>
      <c r="B20" s="25" t="s">
        <v>79</v>
      </c>
      <c s="25" t="s">
        <v>51</v>
      </c>
      <c s="22">
        <f>Input!D20</f>
        <v>5</v>
      </c>
      <c s="22">
        <f>D20+F20</f>
        <v>4.75</v>
      </c>
      <c s="37">
        <f>-I10</f>
        <v>-0.25</v>
      </c>
    </row>
    <row>
      <c s="8" t="s">
        <v>80</v>
      </c>
      <c s="8" t="s">
        <v>81</v>
      </c>
      <c s="8" t="s">
        <v>51</v>
      </c>
      <c s="11">
        <f>Input!D21</f>
        <v>0</v>
      </c>
      <c s="11">
        <f>Output!D21</f>
        <v>0</v>
      </c>
      <c s="30">
        <f>Model!E21-Model!D21</f>
        <v>0</v>
      </c>
    </row>
    <row>
      <c s="8" t="s">
        <v>82</v>
      </c>
      <c s="8" t="s">
        <v>83</v>
      </c>
      <c s="8" t="s">
        <v>51</v>
      </c>
      <c s="11">
        <f>Input!D22</f>
        <v>10</v>
      </c>
      <c s="11">
        <f>Output!D22</f>
        <v>0</v>
      </c>
      <c s="30">
        <f>Model!E22-Model!D22</f>
        <v>-10</v>
      </c>
    </row>
    <row>
      <c s="8" t="s">
        <v>84</v>
      </c>
      <c s="8" t="s">
        <v>85</v>
      </c>
      <c s="8" t="s">
        <v>51</v>
      </c>
      <c s="11">
        <f>Input!D23</f>
        <v>5</v>
      </c>
      <c s="11">
        <f>Output!D23</f>
        <v>0</v>
      </c>
      <c s="30">
        <f>Model!E23-Model!D23</f>
        <v>-5</v>
      </c>
    </row>
    <row>
      <c s="8" t="s">
        <v>86</v>
      </c>
      <c s="8" t="s">
        <v>87</v>
      </c>
      <c s="8" t="s">
        <v>63</v>
      </c>
      <c s="11">
        <f>Input!D24</f>
        <v>0</v>
      </c>
      <c s="11">
        <f>Output!D24</f>
        <v>0</v>
      </c>
      <c s="30">
        <f>Model!E24-Model!D24</f>
        <v>0</v>
      </c>
    </row>
    <row>
      <c s="8" t="s">
        <v>88</v>
      </c>
      <c s="8" t="s">
        <v>89</v>
      </c>
      <c s="8" t="s">
        <v>63</v>
      </c>
      <c s="11">
        <f>Input!D25</f>
        <v>-44072.155821798682</v>
      </c>
      <c s="11">
        <f>Output!D25</f>
        <v>0</v>
      </c>
      <c s="30">
        <f>Model!E25-Model!D25</f>
        <v>44072.155821798682</v>
      </c>
    </row>
    <row>
      <c s="8" t="s">
        <v>90</v>
      </c>
      <c s="8" t="s">
        <v>91</v>
      </c>
      <c s="8" t="s">
        <v>63</v>
      </c>
      <c s="11">
        <f>Input!D26</f>
        <v>-21845.146905372803</v>
      </c>
      <c s="11">
        <f>Output!D26</f>
        <v>0</v>
      </c>
      <c s="30">
        <f>Model!E26-Model!D26</f>
        <v>21845.146905372803</v>
      </c>
    </row>
    <row>
      <c s="8" t="s">
        <v>92</v>
      </c>
      <c s="8" t="s">
        <v>93</v>
      </c>
      <c s="8" t="s">
        <v>60</v>
      </c>
      <c s="11">
        <f>Input!D27</f>
        <v>0</v>
      </c>
      <c s="11">
        <f>Output!D27</f>
        <v>0</v>
      </c>
      <c s="30"/>
    </row>
    <row>
      <c s="8" t="s">
        <v>94</v>
      </c>
      <c s="8" t="s">
        <v>95</v>
      </c>
      <c s="8" t="s">
        <v>60</v>
      </c>
      <c s="11">
        <f>Input!D28</f>
        <v>0</v>
      </c>
      <c s="11">
        <f>Output!D28</f>
        <v>0</v>
      </c>
      <c s="30"/>
    </row>
    <row>
      <c s="8" t="s">
        <v>96</v>
      </c>
      <c s="8" t="s">
        <v>97</v>
      </c>
      <c s="8" t="s">
        <v>60</v>
      </c>
      <c s="11">
        <f>Input!D29</f>
        <v>1.5723270440251571</v>
      </c>
      <c s="11">
        <f>Output!D29</f>
        <v>0</v>
      </c>
      <c s="30"/>
    </row>
    <row>
      <c s="8" t="s">
        <v>98</v>
      </c>
      <c s="8" t="s">
        <v>99</v>
      </c>
      <c s="8" t="s">
        <v>100</v>
      </c>
      <c s="11">
        <f>Input!D30</f>
        <v>0</v>
      </c>
      <c s="11">
        <f>Output!D30</f>
        <v>0</v>
      </c>
      <c s="30"/>
    </row>
    <row>
      <c s="8" t="s">
        <v>101</v>
      </c>
      <c s="8" t="s">
        <v>102</v>
      </c>
      <c s="8" t="s">
        <v>100</v>
      </c>
      <c s="11">
        <f>Input!D31</f>
        <v>0</v>
      </c>
      <c s="11">
        <f>Output!D31</f>
        <v>0</v>
      </c>
      <c s="30"/>
    </row>
    <row>
      <c s="8" t="s">
        <v>103</v>
      </c>
      <c s="8" t="s">
        <v>104</v>
      </c>
      <c s="8" t="s">
        <v>100</v>
      </c>
      <c s="11">
        <f>Input!D32</f>
        <v>0</v>
      </c>
      <c s="11">
        <f>Output!D32</f>
        <v>0</v>
      </c>
      <c s="30"/>
    </row>
    <row>
      <c s="8" t="s">
        <v>105</v>
      </c>
      <c s="8" t="s">
        <v>106</v>
      </c>
      <c s="8" t="s">
        <v>66</v>
      </c>
      <c s="11">
        <f>Input!D33</f>
        <v>0</v>
      </c>
      <c s="11">
        <f>Output!D33</f>
        <v>0</v>
      </c>
      <c s="30"/>
    </row>
    <row>
      <c s="8" t="s">
        <v>107</v>
      </c>
      <c s="8" t="s">
        <v>108</v>
      </c>
      <c s="8" t="s">
        <v>66</v>
      </c>
      <c s="11">
        <f>Input!D34</f>
        <v>4.175855099251006</v>
      </c>
      <c s="11">
        <f>Output!D34</f>
        <v>0</v>
      </c>
      <c s="30"/>
    </row>
    <row>
      <c s="8" t="s">
        <v>109</v>
      </c>
      <c s="8" t="s">
        <v>110</v>
      </c>
      <c s="8" t="s">
        <v>66</v>
      </c>
      <c s="11">
        <f>Input!D35</f>
        <v>0.87849086719412239</v>
      </c>
      <c s="11">
        <f>Output!D35</f>
        <v>0</v>
      </c>
      <c s="30"/>
    </row>
    <row>
      <c s="8" t="s">
        <v>111</v>
      </c>
      <c s="8" t="s">
        <v>112</v>
      </c>
      <c s="8" t="s">
        <v>63</v>
      </c>
      <c s="11">
        <f>Input!D36</f>
        <v>0</v>
      </c>
      <c s="11">
        <f>Output!D36</f>
        <v>0</v>
      </c>
      <c s="30">
        <f>Model!E36-Model!D36</f>
        <v>0</v>
      </c>
    </row>
    <row>
      <c s="8" t="s">
        <v>113</v>
      </c>
      <c s="8" t="s">
        <v>114</v>
      </c>
      <c s="8" t="s">
        <v>63</v>
      </c>
      <c s="11">
        <f>Input!D37</f>
        <v>144.77027045005141</v>
      </c>
      <c s="11">
        <f>Output!D37</f>
        <v>0</v>
      </c>
      <c s="30">
        <f>Model!E37-Model!D37</f>
        <v>-144.77027045005141</v>
      </c>
    </row>
    <row>
      <c s="8" t="s">
        <v>115</v>
      </c>
      <c s="8" t="s">
        <v>116</v>
      </c>
      <c s="8" t="s">
        <v>63</v>
      </c>
      <c s="11">
        <f>Input!D38</f>
        <v>1055.8355821724733</v>
      </c>
      <c s="11">
        <f>Output!D38</f>
        <v>0</v>
      </c>
      <c s="30">
        <f>Model!E38-Model!D38</f>
        <v>-1055.8355821724733</v>
      </c>
    </row>
  </sheetData>
  <sheetProtection sheet="1" objects="1" scenarios="1"/>
  <conditionalFormatting sqref="H7">
    <cfRule type="cellIs" dxfId="0" priority="1" stopIfTrue="1" operator="greaterThan">
      <formula>100</formula>
    </cfRule>
    <cfRule type="cellIs" dxfId="0" priority="2" stopIfTrue="1" operator="lessThan">
      <formula>0</formula>
    </cfRule>
  </conditionalFormatting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dimension ref="B2:B3"/>
  <sheetViews>
    <sheetView workbookViewId="0">
      <selection activeCell="B3" sqref="B3"/>
    </sheetView>
  </sheetViews>
  <sheetFormatPr defaultRowHeight="14.95"/>
  <sheetData>
    <row r="2">
      <c r="B2" t="s">
        <v>125</v>
      </c>
    </row>
    <row>
      <c r="B3" t="s">
        <v>126</v>
      </c>
    </row>
  </sheetData>
  <pageMargins left="0.7" right="0.7" top="0.75" bottom="0.75" header="0.3" footer="0.3"/>
</worksheet>
</file>