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24226"/>
  <mc:AlternateContent xmlns:mc="http://schemas.openxmlformats.org/markup-compatibility/2006">
    <mc:Choice Requires="x15">
      <x15ac:absPath xmlns:x15ac="http://schemas.microsoft.com/office/spreadsheetml/2010/11/ac" url="https://d.docs.live.net/71eed44ff29c191a/Desktop/"/>
    </mc:Choice>
  </mc:AlternateContent>
  <xr:revisionPtr revIDLastSave="227" documentId="8_{49C8EA53-4260-4453-9709-0D176A8D47CE}" xr6:coauthVersionLast="45" xr6:coauthVersionMax="45" xr10:uidLastSave="{C8197F90-EF34-442C-8203-C39B0FEBC3CD}"/>
  <bookViews>
    <workbookView xWindow="-120" yWindow="-120" windowWidth="20730" windowHeight="11160" tabRatio="599" firstSheet="1" activeTab="1" xr2:uid="{00000000-000D-0000-FFFF-FFFF00000000}"/>
  </bookViews>
  <sheets>
    <sheet name="Investment Memo - Kellogg's" sheetId="50" r:id="rId1"/>
    <sheet name="Assumptions" sheetId="18" r:id="rId2"/>
    <sheet name="f" sheetId="37" state="hidden" r:id="rId3"/>
    <sheet name="Balance Sheet - As Reported" sheetId="1" r:id="rId4"/>
    <sheet name="Income Statement - As Reported" sheetId="2" r:id="rId5"/>
    <sheet name="Cash Flow Statement - As Repor." sheetId="29" r:id="rId6"/>
    <sheet name="Balance Sheet - Restated" sheetId="5" r:id="rId7"/>
    <sheet name="Income Statement - Restated" sheetId="6" r:id="rId8"/>
    <sheet name="--&gt; Forecasts" sheetId="55" r:id="rId9"/>
    <sheet name="Sheet3" sheetId="31" state="hidden" r:id="rId10"/>
    <sheet name="Foglio1" sheetId="32" state="hidden" r:id="rId11"/>
    <sheet name="Operating Forecasts2" sheetId="24" state="hidden" r:id="rId12"/>
    <sheet name="Operating Items Forecasts" sheetId="47" r:id="rId13"/>
    <sheet name="Investment Forecasts" sheetId="19" r:id="rId14"/>
    <sheet name="Financing Forecasts " sheetId="28" r:id="rId15"/>
    <sheet name="Foglio2" sheetId="25" state="hidden" r:id="rId16"/>
    <sheet name="Other Items Forecasts" sheetId="48" r:id="rId17"/>
    <sheet name="--&gt; Output" sheetId="49" r:id="rId18"/>
    <sheet name="Operating Forecasts" sheetId="35" r:id="rId19"/>
    <sheet name="Financial Analysis" sheetId="30" r:id="rId20"/>
    <sheet name="--&gt; Valuation" sheetId="53" r:id="rId21"/>
    <sheet name="WACC" sheetId="11" r:id="rId22"/>
    <sheet name="DCF" sheetId="52" r:id="rId23"/>
    <sheet name="Trading Multiples" sheetId="26" r:id="rId24"/>
    <sheet name="Inflation Data" sheetId="38" state="hidden" r:id="rId25"/>
    <sheet name="Historical Cost of Goods Sold" sheetId="40" state="hidden" r:id="rId26"/>
    <sheet name="Correlation" sheetId="39" state="hidden" r:id="rId27"/>
    <sheet name="Monte Carlo Simulation" sheetId="36" state="hidden" r:id="rId28"/>
    <sheet name="--&gt; Scenario Analysis" sheetId="54" r:id="rId29"/>
    <sheet name="Inputs" sheetId="41" r:id="rId30"/>
    <sheet name="Scenario Summary" sheetId="51" r:id="rId31"/>
    <sheet name="CB_DATA_" sheetId="34" state="veryHidden" r:id="rId32"/>
  </sheets>
  <externalReferences>
    <externalReference r:id="rId33"/>
    <externalReference r:id="rId34"/>
  </externalReferences>
  <definedNames>
    <definedName name="_xlnm._FilterDatabase" localSheetId="24" hidden="1">'Inflation Data'!$B$8:$AG$11</definedName>
    <definedName name="Asia_Pacific_Inflation_2019">Inputs!#REF!</definedName>
    <definedName name="Asia_Pacific_Inflation_2020">Inputs!#REF!</definedName>
    <definedName name="Asia_Pacific_Inflation_2021">Inputs!#REF!</definedName>
    <definedName name="Asia_Pacific_Inflation_2022">Inputs!#REF!</definedName>
    <definedName name="Asia_Pacific_Inflation_2023">Inputs!#REF!</definedName>
    <definedName name="CAPEX_Sales_Percentage">Inputs!$H$28</definedName>
    <definedName name="CB_134a217c50234c82a985880aa9d4065c" localSheetId="27" hidden="1">'Monte Carlo Simulation'!$D$10</definedName>
    <definedName name="CB_18accc5fe69a45b0bc976519e1c77f9c" localSheetId="27" hidden="1">'Monte Carlo Simulation'!$C$10</definedName>
    <definedName name="CB_300c378f72b5485fa1c020bddc83f046" localSheetId="27" hidden="1">'Monte Carlo Simulation'!$B$19</definedName>
    <definedName name="CB_3b7197549f8d4fe9a6ac0c33251888ba" localSheetId="27" hidden="1">Correlation!B6</definedName>
    <definedName name="CB_4a5ba7a4b16e40ba946cfa568e6f8dd8" localSheetId="27" hidden="1">Correlation!C6</definedName>
    <definedName name="CB_4b8bb9eae3ae4f1d8dff0c9a4017d5a8" localSheetId="27" hidden="1">'Monte Carlo Simulation'!$D$7</definedName>
    <definedName name="CB_4fe40ecba7124f729a6403596b6bc053" localSheetId="27" hidden="1">'Monte Carlo Simulation'!$B$10</definedName>
    <definedName name="CB_524be12516224a5b9d1184068794ee96" localSheetId="27" hidden="1">Correlation!E6</definedName>
    <definedName name="CB_558e923ef5b34b219f735cb90850580b" localSheetId="27" hidden="1">Correlation!B6</definedName>
    <definedName name="CB_57679baa31554fbeb35f960c5a03a100" localSheetId="27" hidden="1">Correlation!B11</definedName>
    <definedName name="CB_58ecd52110d342f9b2a57ffdbb0deb02" localSheetId="27" hidden="1">Correlation!B12</definedName>
    <definedName name="CB_5a9980e5581b4d0d8a01a9bb8f52adee" localSheetId="27" hidden="1">'Monte Carlo Simulation'!$D$8</definedName>
    <definedName name="CB_5df4af614f314fb19435af060ed7c0d7" localSheetId="27" hidden="1">'Monte Carlo Simulation'!$C$8</definedName>
    <definedName name="CB_613d248f33a34724aa5b394ce0a27f5b" localSheetId="27" hidden="1">Correlation!D7</definedName>
    <definedName name="CB_62bd2a399b124e36af34a07806e61fe1" localSheetId="31" hidden="1">#N/A</definedName>
    <definedName name="CB_6a7149686ece42cfa416bbb6ece43f8f" localSheetId="27" hidden="1">'Monte Carlo Simulation'!#REF!</definedName>
    <definedName name="CB_6c124d067e2c47c1b6fe4ff4eda4ade1" localSheetId="27" hidden="1">'Monte Carlo Simulation'!$B$16</definedName>
    <definedName name="CB_7448eee19e864fc0b043357e9a7facb2" localSheetId="27" hidden="1">'Monte Carlo Simulation'!$E$16</definedName>
    <definedName name="CB_80728be60ed6402bb1faceabf416db5b" localSheetId="27" hidden="1">Correlation!D6</definedName>
    <definedName name="CB_817b2071dc884dae8319b7dba5720904" localSheetId="27" hidden="1">Correlation!E7</definedName>
    <definedName name="CB_83eba4dcc6ab4eb6a7aee3368672c39b" localSheetId="27" hidden="1">'Monte Carlo Simulation'!$D$9</definedName>
    <definedName name="CB_96e47e2e86bb44dc84ed06c201e3f0d9" localSheetId="27" hidden="1">'Monte Carlo Simulation'!#REF!</definedName>
    <definedName name="CB_9dc156730cc943128669335d41d873df" localSheetId="27" hidden="1">Correlation!B7</definedName>
    <definedName name="CB_a78521af51f440b3a071cc7034b32804" localSheetId="27" hidden="1">Correlation!C7</definedName>
    <definedName name="CB_af506aa2d25e4308a8923bcbb7ec578a" localSheetId="27" hidden="1">'Monte Carlo Simulation'!$B$8</definedName>
    <definedName name="CB_bbe6bb58779d4107ba44eb6b6c7bdc2f" localSheetId="29" hidden="1">Inputs!#REF!</definedName>
    <definedName name="CB_Block_00000000000000000000000000000000" localSheetId="31" hidden="1">"'7.0.0.0"</definedName>
    <definedName name="CB_Block_00000000000000000000000000000000" localSheetId="29" hidden="1">"'7.0.0.0"</definedName>
    <definedName name="CB_Block_00000000000000000000000000000000" localSheetId="27" hidden="1">"'7.0.0.0"</definedName>
    <definedName name="CB_Block_00000000000000000000000000000001" localSheetId="31" hidden="1">"'637272353109133851"</definedName>
    <definedName name="CB_Block_00000000000000000000000000000001" localSheetId="29" hidden="1">"'637174805179263354"</definedName>
    <definedName name="CB_Block_00000000000000000000000000000001" localSheetId="27" hidden="1">"'637272353110018245"</definedName>
    <definedName name="CB_Block_00000000000000000000000000000003" localSheetId="31" hidden="1">"'11.1.4716.0"</definedName>
    <definedName name="CB_Block_00000000000000000000000000000003" localSheetId="29" hidden="1">"'11.1.4716.0"</definedName>
    <definedName name="CB_Block_00000000000000000000000000000003" localSheetId="27" hidden="1">"'11.1.4716.0"</definedName>
    <definedName name="CB_BlockExt_00000000000000000000000000000003" localSheetId="31" hidden="1">"'11.1.2.4.850"</definedName>
    <definedName name="CB_BlockExt_00000000000000000000000000000003" localSheetId="29" hidden="1">"'11.1.2.4.850"</definedName>
    <definedName name="CB_BlockExt_00000000000000000000000000000003" localSheetId="27" hidden="1">"'11.1.2.4.850"</definedName>
    <definedName name="CB_d1ecdc5a4c044512a24817d7e2bb7819" localSheetId="27" hidden="1">'Monte Carlo Simulation'!$B$9</definedName>
    <definedName name="CB_dd8781b4f8fb4c2eb99bfd30f0f8a61d" localSheetId="27" hidden="1">'Monte Carlo Simulation'!$C$9</definedName>
    <definedName name="CB_ddc4330dd6ea4042850c5fd73c0f6e09" localSheetId="27" hidden="1">Correlation!C6</definedName>
    <definedName name="CB_df28df83b0bf4f35b7458200bdec5de4" localSheetId="27" hidden="1">Correlation!E6</definedName>
    <definedName name="CB_dff13992b1334e39bfd26b1bcfc054b1" localSheetId="27" hidden="1">'Monte Carlo Simulation'!$C$16</definedName>
    <definedName name="CB_e0b192261b274eb3943ced6387e4a536" localSheetId="27" hidden="1">'Monte Carlo Simulation'!$B$7</definedName>
    <definedName name="CB_e3281c33b1b14fbead57fc5e5b3eef27" localSheetId="27" hidden="1">'Monte Carlo Simulation'!$C$7</definedName>
    <definedName name="CB_ef8d38702b524065ba6f694255bb0355" localSheetId="27" hidden="1">'Monte Carlo Simulation'!$D$16</definedName>
    <definedName name="CB_f0bd16ac6b544d64b492132c67a6f6aa" localSheetId="27" hidden="1">Correlation!B11</definedName>
    <definedName name="CB_f8aa1f5e06dc41fa94b9b672363c73d8" localSheetId="27" hidden="1">Correlation!D6</definedName>
    <definedName name="CB_faa666a20137488898e1304ce233a003" localSheetId="27" hidden="1">'Monte Carlo Simulation'!$E$13</definedName>
    <definedName name="CBCR_13e9e8d87f2542baab2419fa8a07784c" localSheetId="27" hidden="1">Correlation!$D$7</definedName>
    <definedName name="CBCR_18c605c9352a4358aac06ed2184ead59" localSheetId="27" hidden="1">Correlation!$B$11</definedName>
    <definedName name="CBCR_2bac4b7926eb4407a9b198591295416f" localSheetId="27" hidden="1">Correlation!$B$6</definedName>
    <definedName name="CBCR_33b5ba8ea1a440aa9b0f9a48d91813af" localSheetId="27" hidden="1">Correlation!$E$6</definedName>
    <definedName name="CBCR_36e9a096b5a34f13b85ec859c978194f" localSheetId="27" hidden="1">Correlation!$D$6</definedName>
    <definedName name="CBCR_3a1c8ffda6e74e52b69ee65d185e4938" localSheetId="27" hidden="1">Correlation!$B$6</definedName>
    <definedName name="CBCR_3e9af85e2a334beb8f85d5f3edf49ccb" localSheetId="27" hidden="1">Correlation!$C$6</definedName>
    <definedName name="CBCR_56e2d86dbf0748578898123b4d4a39b8" localSheetId="27" hidden="1">Correlation!$E$6</definedName>
    <definedName name="CBCR_72bf949bedee4efa9345368d907dcb6e" localSheetId="27" hidden="1">Correlation!$B$12</definedName>
    <definedName name="CBCR_83c413d0731c46ae9890b70f12486ffe" localSheetId="27" hidden="1">Correlation!$E$7</definedName>
    <definedName name="CBCR_958fe4c2d1d647d6bfa37d5de3f98fb7" localSheetId="27" hidden="1">Correlation!$B$11</definedName>
    <definedName name="CBCR_a6c9557b586f4bf590fe4959e0b6cdf2" localSheetId="27" hidden="1">Correlation!$C$7</definedName>
    <definedName name="CBCR_d19d50a17b074a12bf364e19d25e4633" localSheetId="27" hidden="1">Correlation!$C$6</definedName>
    <definedName name="CBCR_e80c91d976c04f30b7e2c9234ce73e4e" localSheetId="27" hidden="1">Correlation!$D$6</definedName>
    <definedName name="CBCR_f826d477577243d2a97a78416193a136" localSheetId="27" hidden="1">Correlation!$B$7</definedName>
    <definedName name="CBWorkbookPriority" localSheetId="31" hidden="1">-1678859632049430</definedName>
    <definedName name="CBx_37a120fd504e49768bda8c5e63b115b7" localSheetId="31" hidden="1">"'CB_DATA_'!$A$1"</definedName>
    <definedName name="CBx_7365556e8b1e42ffbaf2a903f5809992" localSheetId="31" hidden="1">"'Monte Carlo Simulation'!$A$1"</definedName>
    <definedName name="CBx_7a2dcae1b5a94f8496cb62b3248f7548" localSheetId="31" hidden="1">"'Scenario Analysis'!$A$1"</definedName>
    <definedName name="CBx_Sheet_Guid" localSheetId="31" hidden="1">"'37a120fd-504e-4976-8bda-8c5e63b115b7"</definedName>
    <definedName name="CBx_Sheet_Guid" localSheetId="29" hidden="1">"'7a2dcae1-b5a9-4f84-96cb-62b3248f7548"</definedName>
    <definedName name="CBx_Sheet_Guid" localSheetId="27" hidden="1">"'7365556e-8b1e-42ff-baf2-a903f5809992"</definedName>
    <definedName name="CBx_SheetRef" localSheetId="31" hidden="1">CB_DATA_!$A$14</definedName>
    <definedName name="CBx_SheetRef" localSheetId="29" hidden="1">[1]CB_DATA_!$B$14</definedName>
    <definedName name="CBx_SheetRef" localSheetId="27" hidden="1">CB_DATA_!$C$14</definedName>
    <definedName name="CBx_StorageType" localSheetId="31" hidden="1">2</definedName>
    <definedName name="CBx_StorageType" localSheetId="29" hidden="1">2</definedName>
    <definedName name="CBx_StorageType" localSheetId="27" hidden="1">2</definedName>
    <definedName name="Choice_Of_Cost_Of_Equity">WACC!$D$30</definedName>
    <definedName name="COGS_Percentage_of_Sales">Inputs!$H$15</definedName>
    <definedName name="Enterprise_Value">Inputs!$C$32</definedName>
    <definedName name="ENTERPRISE_VALUE_DCF" localSheetId="22">DCF!$E$25</definedName>
    <definedName name="ENTERPRISE_VALUE_DCF" localSheetId="29">[1]DCF!$E$25</definedName>
    <definedName name="ENTERPRISE_VALUE_DCF">[2]DCF!$E$25</definedName>
    <definedName name="EQUITY_VALUE" localSheetId="22">DCF!$C$36</definedName>
    <definedName name="Equity_Value" localSheetId="29">Inputs!$C$33</definedName>
    <definedName name="EQUITY_VALUE">[2]DCF!$C$36</definedName>
    <definedName name="Europe_Inflation_2019">Inputs!#REF!</definedName>
    <definedName name="Europe_Inflation_2020">Inputs!#REF!</definedName>
    <definedName name="Europe_Inflation_2021">Inputs!#REF!</definedName>
    <definedName name="Europe_Inflation_2022">Inputs!#REF!</definedName>
    <definedName name="Europe_Inflation_2023">Inputs!#REF!</definedName>
    <definedName name="Initial_Leverage">Inputs!$H$24</definedName>
    <definedName name="Long_Term_Growth">Inputs!$H$11</definedName>
    <definedName name="Net_Sales_Growth_2023">Inputs!$G$7</definedName>
    <definedName name="Net_Sales_Growth_Rate_2019">Inputs!$C$7</definedName>
    <definedName name="Net_Sales_Growth_Rate_2020">Inputs!$D$7</definedName>
    <definedName name="Net_Sales_Growth_Rate_2021">Inputs!$E$7</definedName>
    <definedName name="Net_Sales_Growth_Rate_2022">Inputs!$F$7</definedName>
    <definedName name="Net_Sales_Growth_Rate_2023">Inputs!$G$7</definedName>
    <definedName name="North_America_Inflation_2019">Inputs!$D$7</definedName>
    <definedName name="North_America_Inflation_2020">Inputs!$E$7</definedName>
    <definedName name="North_America_Inflation_2021">Inputs!$F$7</definedName>
    <definedName name="North_America_Inflation_2022">Inputs!$G$7</definedName>
    <definedName name="North_America_Inflation_2023">Inputs!$H$11</definedName>
    <definedName name="Risk_Free_Rate">Inputs!$H$19</definedName>
    <definedName name="South_America_Inflation_2019">Inputs!#REF!</definedName>
    <definedName name="South_America_Inflation_2020">Inputs!#REF!</definedName>
    <definedName name="South_America_Inflation_2021">Inputs!#REF!</definedName>
    <definedName name="South_America_Inflation_2022">Inputs!#REF!</definedName>
    <definedName name="South_America_Inflation_2023">Inputs!#REF!</definedName>
    <definedName name="Spread">Inputs!$H$20</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12" i="26" l="1"/>
  <c r="P11" i="26"/>
  <c r="N12" i="26"/>
  <c r="Q12" i="26"/>
  <c r="Q11" i="26"/>
  <c r="N11" i="26"/>
  <c r="C33" i="52" l="1"/>
  <c r="C32" i="52"/>
  <c r="C31" i="52"/>
  <c r="B11" i="52"/>
  <c r="B6" i="52"/>
  <c r="M14" i="26" l="1"/>
  <c r="N14" i="26"/>
  <c r="O14" i="26"/>
  <c r="P14" i="26"/>
  <c r="Q14" i="26"/>
  <c r="L14" i="26"/>
  <c r="D11" i="26"/>
  <c r="D12" i="26"/>
  <c r="O21" i="51" l="1"/>
  <c r="O20" i="51"/>
  <c r="E21" i="51"/>
  <c r="F21" i="51"/>
  <c r="G21" i="51"/>
  <c r="H21" i="51"/>
  <c r="I21" i="51"/>
  <c r="J21" i="51"/>
  <c r="K21" i="51"/>
  <c r="L21" i="51"/>
  <c r="M21" i="51"/>
  <c r="N21" i="51"/>
  <c r="E20" i="51"/>
  <c r="F20" i="51"/>
  <c r="G20" i="51"/>
  <c r="H20" i="51"/>
  <c r="I20" i="51"/>
  <c r="J20" i="51"/>
  <c r="K20" i="51"/>
  <c r="L20" i="51"/>
  <c r="M20" i="51"/>
  <c r="N20" i="51"/>
  <c r="D21" i="51"/>
  <c r="D20" i="51"/>
  <c r="D32" i="18"/>
  <c r="E32" i="18"/>
  <c r="C32" i="18"/>
  <c r="D31" i="18"/>
  <c r="E31" i="18"/>
  <c r="C31" i="18"/>
  <c r="D19" i="47" l="1"/>
  <c r="F19" i="47"/>
  <c r="E19" i="47"/>
  <c r="H20" i="28"/>
  <c r="I20" i="28"/>
  <c r="J20" i="28"/>
  <c r="K20" i="28"/>
  <c r="L20" i="28"/>
  <c r="G20" i="28"/>
  <c r="G31" i="19"/>
  <c r="H31" i="19"/>
  <c r="G32" i="19"/>
  <c r="H32" i="19"/>
  <c r="G33" i="19"/>
  <c r="H33" i="19"/>
  <c r="F33" i="19"/>
  <c r="F32" i="19"/>
  <c r="F31" i="19"/>
  <c r="D34" i="28"/>
  <c r="E34" i="28"/>
  <c r="D33" i="28"/>
  <c r="E33" i="28"/>
  <c r="E30" i="28"/>
  <c r="F30" i="28"/>
  <c r="D30" i="28"/>
  <c r="D28" i="28"/>
  <c r="E28" i="28"/>
  <c r="D26" i="28"/>
  <c r="E26" i="28"/>
  <c r="E5" i="28"/>
  <c r="F5" i="28"/>
  <c r="D5" i="28"/>
  <c r="E4" i="28"/>
  <c r="F4" i="28"/>
  <c r="D4" i="28"/>
  <c r="B35" i="35"/>
  <c r="D101" i="35"/>
  <c r="D102" i="35"/>
  <c r="F74" i="35"/>
  <c r="G74" i="35"/>
  <c r="H74" i="35"/>
  <c r="I74" i="35"/>
  <c r="J74" i="35"/>
  <c r="E74" i="35"/>
  <c r="C72" i="35"/>
  <c r="D72" i="35"/>
  <c r="B72" i="35"/>
  <c r="C69" i="35"/>
  <c r="D69" i="35"/>
  <c r="C70" i="35"/>
  <c r="D70" i="35"/>
  <c r="C71" i="35"/>
  <c r="D71" i="35"/>
  <c r="B70" i="35"/>
  <c r="B71" i="35"/>
  <c r="B69" i="35"/>
  <c r="F50" i="35"/>
  <c r="G50" i="35"/>
  <c r="H50" i="35"/>
  <c r="I50" i="35"/>
  <c r="J50" i="35"/>
  <c r="F51" i="35"/>
  <c r="G51" i="35"/>
  <c r="H51" i="35"/>
  <c r="I51" i="35"/>
  <c r="J51" i="35"/>
  <c r="E51" i="35"/>
  <c r="E50" i="35"/>
  <c r="C51" i="35"/>
  <c r="D51" i="35"/>
  <c r="B51" i="35"/>
  <c r="C50" i="35"/>
  <c r="C48" i="35" s="1"/>
  <c r="D50" i="35"/>
  <c r="B50" i="35"/>
  <c r="E11" i="48"/>
  <c r="F11" i="48"/>
  <c r="E12" i="48"/>
  <c r="F12" i="48"/>
  <c r="D12" i="48"/>
  <c r="D11" i="48"/>
  <c r="F10" i="35"/>
  <c r="G10" i="35"/>
  <c r="H10" i="35"/>
  <c r="I10" i="35"/>
  <c r="J10" i="35"/>
  <c r="E10" i="35"/>
  <c r="E12" i="47"/>
  <c r="F12" i="47"/>
  <c r="D12" i="47"/>
  <c r="K14" i="18"/>
  <c r="J14" i="18"/>
  <c r="I14" i="18"/>
  <c r="H14" i="18"/>
  <c r="G14" i="18"/>
  <c r="F14" i="18"/>
  <c r="G12" i="47" s="1"/>
  <c r="E14" i="18"/>
  <c r="D14" i="18"/>
  <c r="E15" i="47"/>
  <c r="F15" i="47"/>
  <c r="E16" i="47"/>
  <c r="F16" i="47"/>
  <c r="E17" i="47"/>
  <c r="G17" i="47" s="1"/>
  <c r="H17" i="47" s="1"/>
  <c r="F17" i="47"/>
  <c r="D17" i="47"/>
  <c r="D16" i="47"/>
  <c r="D15" i="47"/>
  <c r="D13" i="47"/>
  <c r="F13" i="47"/>
  <c r="E13" i="47"/>
  <c r="B48" i="35" l="1"/>
  <c r="I17" i="47"/>
  <c r="G21" i="35" s="1"/>
  <c r="F21" i="35"/>
  <c r="E21" i="35"/>
  <c r="H12" i="47"/>
  <c r="I12" i="47" s="1"/>
  <c r="J12" i="47" s="1"/>
  <c r="K12" i="47" s="1"/>
  <c r="L12" i="47" s="1"/>
  <c r="E8" i="35"/>
  <c r="J17" i="47" l="1"/>
  <c r="H21" i="35" s="1"/>
  <c r="F8" i="35"/>
  <c r="G8" i="35"/>
  <c r="K17" i="47"/>
  <c r="F34" i="28"/>
  <c r="F33" i="28"/>
  <c r="F93" i="35"/>
  <c r="G93" i="35"/>
  <c r="H93" i="35"/>
  <c r="I93" i="35"/>
  <c r="J93" i="35"/>
  <c r="F94" i="35"/>
  <c r="G94" i="35"/>
  <c r="H94" i="35"/>
  <c r="I94" i="35"/>
  <c r="J94" i="35"/>
  <c r="E94" i="35"/>
  <c r="E93" i="35"/>
  <c r="E5" i="48"/>
  <c r="F5" i="48"/>
  <c r="E6" i="48"/>
  <c r="F6" i="48"/>
  <c r="E7" i="48"/>
  <c r="H7" i="48" s="1"/>
  <c r="F84" i="35" s="1"/>
  <c r="F7" i="48"/>
  <c r="D6" i="48"/>
  <c r="G6" i="48" s="1"/>
  <c r="E83" i="35" s="1"/>
  <c r="D7" i="48"/>
  <c r="G7" i="48" s="1"/>
  <c r="D5" i="48"/>
  <c r="G5" i="48" s="1"/>
  <c r="E82" i="35" s="1"/>
  <c r="F71" i="35"/>
  <c r="G71" i="35"/>
  <c r="H71" i="35"/>
  <c r="I71" i="35"/>
  <c r="J71" i="35"/>
  <c r="E71" i="35"/>
  <c r="E8" i="47"/>
  <c r="F8" i="47"/>
  <c r="D8" i="47"/>
  <c r="E7" i="47"/>
  <c r="F7" i="47"/>
  <c r="D7" i="47"/>
  <c r="A7" i="47"/>
  <c r="D6" i="47"/>
  <c r="E6" i="47"/>
  <c r="F6" i="47"/>
  <c r="E5" i="47"/>
  <c r="F5" i="47"/>
  <c r="D5" i="47"/>
  <c r="L17" i="47" l="1"/>
  <c r="J21" i="35" s="1"/>
  <c r="I21" i="35"/>
  <c r="H5" i="48"/>
  <c r="E84" i="35"/>
  <c r="I7" i="48"/>
  <c r="H6" i="48"/>
  <c r="H8" i="35"/>
  <c r="G7" i="47"/>
  <c r="H7" i="47" s="1"/>
  <c r="F75" i="35" s="1"/>
  <c r="G5" i="47"/>
  <c r="E73" i="35" s="1"/>
  <c r="F64" i="35"/>
  <c r="I5" i="48" l="1"/>
  <c r="F82" i="35"/>
  <c r="I6" i="48"/>
  <c r="F83" i="35"/>
  <c r="J7" i="48"/>
  <c r="G84" i="35"/>
  <c r="I8" i="35"/>
  <c r="E75" i="35"/>
  <c r="I7" i="47"/>
  <c r="G75" i="35" s="1"/>
  <c r="H5" i="47"/>
  <c r="F73" i="35" s="1"/>
  <c r="H84" i="35" l="1"/>
  <c r="K7" i="48"/>
  <c r="G82" i="35"/>
  <c r="J5" i="48"/>
  <c r="G83" i="35"/>
  <c r="J6" i="48"/>
  <c r="J8" i="35"/>
  <c r="J7" i="47"/>
  <c r="H75" i="35" s="1"/>
  <c r="I5" i="47"/>
  <c r="G73" i="35" s="1"/>
  <c r="K6" i="48" l="1"/>
  <c r="I83" i="35" s="1"/>
  <c r="H83" i="35"/>
  <c r="L6" i="48"/>
  <c r="J83" i="35" s="1"/>
  <c r="L7" i="48"/>
  <c r="J84" i="35" s="1"/>
  <c r="I84" i="35"/>
  <c r="K5" i="48"/>
  <c r="H82" i="35"/>
  <c r="K7" i="47"/>
  <c r="I75" i="35" s="1"/>
  <c r="J5" i="47"/>
  <c r="H73" i="35" s="1"/>
  <c r="L5" i="48" l="1"/>
  <c r="J82" i="35" s="1"/>
  <c r="I82" i="35"/>
  <c r="L7" i="47"/>
  <c r="J75" i="35" s="1"/>
  <c r="K5" i="47"/>
  <c r="L5" i="47" l="1"/>
  <c r="J73" i="35" s="1"/>
  <c r="I73" i="35"/>
  <c r="F18" i="28"/>
  <c r="F102" i="35"/>
  <c r="G102" i="35"/>
  <c r="H102" i="35"/>
  <c r="I102" i="35"/>
  <c r="J102" i="35"/>
  <c r="E102" i="35"/>
  <c r="E18" i="28"/>
  <c r="D18" i="28"/>
  <c r="E17" i="28"/>
  <c r="F17" i="28"/>
  <c r="D17" i="28"/>
  <c r="F16" i="28"/>
  <c r="E16" i="28"/>
  <c r="D16" i="28"/>
  <c r="E20" i="28"/>
  <c r="F20" i="28"/>
  <c r="D20" i="28"/>
  <c r="E19" i="28"/>
  <c r="F19" i="28"/>
  <c r="D19" i="28"/>
  <c r="G18" i="28" l="1"/>
  <c r="H18" i="28" s="1"/>
  <c r="I18" i="28" s="1"/>
  <c r="J18" i="28" l="1"/>
  <c r="K18" i="28" s="1"/>
  <c r="L18" i="28" s="1"/>
  <c r="Q47" i="26"/>
  <c r="P47" i="26"/>
  <c r="Q45" i="26"/>
  <c r="P45" i="26"/>
  <c r="Q44" i="26"/>
  <c r="P44" i="26"/>
  <c r="O44" i="26"/>
  <c r="B37" i="11"/>
  <c r="B24" i="11"/>
  <c r="D14" i="11"/>
  <c r="C44" i="2"/>
  <c r="D44" i="2"/>
  <c r="B44" i="2"/>
  <c r="P5" i="26" l="1"/>
  <c r="P6" i="26"/>
  <c r="P7" i="26"/>
  <c r="P8" i="26"/>
  <c r="P9" i="26"/>
  <c r="K11" i="11"/>
  <c r="K7" i="11"/>
  <c r="B19" i="11" l="1"/>
  <c r="B44" i="11" s="1"/>
  <c r="D19" i="5"/>
  <c r="D65" i="18"/>
  <c r="D66" i="18" s="1"/>
  <c r="E65" i="18"/>
  <c r="E66" i="18" s="1"/>
  <c r="C65" i="18"/>
  <c r="D62" i="18"/>
  <c r="D63" i="18" s="1"/>
  <c r="E62" i="18"/>
  <c r="E63" i="18" s="1"/>
  <c r="C62" i="18"/>
  <c r="D26" i="18"/>
  <c r="E26" i="18"/>
  <c r="C26" i="18"/>
  <c r="B40" i="18"/>
  <c r="B17" i="18"/>
  <c r="H15" i="47" l="1"/>
  <c r="F15" i="35" s="1"/>
  <c r="G15" i="47"/>
  <c r="E15" i="35" s="1"/>
  <c r="I15" i="47"/>
  <c r="G15" i="35" s="1"/>
  <c r="J15" i="47"/>
  <c r="H15" i="35" s="1"/>
  <c r="K15" i="47"/>
  <c r="I15" i="35" s="1"/>
  <c r="L15" i="47"/>
  <c r="J15" i="35" s="1"/>
  <c r="B45" i="11"/>
  <c r="V24" i="41"/>
  <c r="R24" i="41"/>
  <c r="V28" i="41" l="1"/>
  <c r="R28" i="41"/>
  <c r="C37" i="19" l="1"/>
  <c r="Y11" i="41"/>
  <c r="R11" i="41"/>
  <c r="C7" i="41"/>
  <c r="U7" i="41"/>
  <c r="V7" i="41"/>
  <c r="W7" i="41"/>
  <c r="X7" i="41"/>
  <c r="T7" i="41"/>
  <c r="N7" i="41"/>
  <c r="O7" i="41"/>
  <c r="P7" i="41"/>
  <c r="Q7" i="41"/>
  <c r="M7" i="41"/>
  <c r="Y15" i="41" l="1"/>
  <c r="R15" i="41"/>
  <c r="R20" i="41"/>
  <c r="R19" i="41"/>
  <c r="V19" i="41"/>
  <c r="V20" i="41"/>
  <c r="U3" i="41" l="1"/>
  <c r="V3" i="41"/>
  <c r="W3" i="41"/>
  <c r="X3" i="41"/>
  <c r="Y3" i="41"/>
  <c r="T3" i="41"/>
  <c r="R3" i="41"/>
  <c r="N3" i="41"/>
  <c r="O3" i="41"/>
  <c r="P3" i="41"/>
  <c r="Q3" i="41"/>
  <c r="M3" i="41"/>
  <c r="H64" i="35"/>
  <c r="I64" i="35"/>
  <c r="J64" i="35"/>
  <c r="B24" i="19" l="1"/>
  <c r="B23" i="19"/>
  <c r="B22" i="19"/>
  <c r="D35" i="35" l="1"/>
  <c r="D123" i="35" s="1"/>
  <c r="C35" i="35"/>
  <c r="C123" i="35" s="1"/>
  <c r="C13" i="19"/>
  <c r="C14" i="19"/>
  <c r="C59" i="18"/>
  <c r="C60" i="18" s="1"/>
  <c r="D59" i="18"/>
  <c r="D60" i="18" s="1"/>
  <c r="E59" i="18"/>
  <c r="B19" i="6"/>
  <c r="C10" i="6"/>
  <c r="C10" i="35" s="1"/>
  <c r="D15" i="6"/>
  <c r="B15" i="6"/>
  <c r="B21" i="35" s="1"/>
  <c r="C12" i="6"/>
  <c r="D12" i="6"/>
  <c r="D15" i="35" s="1"/>
  <c r="B12" i="6"/>
  <c r="B15" i="35" s="1"/>
  <c r="B21" i="6"/>
  <c r="B44" i="35" s="1"/>
  <c r="B13" i="6"/>
  <c r="B17" i="35" s="1"/>
  <c r="B17" i="6"/>
  <c r="B14" i="6" s="1"/>
  <c r="B19" i="35" s="1"/>
  <c r="C13" i="6"/>
  <c r="D13" i="6"/>
  <c r="D17" i="35" s="1"/>
  <c r="C19" i="6"/>
  <c r="D19" i="6"/>
  <c r="B30" i="5"/>
  <c r="C30" i="5"/>
  <c r="D20" i="5"/>
  <c r="C20" i="5"/>
  <c r="B20" i="5"/>
  <c r="D22" i="5"/>
  <c r="C22" i="5"/>
  <c r="B22" i="5"/>
  <c r="D17" i="6"/>
  <c r="D14" i="6" s="1"/>
  <c r="D21" i="35"/>
  <c r="D10" i="35"/>
  <c r="D21" i="6"/>
  <c r="D44" i="35" s="1"/>
  <c r="D73" i="35"/>
  <c r="D74" i="35"/>
  <c r="D75" i="35"/>
  <c r="C73" i="35"/>
  <c r="C74" i="35"/>
  <c r="C75" i="35"/>
  <c r="D118" i="35"/>
  <c r="D12" i="30" s="1"/>
  <c r="B12" i="39"/>
  <c r="B11" i="39"/>
  <c r="E7" i="39"/>
  <c r="D7" i="39"/>
  <c r="C7" i="39"/>
  <c r="B7" i="39"/>
  <c r="E6" i="39"/>
  <c r="D6" i="39"/>
  <c r="C6" i="39"/>
  <c r="B6" i="39"/>
  <c r="AJ9" i="38"/>
  <c r="AJ10" i="38"/>
  <c r="AJ11" i="38"/>
  <c r="AI9" i="38"/>
  <c r="AI10" i="38"/>
  <c r="AI11" i="38"/>
  <c r="AJ8" i="38"/>
  <c r="AI8" i="38"/>
  <c r="C11" i="34"/>
  <c r="G64" i="35"/>
  <c r="E64" i="35"/>
  <c r="D132" i="24"/>
  <c r="C132" i="24"/>
  <c r="D125" i="35"/>
  <c r="C125" i="35"/>
  <c r="C118" i="35"/>
  <c r="C12" i="30" s="1"/>
  <c r="C16" i="30" s="1"/>
  <c r="B74" i="35"/>
  <c r="D48" i="35"/>
  <c r="C38" i="35"/>
  <c r="C122" i="35" s="1"/>
  <c r="D38" i="35"/>
  <c r="D122" i="35" s="1"/>
  <c r="B38" i="35"/>
  <c r="C21" i="35"/>
  <c r="B10" i="35"/>
  <c r="C33" i="24"/>
  <c r="C39" i="24" s="1"/>
  <c r="C43" i="24" s="1"/>
  <c r="D33" i="24"/>
  <c r="D39" i="24" s="1"/>
  <c r="D43" i="24" s="1"/>
  <c r="E44" i="24" s="1"/>
  <c r="B33" i="24"/>
  <c r="B39" i="24" s="1"/>
  <c r="B24" i="24"/>
  <c r="B30" i="24"/>
  <c r="F71" i="24"/>
  <c r="G71" i="24"/>
  <c r="E98" i="24"/>
  <c r="E100" i="24"/>
  <c r="E81" i="24"/>
  <c r="E80" i="24"/>
  <c r="F80" i="24"/>
  <c r="G80" i="24"/>
  <c r="E70" i="24"/>
  <c r="F70" i="24" s="1"/>
  <c r="E72" i="24"/>
  <c r="F72" i="24"/>
  <c r="F21" i="24"/>
  <c r="G21" i="24"/>
  <c r="D17" i="24"/>
  <c r="G72" i="24"/>
  <c r="F81" i="24"/>
  <c r="G81" i="24"/>
  <c r="F98" i="24"/>
  <c r="F100" i="24"/>
  <c r="G98" i="24"/>
  <c r="A11" i="34"/>
  <c r="B36" i="11"/>
  <c r="G100" i="24"/>
  <c r="E133" i="24"/>
  <c r="D127" i="24"/>
  <c r="C127" i="24"/>
  <c r="D124" i="24"/>
  <c r="D125" i="24"/>
  <c r="C124" i="24"/>
  <c r="C125" i="24"/>
  <c r="D115" i="24"/>
  <c r="C115" i="24"/>
  <c r="D113" i="24"/>
  <c r="C113" i="24"/>
  <c r="D110" i="24"/>
  <c r="C110" i="24"/>
  <c r="F82" i="24"/>
  <c r="G82" i="24"/>
  <c r="E82" i="24"/>
  <c r="B21" i="19"/>
  <c r="B20" i="19"/>
  <c r="C15" i="24"/>
  <c r="B15" i="24"/>
  <c r="D15" i="24"/>
  <c r="C17" i="24"/>
  <c r="B17" i="24"/>
  <c r="G44" i="24"/>
  <c r="F44" i="24"/>
  <c r="G22" i="24"/>
  <c r="F22" i="24"/>
  <c r="E22" i="24"/>
  <c r="G45" i="31"/>
  <c r="F45" i="31"/>
  <c r="E45" i="31"/>
  <c r="G37" i="31"/>
  <c r="G39" i="31"/>
  <c r="G47" i="31"/>
  <c r="F37" i="31"/>
  <c r="F39" i="31"/>
  <c r="F47" i="31"/>
  <c r="E37" i="31"/>
  <c r="E39" i="31"/>
  <c r="E47" i="31"/>
  <c r="G27" i="31"/>
  <c r="G29" i="31"/>
  <c r="F25" i="31"/>
  <c r="F27" i="31"/>
  <c r="F29" i="31"/>
  <c r="E25" i="31"/>
  <c r="E27" i="31"/>
  <c r="E29" i="31"/>
  <c r="C44" i="30"/>
  <c r="D44" i="30"/>
  <c r="B44" i="30"/>
  <c r="C43" i="30"/>
  <c r="D43" i="30"/>
  <c r="B43" i="30"/>
  <c r="F14" i="28"/>
  <c r="G11" i="28" s="1"/>
  <c r="J14" i="11"/>
  <c r="E20" i="26" s="1"/>
  <c r="J8" i="11"/>
  <c r="E6" i="26" s="1"/>
  <c r="J9" i="11"/>
  <c r="E7" i="26" s="1"/>
  <c r="J10" i="11"/>
  <c r="J11" i="11"/>
  <c r="J7" i="11"/>
  <c r="E5" i="26"/>
  <c r="H18" i="25"/>
  <c r="I18" i="25"/>
  <c r="G18" i="25"/>
  <c r="G17" i="25"/>
  <c r="I13" i="25"/>
  <c r="H13" i="25"/>
  <c r="G13" i="25"/>
  <c r="G12" i="25"/>
  <c r="G10" i="25"/>
  <c r="H9" i="25"/>
  <c r="G9" i="25"/>
  <c r="I5" i="25"/>
  <c r="H5" i="25"/>
  <c r="G5" i="25"/>
  <c r="C29" i="25"/>
  <c r="B29" i="25"/>
  <c r="D21" i="25"/>
  <c r="D35" i="25"/>
  <c r="C21" i="25"/>
  <c r="B21" i="25"/>
  <c r="D3" i="25"/>
  <c r="C3" i="25"/>
  <c r="B3" i="25"/>
  <c r="B10" i="25"/>
  <c r="B17" i="25"/>
  <c r="G19" i="25"/>
  <c r="H33" i="25"/>
  <c r="I33" i="25"/>
  <c r="G33" i="25"/>
  <c r="H27" i="25"/>
  <c r="I27" i="25"/>
  <c r="G27" i="25"/>
  <c r="H25" i="25"/>
  <c r="I25" i="25"/>
  <c r="G25" i="25"/>
  <c r="H24" i="25"/>
  <c r="I24" i="25"/>
  <c r="I26" i="25"/>
  <c r="I28" i="25"/>
  <c r="G24" i="25"/>
  <c r="G26" i="25"/>
  <c r="G28" i="25"/>
  <c r="I17" i="25"/>
  <c r="I19" i="25"/>
  <c r="H17" i="25"/>
  <c r="H19" i="25"/>
  <c r="H12" i="25"/>
  <c r="I12" i="25"/>
  <c r="H11" i="25"/>
  <c r="I11" i="25"/>
  <c r="G11" i="25"/>
  <c r="I10" i="25"/>
  <c r="H10" i="25"/>
  <c r="H14" i="25"/>
  <c r="I9" i="25"/>
  <c r="I14" i="25"/>
  <c r="G4" i="25"/>
  <c r="G6" i="25"/>
  <c r="D29" i="25"/>
  <c r="P16" i="26"/>
  <c r="L27" i="26" s="1"/>
  <c r="G14" i="25"/>
  <c r="P17" i="26"/>
  <c r="M27" i="26" s="1"/>
  <c r="M28" i="26" s="1"/>
  <c r="M33" i="26" s="1"/>
  <c r="G21" i="25"/>
  <c r="H26" i="25"/>
  <c r="H28" i="25"/>
  <c r="C35" i="25"/>
  <c r="B35" i="25"/>
  <c r="B26" i="11"/>
  <c r="M14" i="11"/>
  <c r="K14" i="11"/>
  <c r="O14" i="11" s="1"/>
  <c r="M8" i="11"/>
  <c r="M9" i="11"/>
  <c r="M10" i="11"/>
  <c r="M11" i="11"/>
  <c r="O11" i="11" s="1"/>
  <c r="M7" i="11"/>
  <c r="O7" i="11" s="1"/>
  <c r="K8" i="11"/>
  <c r="K9" i="11"/>
  <c r="O9" i="11" s="1"/>
  <c r="K10" i="11"/>
  <c r="E8" i="26"/>
  <c r="Q8" i="26" s="1"/>
  <c r="E9" i="26"/>
  <c r="D22" i="6"/>
  <c r="B22" i="6"/>
  <c r="B13" i="2"/>
  <c r="C22" i="6"/>
  <c r="C17" i="6"/>
  <c r="C14" i="6" s="1"/>
  <c r="C19" i="35" s="1"/>
  <c r="C21" i="6"/>
  <c r="C44" i="35" s="1"/>
  <c r="D13" i="2"/>
  <c r="C24" i="6"/>
  <c r="C124" i="35" s="1"/>
  <c r="D24" i="6"/>
  <c r="D124" i="35" s="1"/>
  <c r="B24" i="6"/>
  <c r="C9" i="2"/>
  <c r="C9" i="6" s="1"/>
  <c r="C8" i="35" s="1"/>
  <c r="D9" i="2"/>
  <c r="D9" i="6" s="1"/>
  <c r="D8" i="35" s="1"/>
  <c r="B9" i="2"/>
  <c r="B9" i="6" s="1"/>
  <c r="D16" i="5"/>
  <c r="D17" i="5"/>
  <c r="E27" i="18" s="1"/>
  <c r="E28" i="18"/>
  <c r="D10" i="5"/>
  <c r="D63" i="35" s="1"/>
  <c r="D11" i="5"/>
  <c r="D64" i="35" s="1"/>
  <c r="D28" i="5"/>
  <c r="D82" i="35" s="1"/>
  <c r="D83" i="35"/>
  <c r="D84" i="35"/>
  <c r="B75" i="35"/>
  <c r="C16" i="5"/>
  <c r="B16" i="5"/>
  <c r="D94" i="35"/>
  <c r="D93" i="35"/>
  <c r="C93" i="35"/>
  <c r="B93" i="35"/>
  <c r="C39" i="5"/>
  <c r="C40" i="5"/>
  <c r="C92" i="35" s="1"/>
  <c r="C94" i="35"/>
  <c r="C44" i="5"/>
  <c r="C49" i="5"/>
  <c r="C101" i="35" s="1"/>
  <c r="C50" i="5"/>
  <c r="D39" i="5"/>
  <c r="D40" i="5"/>
  <c r="D44" i="5"/>
  <c r="D49" i="5"/>
  <c r="D50" i="5"/>
  <c r="B39" i="5"/>
  <c r="B91" i="35" s="1"/>
  <c r="B40" i="5"/>
  <c r="B92" i="35" s="1"/>
  <c r="B94" i="35"/>
  <c r="B44" i="5"/>
  <c r="B49" i="5"/>
  <c r="B101" i="35" s="1"/>
  <c r="B50" i="5"/>
  <c r="C17" i="5"/>
  <c r="D27" i="18" s="1"/>
  <c r="C19" i="5"/>
  <c r="D28" i="18" s="1"/>
  <c r="C10" i="5"/>
  <c r="G8" i="19" s="1"/>
  <c r="C11" i="5"/>
  <c r="G5" i="19" s="1"/>
  <c r="C28" i="5"/>
  <c r="C82" i="35" s="1"/>
  <c r="C83" i="35"/>
  <c r="C84" i="35"/>
  <c r="B17" i="5"/>
  <c r="C27" i="18" s="1"/>
  <c r="B18" i="5"/>
  <c r="B19" i="5"/>
  <c r="C28" i="18" s="1"/>
  <c r="B10" i="5"/>
  <c r="B63" i="35" s="1"/>
  <c r="B11" i="5"/>
  <c r="B64" i="35" s="1"/>
  <c r="B28" i="5"/>
  <c r="B82" i="35" s="1"/>
  <c r="B83" i="35"/>
  <c r="B84" i="35"/>
  <c r="C46" i="1"/>
  <c r="C47" i="1" s="1"/>
  <c r="D46" i="1"/>
  <c r="D47" i="1" s="1"/>
  <c r="B46" i="1"/>
  <c r="B47" i="1" s="1"/>
  <c r="C24" i="1"/>
  <c r="D24" i="1"/>
  <c r="B24" i="1"/>
  <c r="F26" i="28"/>
  <c r="C13" i="2"/>
  <c r="B25" i="32"/>
  <c r="C21" i="32"/>
  <c r="F41" i="28"/>
  <c r="G39" i="28" s="1"/>
  <c r="D91" i="35"/>
  <c r="B73" i="35"/>
  <c r="C91" i="35"/>
  <c r="F124" i="24"/>
  <c r="F125" i="24"/>
  <c r="G124" i="24"/>
  <c r="G125" i="24"/>
  <c r="E124" i="24"/>
  <c r="E125" i="24"/>
  <c r="E71" i="24"/>
  <c r="G109" i="24"/>
  <c r="F109" i="24"/>
  <c r="C51" i="5" l="1"/>
  <c r="D43" i="5"/>
  <c r="C96" i="35"/>
  <c r="G32" i="26"/>
  <c r="H8" i="19"/>
  <c r="H11" i="19" s="1"/>
  <c r="D12" i="5"/>
  <c r="B96" i="35"/>
  <c r="F28" i="28"/>
  <c r="F31" i="28" s="1"/>
  <c r="F5" i="19"/>
  <c r="D92" i="35"/>
  <c r="D95" i="35" s="1"/>
  <c r="D23" i="5"/>
  <c r="C23" i="5"/>
  <c r="B31" i="5"/>
  <c r="C12" i="5"/>
  <c r="C24" i="5" s="1"/>
  <c r="D51" i="5"/>
  <c r="B67" i="18"/>
  <c r="B43" i="28" s="1"/>
  <c r="B51" i="5"/>
  <c r="H5" i="19"/>
  <c r="C46" i="18"/>
  <c r="B65" i="35"/>
  <c r="C64" i="35"/>
  <c r="C102" i="35"/>
  <c r="C103" i="35" s="1"/>
  <c r="C63" i="35"/>
  <c r="B102" i="35"/>
  <c r="B103" i="35" s="1"/>
  <c r="B43" i="5"/>
  <c r="D96" i="35"/>
  <c r="D140" i="35" s="1"/>
  <c r="E138" i="35" s="1"/>
  <c r="L8" i="26"/>
  <c r="K12" i="11"/>
  <c r="B18" i="11" s="1"/>
  <c r="O8" i="11"/>
  <c r="O10" i="11"/>
  <c r="C18" i="24"/>
  <c r="D8" i="6"/>
  <c r="B28" i="35"/>
  <c r="E33" i="18"/>
  <c r="C8" i="6"/>
  <c r="D33" i="18"/>
  <c r="D46" i="18"/>
  <c r="D18" i="18"/>
  <c r="D16" i="18"/>
  <c r="C16" i="24"/>
  <c r="C28" i="35"/>
  <c r="C113" i="35" s="1"/>
  <c r="D18" i="24"/>
  <c r="O8" i="26"/>
  <c r="M8" i="26"/>
  <c r="N8" i="26"/>
  <c r="M7" i="26"/>
  <c r="Q7" i="26"/>
  <c r="Q6" i="26"/>
  <c r="N6" i="26"/>
  <c r="M6" i="26"/>
  <c r="O6" i="26"/>
  <c r="L6" i="26"/>
  <c r="O12" i="11"/>
  <c r="B25" i="11" s="1"/>
  <c r="B27" i="11" s="1"/>
  <c r="Q5" i="26"/>
  <c r="L5" i="26"/>
  <c r="M5" i="26"/>
  <c r="M9" i="26"/>
  <c r="Q9" i="26"/>
  <c r="O5" i="26"/>
  <c r="N5" i="26"/>
  <c r="O7" i="26"/>
  <c r="L7" i="26"/>
  <c r="N7" i="26"/>
  <c r="N9" i="26"/>
  <c r="O9" i="26"/>
  <c r="L9" i="26"/>
  <c r="H32" i="26"/>
  <c r="C25" i="30"/>
  <c r="O37" i="26"/>
  <c r="D25" i="30"/>
  <c r="D28" i="35"/>
  <c r="D113" i="35" s="1"/>
  <c r="D11" i="6"/>
  <c r="D16" i="6" s="1"/>
  <c r="D18" i="6" s="1"/>
  <c r="D20" i="6" s="1"/>
  <c r="D19" i="35"/>
  <c r="D13" i="35" s="1"/>
  <c r="B51" i="24"/>
  <c r="B43" i="24"/>
  <c r="C13" i="30"/>
  <c r="C18" i="30" s="1"/>
  <c r="C20" i="35"/>
  <c r="D7" i="35"/>
  <c r="E9" i="35"/>
  <c r="E5" i="30" s="1"/>
  <c r="B11" i="6"/>
  <c r="C33" i="18"/>
  <c r="C15" i="35"/>
  <c r="D16" i="35" s="1"/>
  <c r="D24" i="30"/>
  <c r="E39" i="18"/>
  <c r="C18" i="18"/>
  <c r="C16" i="18"/>
  <c r="C39" i="18"/>
  <c r="B8" i="35"/>
  <c r="B7" i="35" s="1"/>
  <c r="D16" i="24"/>
  <c r="F20" i="26"/>
  <c r="D26" i="26" s="1"/>
  <c r="C11" i="6"/>
  <c r="D39" i="18"/>
  <c r="C17" i="35"/>
  <c r="C18" i="35" s="1"/>
  <c r="D23" i="30"/>
  <c r="E18" i="18"/>
  <c r="B8" i="6"/>
  <c r="E16" i="18"/>
  <c r="E46" i="18"/>
  <c r="B23" i="5"/>
  <c r="C43" i="5"/>
  <c r="B12" i="5"/>
  <c r="D45" i="5"/>
  <c r="D53" i="5" s="1"/>
  <c r="B24" i="30"/>
  <c r="F8" i="19"/>
  <c r="C31" i="5"/>
  <c r="D31" i="5"/>
  <c r="B39" i="11"/>
  <c r="B10" i="52" s="1"/>
  <c r="E60" i="18"/>
  <c r="B61" i="18" s="1"/>
  <c r="I32" i="26"/>
  <c r="E32" i="26"/>
  <c r="D32" i="26"/>
  <c r="L37" i="26"/>
  <c r="M37" i="26"/>
  <c r="J32" i="26"/>
  <c r="D65" i="35"/>
  <c r="F32" i="26"/>
  <c r="N37" i="26"/>
  <c r="D36" i="35"/>
  <c r="B13" i="35"/>
  <c r="C95" i="35"/>
  <c r="D85" i="35"/>
  <c r="D31" i="26" s="1"/>
  <c r="E22" i="35"/>
  <c r="I8" i="19"/>
  <c r="G70" i="24"/>
  <c r="C19" i="19"/>
  <c r="D16" i="30"/>
  <c r="D39" i="35"/>
  <c r="C39" i="35"/>
  <c r="D9" i="35"/>
  <c r="D5" i="30" s="1"/>
  <c r="C23" i="30"/>
  <c r="C7" i="35"/>
  <c r="B85" i="35"/>
  <c r="C85" i="35"/>
  <c r="B95" i="35"/>
  <c r="C36" i="35"/>
  <c r="B47" i="18" l="1"/>
  <c r="B26" i="28" s="1"/>
  <c r="K32" i="26"/>
  <c r="B45" i="5"/>
  <c r="B53" i="5" s="1"/>
  <c r="D103" i="35"/>
  <c r="C33" i="5"/>
  <c r="B97" i="35"/>
  <c r="B33" i="30" s="1"/>
  <c r="D24" i="5"/>
  <c r="D33" i="5" s="1"/>
  <c r="C65" i="35"/>
  <c r="G28" i="28"/>
  <c r="D130" i="35"/>
  <c r="D131" i="35" s="1"/>
  <c r="D97" i="35"/>
  <c r="I30" i="26" s="1"/>
  <c r="D76" i="35"/>
  <c r="J31" i="26"/>
  <c r="M36" i="26"/>
  <c r="E31" i="26"/>
  <c r="D29" i="30"/>
  <c r="L20" i="26"/>
  <c r="C16" i="6"/>
  <c r="C18" i="6" s="1"/>
  <c r="C20" i="6" s="1"/>
  <c r="D68" i="18" s="1"/>
  <c r="B35" i="18"/>
  <c r="C32" i="19" s="1"/>
  <c r="B36" i="18"/>
  <c r="C33" i="19" s="1"/>
  <c r="I33" i="19" s="1"/>
  <c r="E72" i="35" s="1"/>
  <c r="E25" i="30" s="1"/>
  <c r="E29" i="30" s="1"/>
  <c r="B5" i="28"/>
  <c r="F22" i="35"/>
  <c r="B16" i="6"/>
  <c r="B18" i="6" s="1"/>
  <c r="B20" i="6" s="1"/>
  <c r="B23" i="6" s="1"/>
  <c r="B25" i="6" s="1"/>
  <c r="D29" i="35"/>
  <c r="C29" i="35"/>
  <c r="M45" i="26"/>
  <c r="N17" i="26"/>
  <c r="I27" i="26" s="1"/>
  <c r="I28" i="26" s="1"/>
  <c r="M11" i="26"/>
  <c r="M16" i="26" s="1"/>
  <c r="F27" i="26" s="1"/>
  <c r="O12" i="26"/>
  <c r="O17" i="26" s="1"/>
  <c r="K27" i="26" s="1"/>
  <c r="K28" i="26" s="1"/>
  <c r="O45" i="26"/>
  <c r="L45" i="26"/>
  <c r="M12" i="26"/>
  <c r="M17" i="26" s="1"/>
  <c r="G27" i="26" s="1"/>
  <c r="G28" i="26" s="1"/>
  <c r="M44" i="26"/>
  <c r="O47" i="26"/>
  <c r="N47" i="26"/>
  <c r="Q17" i="26"/>
  <c r="O27" i="26" s="1"/>
  <c r="O28" i="26" s="1"/>
  <c r="O33" i="26" s="1"/>
  <c r="Q16" i="26"/>
  <c r="N27" i="26" s="1"/>
  <c r="M47" i="26"/>
  <c r="L44" i="26"/>
  <c r="N16" i="26"/>
  <c r="H27" i="26" s="1"/>
  <c r="B32" i="11"/>
  <c r="B8" i="52" s="1"/>
  <c r="O11" i="26"/>
  <c r="O16" i="26" s="1"/>
  <c r="J27" i="26" s="1"/>
  <c r="N45" i="26"/>
  <c r="N44" i="26"/>
  <c r="L11" i="26"/>
  <c r="L16" i="26" s="1"/>
  <c r="D27" i="26" s="1"/>
  <c r="D28" i="26" s="1"/>
  <c r="L47" i="26"/>
  <c r="L12" i="26"/>
  <c r="L17" i="26" s="1"/>
  <c r="E27" i="26" s="1"/>
  <c r="E28" i="26" s="1"/>
  <c r="G31" i="26"/>
  <c r="F31" i="26"/>
  <c r="L36" i="26"/>
  <c r="N36" i="26"/>
  <c r="O36" i="26"/>
  <c r="B76" i="35"/>
  <c r="B78" i="35" s="1"/>
  <c r="B87" i="35" s="1"/>
  <c r="C9" i="35"/>
  <c r="C5" i="30" s="1"/>
  <c r="B24" i="35"/>
  <c r="B6" i="30" s="1"/>
  <c r="C24" i="30"/>
  <c r="C28" i="30" s="1"/>
  <c r="C13" i="35"/>
  <c r="C14" i="35" s="1"/>
  <c r="C16" i="35"/>
  <c r="D18" i="35"/>
  <c r="B19" i="18"/>
  <c r="E68" i="18"/>
  <c r="D23" i="6"/>
  <c r="D25" i="6" s="1"/>
  <c r="B34" i="18"/>
  <c r="C31" i="19" s="1"/>
  <c r="I31" i="19" s="1"/>
  <c r="E66" i="24" s="1"/>
  <c r="B25" i="30"/>
  <c r="C29" i="30" s="1"/>
  <c r="D13" i="30"/>
  <c r="D20" i="35"/>
  <c r="C15" i="30"/>
  <c r="C19" i="30"/>
  <c r="B23" i="30"/>
  <c r="C27" i="30" s="1"/>
  <c r="E7" i="35"/>
  <c r="B24" i="5"/>
  <c r="B33" i="5" s="1"/>
  <c r="C76" i="35"/>
  <c r="C97" i="35"/>
  <c r="C33" i="30" s="1"/>
  <c r="I31" i="26"/>
  <c r="H31" i="26"/>
  <c r="C45" i="5"/>
  <c r="C53" i="5" s="1"/>
  <c r="C127" i="35"/>
  <c r="C128" i="35" s="1"/>
  <c r="C130" i="35"/>
  <c r="C131" i="35" s="1"/>
  <c r="I19" i="19"/>
  <c r="J19" i="19" s="1"/>
  <c r="K19" i="19" s="1"/>
  <c r="E30" i="26"/>
  <c r="D105" i="35"/>
  <c r="D34" i="30" s="1"/>
  <c r="D24" i="35"/>
  <c r="D27" i="30"/>
  <c r="E85" i="35"/>
  <c r="E127" i="35" s="1"/>
  <c r="E128" i="35" s="1"/>
  <c r="D127" i="35"/>
  <c r="D128" i="35" s="1"/>
  <c r="E7" i="24"/>
  <c r="F7" i="24" s="1"/>
  <c r="E16" i="35"/>
  <c r="I9" i="19"/>
  <c r="C20" i="19" s="1"/>
  <c r="D30" i="26" l="1"/>
  <c r="K30" i="26"/>
  <c r="D33" i="30"/>
  <c r="G16" i="47"/>
  <c r="E17" i="35" s="1"/>
  <c r="E18" i="35" s="1"/>
  <c r="H16" i="47"/>
  <c r="F17" i="35" s="1"/>
  <c r="I16" i="47"/>
  <c r="G17" i="35" s="1"/>
  <c r="J16" i="47"/>
  <c r="H17" i="35" s="1"/>
  <c r="K16" i="47"/>
  <c r="I17" i="35" s="1"/>
  <c r="L16" i="47"/>
  <c r="J17" i="35" s="1"/>
  <c r="G22" i="35"/>
  <c r="C105" i="35"/>
  <c r="C34" i="30" s="1"/>
  <c r="C78" i="35"/>
  <c r="C49" i="30" s="1"/>
  <c r="B64" i="18"/>
  <c r="B30" i="28" s="1"/>
  <c r="B105" i="35"/>
  <c r="B34" i="30" s="1"/>
  <c r="D116" i="35"/>
  <c r="D117" i="35" s="1"/>
  <c r="D78" i="35"/>
  <c r="D49" i="30" s="1"/>
  <c r="L35" i="26"/>
  <c r="M35" i="26"/>
  <c r="M38" i="26" s="1"/>
  <c r="H30" i="26"/>
  <c r="J30" i="26"/>
  <c r="O35" i="26"/>
  <c r="O38" i="26" s="1"/>
  <c r="E92" i="35"/>
  <c r="H28" i="28" s="1"/>
  <c r="E89" i="24"/>
  <c r="G30" i="26"/>
  <c r="G33" i="26" s="1"/>
  <c r="F30" i="26"/>
  <c r="N35" i="26"/>
  <c r="D33" i="26"/>
  <c r="M46" i="26"/>
  <c r="C23" i="6"/>
  <c r="C25" i="6" s="1"/>
  <c r="C24" i="35"/>
  <c r="C26" i="35" s="1"/>
  <c r="C68" i="18"/>
  <c r="C109" i="24" s="1"/>
  <c r="D14" i="35"/>
  <c r="K33" i="26"/>
  <c r="L46" i="26"/>
  <c r="E33" i="26"/>
  <c r="B31" i="35"/>
  <c r="B37" i="30" s="1"/>
  <c r="B36" i="30"/>
  <c r="D36" i="30"/>
  <c r="D26" i="35"/>
  <c r="C116" i="35"/>
  <c r="C117" i="35" s="1"/>
  <c r="D28" i="30"/>
  <c r="D15" i="30"/>
  <c r="D18" i="30"/>
  <c r="D19" i="30"/>
  <c r="E109" i="24"/>
  <c r="D109" i="24"/>
  <c r="I33" i="26"/>
  <c r="D62" i="30"/>
  <c r="C62" i="30"/>
  <c r="E8" i="24"/>
  <c r="E17" i="24" s="1"/>
  <c r="E18" i="24" s="1"/>
  <c r="L19" i="19"/>
  <c r="M19" i="19" s="1"/>
  <c r="I20" i="19"/>
  <c r="J20" i="19" s="1"/>
  <c r="E69" i="24"/>
  <c r="F85" i="35"/>
  <c r="F127" i="35" s="1"/>
  <c r="F128" i="35" s="1"/>
  <c r="D31" i="35"/>
  <c r="D33" i="35" s="1"/>
  <c r="H20" i="26"/>
  <c r="D6" i="30"/>
  <c r="I32" i="19"/>
  <c r="E67" i="24" s="1"/>
  <c r="G26" i="28"/>
  <c r="G31" i="28" s="1"/>
  <c r="E115" i="24"/>
  <c r="E69" i="35"/>
  <c r="E23" i="30" s="1"/>
  <c r="E27" i="30" s="1"/>
  <c r="E118" i="35"/>
  <c r="E12" i="30" s="1"/>
  <c r="E16" i="30" s="1"/>
  <c r="F7" i="35"/>
  <c r="J31" i="19"/>
  <c r="J33" i="19"/>
  <c r="J9" i="19"/>
  <c r="G20" i="26"/>
  <c r="F9" i="35"/>
  <c r="F5" i="30" s="1"/>
  <c r="G7" i="24"/>
  <c r="G8" i="24" s="1"/>
  <c r="F8" i="24"/>
  <c r="B41" i="35" l="1"/>
  <c r="C31" i="35"/>
  <c r="C33" i="35" s="1"/>
  <c r="C25" i="35"/>
  <c r="C36" i="30"/>
  <c r="F18" i="35"/>
  <c r="E15" i="24"/>
  <c r="E9" i="24"/>
  <c r="C57" i="30"/>
  <c r="D57" i="30"/>
  <c r="D87" i="35"/>
  <c r="C87" i="35"/>
  <c r="F92" i="35"/>
  <c r="I28" i="28" s="1"/>
  <c r="F89" i="24"/>
  <c r="B69" i="18"/>
  <c r="G45" i="35" s="1"/>
  <c r="G55" i="30" s="1"/>
  <c r="D25" i="35"/>
  <c r="C6" i="30"/>
  <c r="B7" i="30"/>
  <c r="D111" i="24"/>
  <c r="D116" i="24" s="1"/>
  <c r="D118" i="24"/>
  <c r="C111" i="24"/>
  <c r="C116" i="24" s="1"/>
  <c r="C118" i="24"/>
  <c r="E88" i="24"/>
  <c r="E92" i="24" s="1"/>
  <c r="E127" i="24" s="1"/>
  <c r="E128" i="24" s="1"/>
  <c r="E91" i="35"/>
  <c r="E95" i="35" s="1"/>
  <c r="E130" i="35" s="1"/>
  <c r="E131" i="35" s="1"/>
  <c r="E73" i="24"/>
  <c r="E113" i="24" s="1"/>
  <c r="E114" i="24" s="1"/>
  <c r="E70" i="35"/>
  <c r="E24" i="30" s="1"/>
  <c r="E28" i="30" s="1"/>
  <c r="H22" i="35"/>
  <c r="B53" i="35"/>
  <c r="B8" i="30" s="1"/>
  <c r="B45" i="35"/>
  <c r="G85" i="35"/>
  <c r="G127" i="35" s="1"/>
  <c r="G128" i="35" s="1"/>
  <c r="K20" i="19"/>
  <c r="L20" i="19" s="1"/>
  <c r="D111" i="35"/>
  <c r="D56" i="30"/>
  <c r="D37" i="30"/>
  <c r="D32" i="35"/>
  <c r="D7" i="30"/>
  <c r="D41" i="35"/>
  <c r="N20" i="26"/>
  <c r="H26" i="26"/>
  <c r="C32" i="35"/>
  <c r="C56" i="30"/>
  <c r="C7" i="30"/>
  <c r="C41" i="35"/>
  <c r="C111" i="35"/>
  <c r="C37" i="30"/>
  <c r="F115" i="24"/>
  <c r="C21" i="19"/>
  <c r="I21" i="19" s="1"/>
  <c r="F118" i="35"/>
  <c r="F12" i="30" s="1"/>
  <c r="E16" i="24"/>
  <c r="F72" i="35"/>
  <c r="F25" i="30" s="1"/>
  <c r="F29" i="30" s="1"/>
  <c r="F69" i="24"/>
  <c r="M20" i="26"/>
  <c r="F26" i="26"/>
  <c r="F28" i="26" s="1"/>
  <c r="F33" i="26" s="1"/>
  <c r="F69" i="35"/>
  <c r="F66" i="24"/>
  <c r="F15" i="24"/>
  <c r="F9" i="24"/>
  <c r="F17" i="24"/>
  <c r="F18" i="24" s="1"/>
  <c r="G30" i="28"/>
  <c r="G17" i="24"/>
  <c r="G15" i="24"/>
  <c r="G9" i="24"/>
  <c r="F16" i="35"/>
  <c r="J32" i="19"/>
  <c r="H26" i="28"/>
  <c r="F45" i="35" l="1"/>
  <c r="F55" i="30" s="1"/>
  <c r="E45" i="35"/>
  <c r="E55" i="30" s="1"/>
  <c r="J45" i="35"/>
  <c r="J55" i="30" s="1"/>
  <c r="H45" i="35"/>
  <c r="H46" i="35" s="1"/>
  <c r="I45" i="35"/>
  <c r="I55" i="30" s="1"/>
  <c r="G92" i="35"/>
  <c r="J28" i="28" s="1"/>
  <c r="H92" i="35" s="1"/>
  <c r="G89" i="24"/>
  <c r="C129" i="24"/>
  <c r="D129" i="24"/>
  <c r="E76" i="35"/>
  <c r="E116" i="35" s="1"/>
  <c r="E117" i="35" s="1"/>
  <c r="H85" i="35"/>
  <c r="H127" i="35" s="1"/>
  <c r="H128" i="35" s="1"/>
  <c r="I85" i="35"/>
  <c r="J85" i="35"/>
  <c r="J22" i="35"/>
  <c r="I22" i="35"/>
  <c r="M20" i="19"/>
  <c r="C53" i="35"/>
  <c r="C42" i="35"/>
  <c r="C45" i="35"/>
  <c r="C112" i="35" s="1"/>
  <c r="D53" i="35"/>
  <c r="D45" i="35"/>
  <c r="D112" i="35" s="1"/>
  <c r="D42" i="35"/>
  <c r="N46" i="26"/>
  <c r="H28" i="26"/>
  <c r="H33" i="26" s="1"/>
  <c r="G18" i="24"/>
  <c r="F67" i="24"/>
  <c r="F73" i="24" s="1"/>
  <c r="F113" i="24" s="1"/>
  <c r="F114" i="24" s="1"/>
  <c r="F70" i="35"/>
  <c r="F24" i="30" s="1"/>
  <c r="F28" i="30" s="1"/>
  <c r="F16" i="30"/>
  <c r="F91" i="35"/>
  <c r="F95" i="35" s="1"/>
  <c r="F130" i="35" s="1"/>
  <c r="F131" i="35" s="1"/>
  <c r="H31" i="28"/>
  <c r="H30" i="28" s="1"/>
  <c r="F88" i="24"/>
  <c r="F92" i="24" s="1"/>
  <c r="F127" i="24" s="1"/>
  <c r="F128" i="24" s="1"/>
  <c r="F16" i="24"/>
  <c r="K33" i="19"/>
  <c r="K9" i="19"/>
  <c r="C22" i="19" s="1"/>
  <c r="K31" i="19"/>
  <c r="G18" i="35"/>
  <c r="G7" i="35"/>
  <c r="G9" i="35"/>
  <c r="G5" i="30" s="1"/>
  <c r="E35" i="35"/>
  <c r="E33" i="24"/>
  <c r="G16" i="24"/>
  <c r="F23" i="30"/>
  <c r="F27" i="30" s="1"/>
  <c r="D55" i="35" l="1"/>
  <c r="D134" i="35"/>
  <c r="C55" i="35"/>
  <c r="C134" i="35"/>
  <c r="C121" i="35"/>
  <c r="C48" i="30"/>
  <c r="C50" i="30" s="1"/>
  <c r="C114" i="35"/>
  <c r="C119" i="35" s="1"/>
  <c r="D18" i="52" s="1"/>
  <c r="D121" i="35"/>
  <c r="D48" i="30"/>
  <c r="D50" i="30" s="1"/>
  <c r="D114" i="35"/>
  <c r="D119" i="35" s="1"/>
  <c r="E18" i="52" s="1"/>
  <c r="G46" i="35"/>
  <c r="F46" i="35"/>
  <c r="H55" i="30"/>
  <c r="J46" i="35"/>
  <c r="I46" i="35"/>
  <c r="K28" i="28"/>
  <c r="I92" i="35" s="1"/>
  <c r="L28" i="28" s="1"/>
  <c r="J92" i="35" s="1"/>
  <c r="J127" i="35"/>
  <c r="J128" i="35" s="1"/>
  <c r="I127" i="35"/>
  <c r="I128" i="35" s="1"/>
  <c r="I26" i="28"/>
  <c r="G88" i="24" s="1"/>
  <c r="G92" i="24" s="1"/>
  <c r="G127" i="24" s="1"/>
  <c r="G128" i="24" s="1"/>
  <c r="I22" i="19"/>
  <c r="C46" i="35"/>
  <c r="C55" i="30"/>
  <c r="C58" i="30" s="1"/>
  <c r="C59" i="30" s="1"/>
  <c r="D8" i="30"/>
  <c r="D61" i="30"/>
  <c r="J20" i="26"/>
  <c r="P20" i="26" s="1"/>
  <c r="B30" i="11" s="1"/>
  <c r="B9" i="52" s="1"/>
  <c r="D54" i="35"/>
  <c r="D55" i="30"/>
  <c r="D58" i="30" s="1"/>
  <c r="D59" i="30" s="1"/>
  <c r="D46" i="35"/>
  <c r="E46" i="35"/>
  <c r="C61" i="30"/>
  <c r="C8" i="30"/>
  <c r="C54" i="35"/>
  <c r="F76" i="35"/>
  <c r="F116" i="35" s="1"/>
  <c r="F117" i="35" s="1"/>
  <c r="G16" i="35"/>
  <c r="K32" i="19"/>
  <c r="G69" i="35"/>
  <c r="G66" i="24"/>
  <c r="F35" i="35"/>
  <c r="F33" i="24"/>
  <c r="E120" i="24"/>
  <c r="E118" i="24"/>
  <c r="E34" i="24"/>
  <c r="G115" i="24"/>
  <c r="G118" i="35"/>
  <c r="G12" i="30" s="1"/>
  <c r="J21" i="19"/>
  <c r="E123" i="35"/>
  <c r="E36" i="35"/>
  <c r="G72" i="35"/>
  <c r="G25" i="30" s="1"/>
  <c r="G29" i="30" s="1"/>
  <c r="G69" i="24"/>
  <c r="D39" i="30" l="1"/>
  <c r="D132" i="35"/>
  <c r="D136" i="35" s="1"/>
  <c r="C39" i="30"/>
  <c r="C132" i="35"/>
  <c r="C136" i="35" s="1"/>
  <c r="B46" i="11"/>
  <c r="B7" i="52" s="1"/>
  <c r="G91" i="35"/>
  <c r="G95" i="35" s="1"/>
  <c r="G130" i="35" s="1"/>
  <c r="G131" i="35" s="1"/>
  <c r="I31" i="28"/>
  <c r="L31" i="19"/>
  <c r="H69" i="35" s="1"/>
  <c r="H23" i="30" s="1"/>
  <c r="L9" i="19"/>
  <c r="H18" i="35"/>
  <c r="L33" i="19"/>
  <c r="H72" i="35" s="1"/>
  <c r="H25" i="30" s="1"/>
  <c r="H29" i="30" s="1"/>
  <c r="H9" i="35"/>
  <c r="H5" i="30" s="1"/>
  <c r="H7" i="35"/>
  <c r="K21" i="19"/>
  <c r="L26" i="26"/>
  <c r="F120" i="24"/>
  <c r="F34" i="24"/>
  <c r="F118" i="24"/>
  <c r="G16" i="30"/>
  <c r="F36" i="35"/>
  <c r="F123" i="35"/>
  <c r="G70" i="35"/>
  <c r="G24" i="30" s="1"/>
  <c r="G28" i="30" s="1"/>
  <c r="G67" i="24"/>
  <c r="G73" i="24" s="1"/>
  <c r="G113" i="24" s="1"/>
  <c r="G114" i="24" s="1"/>
  <c r="G23" i="30"/>
  <c r="G27" i="30" s="1"/>
  <c r="H19" i="52" l="1"/>
  <c r="J19" i="52"/>
  <c r="G19" i="52"/>
  <c r="I19" i="52"/>
  <c r="F19" i="52"/>
  <c r="H27" i="30"/>
  <c r="C23" i="19"/>
  <c r="I23" i="19" s="1"/>
  <c r="J23" i="19" s="1"/>
  <c r="K23" i="19" s="1"/>
  <c r="H118" i="35"/>
  <c r="H12" i="30" s="1"/>
  <c r="J26" i="28"/>
  <c r="H16" i="35"/>
  <c r="L32" i="19"/>
  <c r="H70" i="35" s="1"/>
  <c r="I30" i="28"/>
  <c r="L21" i="19"/>
  <c r="L28" i="26"/>
  <c r="L33" i="26" s="1"/>
  <c r="L38" i="26" s="1"/>
  <c r="P46" i="26"/>
  <c r="G76" i="35"/>
  <c r="G116" i="35" s="1"/>
  <c r="G117" i="35" s="1"/>
  <c r="H16" i="30" l="1"/>
  <c r="H76" i="35"/>
  <c r="H116" i="35" s="1"/>
  <c r="H117" i="35" s="1"/>
  <c r="H24" i="30"/>
  <c r="H28" i="30" s="1"/>
  <c r="L23" i="19"/>
  <c r="M23" i="19" s="1"/>
  <c r="G35" i="35"/>
  <c r="G33" i="24"/>
  <c r="J31" i="28"/>
  <c r="H91" i="35"/>
  <c r="H95" i="35" s="1"/>
  <c r="H130" i="35" s="1"/>
  <c r="H131" i="35" s="1"/>
  <c r="I7" i="35"/>
  <c r="M31" i="19"/>
  <c r="I69" i="35" s="1"/>
  <c r="I23" i="30" s="1"/>
  <c r="I27" i="30" s="1"/>
  <c r="I18" i="35"/>
  <c r="M9" i="19"/>
  <c r="M33" i="19"/>
  <c r="I72" i="35" s="1"/>
  <c r="I25" i="30" s="1"/>
  <c r="I29" i="30" s="1"/>
  <c r="I9" i="35"/>
  <c r="I5" i="30" s="1"/>
  <c r="M21" i="19"/>
  <c r="C24" i="19" l="1"/>
  <c r="I24" i="19" s="1"/>
  <c r="I25" i="19" s="1"/>
  <c r="I118" i="35"/>
  <c r="I12" i="30" s="1"/>
  <c r="J30" i="28"/>
  <c r="H35" i="35" s="1"/>
  <c r="M32" i="19"/>
  <c r="I70" i="35" s="1"/>
  <c r="I16" i="35"/>
  <c r="G118" i="24"/>
  <c r="G34" i="24"/>
  <c r="G120" i="24"/>
  <c r="K26" i="28"/>
  <c r="G123" i="35"/>
  <c r="G36" i="35"/>
  <c r="J24" i="19" l="1"/>
  <c r="K24" i="19" s="1"/>
  <c r="I16" i="30"/>
  <c r="I76" i="35"/>
  <c r="I116" i="35" s="1"/>
  <c r="I117" i="35" s="1"/>
  <c r="I24" i="30"/>
  <c r="I28" i="30" s="1"/>
  <c r="H36" i="35"/>
  <c r="H123" i="35"/>
  <c r="I91" i="35"/>
  <c r="I95" i="35" s="1"/>
  <c r="I130" i="35" s="1"/>
  <c r="I131" i="35" s="1"/>
  <c r="K31" i="28"/>
  <c r="K30" i="28" s="1"/>
  <c r="I35" i="35" s="1"/>
  <c r="I10" i="19"/>
  <c r="J10" i="19"/>
  <c r="J18" i="35"/>
  <c r="N33" i="19"/>
  <c r="J72" i="35" s="1"/>
  <c r="J25" i="30" s="1"/>
  <c r="J29" i="30" s="1"/>
  <c r="N31" i="19"/>
  <c r="J69" i="35" s="1"/>
  <c r="J23" i="30" s="1"/>
  <c r="J27" i="30" s="1"/>
  <c r="N9" i="19"/>
  <c r="J9" i="35"/>
  <c r="J5" i="30" s="1"/>
  <c r="J7" i="35"/>
  <c r="L24" i="19" l="1"/>
  <c r="M24" i="19" s="1"/>
  <c r="I36" i="35"/>
  <c r="I123" i="35"/>
  <c r="N25" i="19"/>
  <c r="J118" i="35"/>
  <c r="J12" i="30" s="1"/>
  <c r="L26" i="28"/>
  <c r="J16" i="35"/>
  <c r="N32" i="19"/>
  <c r="J70" i="35" s="1"/>
  <c r="J22" i="19"/>
  <c r="E19" i="24"/>
  <c r="I11" i="19"/>
  <c r="E19" i="35"/>
  <c r="E28" i="35"/>
  <c r="N10" i="19" l="1"/>
  <c r="J28" i="35"/>
  <c r="J19" i="35"/>
  <c r="J13" i="30" s="1"/>
  <c r="J15" i="30" s="1"/>
  <c r="J16" i="30"/>
  <c r="J76" i="35"/>
  <c r="J116" i="35" s="1"/>
  <c r="J117" i="35" s="1"/>
  <c r="J24" i="30"/>
  <c r="J28" i="30" s="1"/>
  <c r="J25" i="19"/>
  <c r="J91" i="35"/>
  <c r="J95" i="35" s="1"/>
  <c r="J130" i="35" s="1"/>
  <c r="J131" i="35" s="1"/>
  <c r="L31" i="28"/>
  <c r="L30" i="28" s="1"/>
  <c r="J35" i="35" s="1"/>
  <c r="K22" i="19"/>
  <c r="K25" i="19" s="1"/>
  <c r="E29" i="35"/>
  <c r="E113" i="35"/>
  <c r="E13" i="30"/>
  <c r="E13" i="35"/>
  <c r="E20" i="35"/>
  <c r="E27" i="24"/>
  <c r="E13" i="24"/>
  <c r="E24" i="24"/>
  <c r="E20" i="24"/>
  <c r="J8" i="19"/>
  <c r="E63" i="35"/>
  <c r="E65" i="35" s="1"/>
  <c r="E78" i="35" s="1"/>
  <c r="E60" i="24"/>
  <c r="E62" i="24" s="1"/>
  <c r="E75" i="24" s="1"/>
  <c r="E84" i="24" s="1"/>
  <c r="K10" i="19" l="1"/>
  <c r="F28" i="35"/>
  <c r="F113" i="35" s="1"/>
  <c r="L10" i="19"/>
  <c r="G28" i="35"/>
  <c r="F19" i="24"/>
  <c r="J18" i="30"/>
  <c r="J113" i="35"/>
  <c r="J13" i="35"/>
  <c r="J24" i="35" s="1"/>
  <c r="J36" i="35"/>
  <c r="J123" i="35"/>
  <c r="F19" i="35"/>
  <c r="J11" i="19"/>
  <c r="F60" i="24" s="1"/>
  <c r="F62" i="24" s="1"/>
  <c r="F75" i="24" s="1"/>
  <c r="F84" i="24" s="1"/>
  <c r="G19" i="35"/>
  <c r="G19" i="24"/>
  <c r="L22" i="19"/>
  <c r="L25" i="19" s="1"/>
  <c r="H28" i="35" s="1"/>
  <c r="E87" i="35"/>
  <c r="E49" i="30"/>
  <c r="E57" i="30"/>
  <c r="E28" i="24"/>
  <c r="E110" i="24"/>
  <c r="E19" i="30"/>
  <c r="E18" i="30"/>
  <c r="E15" i="30"/>
  <c r="E25" i="24"/>
  <c r="E30" i="24"/>
  <c r="E24" i="35"/>
  <c r="E26" i="35" s="1"/>
  <c r="E14" i="35"/>
  <c r="J6" i="30" l="1"/>
  <c r="J26" i="35"/>
  <c r="G20" i="24"/>
  <c r="F20" i="24"/>
  <c r="F13" i="24"/>
  <c r="F24" i="24"/>
  <c r="C12" i="25"/>
  <c r="H4" i="25" s="1"/>
  <c r="H6" i="25" s="1"/>
  <c r="H21" i="25" s="1"/>
  <c r="F27" i="24"/>
  <c r="F29" i="35"/>
  <c r="J31" i="35"/>
  <c r="L19" i="47" s="1"/>
  <c r="J112" i="35" s="1"/>
  <c r="K8" i="19"/>
  <c r="K11" i="19" s="1"/>
  <c r="L8" i="19" s="1"/>
  <c r="L11" i="19" s="1"/>
  <c r="H63" i="35" s="1"/>
  <c r="H65" i="35" s="1"/>
  <c r="H78" i="35" s="1"/>
  <c r="H19" i="35"/>
  <c r="H13" i="30" s="1"/>
  <c r="M10" i="19"/>
  <c r="F13" i="30"/>
  <c r="F20" i="35"/>
  <c r="F13" i="35"/>
  <c r="G13" i="30"/>
  <c r="G18" i="30" s="1"/>
  <c r="F63" i="35"/>
  <c r="F65" i="35" s="1"/>
  <c r="F78" i="35" s="1"/>
  <c r="G13" i="35"/>
  <c r="G27" i="24"/>
  <c r="G110" i="24" s="1"/>
  <c r="G24" i="24"/>
  <c r="G13" i="24"/>
  <c r="G20" i="35"/>
  <c r="M22" i="19"/>
  <c r="G113" i="35"/>
  <c r="G29" i="35"/>
  <c r="E31" i="35"/>
  <c r="E25" i="35"/>
  <c r="E6" i="30"/>
  <c r="I20" i="26"/>
  <c r="E108" i="24"/>
  <c r="E111" i="24" s="1"/>
  <c r="E116" i="24" s="1"/>
  <c r="E31" i="24"/>
  <c r="E33" i="35" l="1"/>
  <c r="G19" i="47"/>
  <c r="E112" i="35" s="1"/>
  <c r="J111" i="35"/>
  <c r="J114" i="35" s="1"/>
  <c r="J119" i="35" s="1"/>
  <c r="K18" i="52" s="1"/>
  <c r="J21" i="52" s="1"/>
  <c r="E24" i="52" s="1"/>
  <c r="J33" i="35"/>
  <c r="C10" i="25"/>
  <c r="C17" i="25" s="1"/>
  <c r="G63" i="35"/>
  <c r="G65" i="35" s="1"/>
  <c r="G78" i="35" s="1"/>
  <c r="G57" i="30" s="1"/>
  <c r="D12" i="25"/>
  <c r="I4" i="25" s="1"/>
  <c r="I6" i="25" s="1"/>
  <c r="I21" i="25" s="1"/>
  <c r="G60" i="24"/>
  <c r="G62" i="24" s="1"/>
  <c r="G75" i="24" s="1"/>
  <c r="G84" i="24" s="1"/>
  <c r="F30" i="24"/>
  <c r="F25" i="24"/>
  <c r="F110" i="24"/>
  <c r="F28" i="24"/>
  <c r="H18" i="30"/>
  <c r="H19" i="30"/>
  <c r="H15" i="30"/>
  <c r="J7" i="30"/>
  <c r="J56" i="30"/>
  <c r="H87" i="35"/>
  <c r="H49" i="30"/>
  <c r="H57" i="30"/>
  <c r="M8" i="19"/>
  <c r="M11" i="19" s="1"/>
  <c r="I63" i="35" s="1"/>
  <c r="I65" i="35" s="1"/>
  <c r="I78" i="35" s="1"/>
  <c r="F18" i="30"/>
  <c r="F15" i="30"/>
  <c r="H20" i="35"/>
  <c r="H13" i="35"/>
  <c r="M25" i="19"/>
  <c r="G14" i="35"/>
  <c r="G24" i="35"/>
  <c r="F24" i="35"/>
  <c r="F26" i="35" s="1"/>
  <c r="F14" i="35"/>
  <c r="G15" i="30"/>
  <c r="G28" i="24"/>
  <c r="G30" i="24"/>
  <c r="F19" i="30"/>
  <c r="G25" i="24"/>
  <c r="F57" i="30"/>
  <c r="F87" i="35"/>
  <c r="F49" i="30"/>
  <c r="O20" i="26"/>
  <c r="J26" i="26"/>
  <c r="E56" i="30"/>
  <c r="E58" i="30" s="1"/>
  <c r="E111" i="35"/>
  <c r="E7" i="30"/>
  <c r="E32" i="35"/>
  <c r="I19" i="35" l="1"/>
  <c r="I13" i="30" s="1"/>
  <c r="I15" i="30" s="1"/>
  <c r="I28" i="35"/>
  <c r="I113" i="35" s="1"/>
  <c r="J48" i="30"/>
  <c r="G19" i="30"/>
  <c r="G6" i="30"/>
  <c r="G26" i="35"/>
  <c r="G87" i="35"/>
  <c r="G49" i="30"/>
  <c r="D10" i="25"/>
  <c r="D17" i="25" s="1"/>
  <c r="F108" i="24"/>
  <c r="F111" i="24" s="1"/>
  <c r="F116" i="24" s="1"/>
  <c r="F129" i="24" s="1"/>
  <c r="F135" i="24" s="1"/>
  <c r="F138" i="24" s="1"/>
  <c r="F119" i="24" s="1"/>
  <c r="F36" i="24" s="1"/>
  <c r="F39" i="24" s="1"/>
  <c r="F42" i="24" s="1"/>
  <c r="F51" i="24" s="1"/>
  <c r="F131" i="24" s="1"/>
  <c r="F132" i="24" s="1"/>
  <c r="F31" i="24"/>
  <c r="G31" i="24"/>
  <c r="I18" i="30"/>
  <c r="N8" i="19"/>
  <c r="N11" i="19" s="1"/>
  <c r="J63" i="35" s="1"/>
  <c r="J19" i="30" s="1"/>
  <c r="I87" i="35"/>
  <c r="I57" i="30"/>
  <c r="I49" i="30"/>
  <c r="H29" i="35"/>
  <c r="H113" i="35"/>
  <c r="G108" i="24"/>
  <c r="G111" i="24" s="1"/>
  <c r="G116" i="24" s="1"/>
  <c r="G129" i="24" s="1"/>
  <c r="G135" i="24" s="1"/>
  <c r="G138" i="24" s="1"/>
  <c r="G119" i="24" s="1"/>
  <c r="G36" i="24" s="1"/>
  <c r="G39" i="24" s="1"/>
  <c r="G42" i="24" s="1"/>
  <c r="G51" i="24" s="1"/>
  <c r="G131" i="24" s="1"/>
  <c r="C15" i="32" s="1"/>
  <c r="H14" i="35"/>
  <c r="H24" i="35"/>
  <c r="F6" i="30"/>
  <c r="F31" i="35"/>
  <c r="F25" i="35"/>
  <c r="G25" i="35"/>
  <c r="G31" i="35"/>
  <c r="I19" i="47" s="1"/>
  <c r="G112" i="35" s="1"/>
  <c r="O46" i="26"/>
  <c r="J28" i="26"/>
  <c r="J33" i="26" s="1"/>
  <c r="E48" i="30"/>
  <c r="E50" i="30" s="1"/>
  <c r="E59" i="30" s="1"/>
  <c r="J20" i="35" l="1"/>
  <c r="I13" i="35"/>
  <c r="I24" i="35" s="1"/>
  <c r="I20" i="35"/>
  <c r="I19" i="30"/>
  <c r="F33" i="35"/>
  <c r="H19" i="47"/>
  <c r="F112" i="35" s="1"/>
  <c r="G7" i="30"/>
  <c r="G33" i="35"/>
  <c r="H6" i="30"/>
  <c r="H26" i="35"/>
  <c r="J65" i="35"/>
  <c r="J78" i="35" s="1"/>
  <c r="J87" i="35" s="1"/>
  <c r="G40" i="24"/>
  <c r="G52" i="24"/>
  <c r="G32" i="35"/>
  <c r="G132" i="24"/>
  <c r="C16" i="32" s="1"/>
  <c r="H31" i="35"/>
  <c r="H25" i="35"/>
  <c r="I14" i="35"/>
  <c r="J14" i="35"/>
  <c r="F7" i="30"/>
  <c r="F56" i="30"/>
  <c r="F58" i="30" s="1"/>
  <c r="F111" i="35"/>
  <c r="F32" i="35"/>
  <c r="I29" i="35"/>
  <c r="J29" i="35"/>
  <c r="G111" i="35"/>
  <c r="G56" i="30"/>
  <c r="G58" i="30" s="1"/>
  <c r="E114" i="35"/>
  <c r="E119" i="35" s="1"/>
  <c r="F18" i="52" s="1"/>
  <c r="F20" i="52" s="1"/>
  <c r="H33" i="35" l="1"/>
  <c r="J19" i="47"/>
  <c r="H112" i="35" s="1"/>
  <c r="I6" i="30"/>
  <c r="I26" i="35"/>
  <c r="J57" i="30"/>
  <c r="J58" i="30" s="1"/>
  <c r="J49" i="30"/>
  <c r="J50" i="30" s="1"/>
  <c r="H111" i="35"/>
  <c r="H56" i="30"/>
  <c r="H58" i="30" s="1"/>
  <c r="H7" i="30"/>
  <c r="F48" i="30"/>
  <c r="F50" i="30" s="1"/>
  <c r="F59" i="30" s="1"/>
  <c r="I31" i="35"/>
  <c r="I25" i="35"/>
  <c r="J25" i="35"/>
  <c r="H32" i="35"/>
  <c r="G48" i="30"/>
  <c r="G50" i="30" s="1"/>
  <c r="G59" i="30" s="1"/>
  <c r="H114" i="35" l="1"/>
  <c r="H119" i="35" s="1"/>
  <c r="I18" i="52" s="1"/>
  <c r="I20" i="52" s="1"/>
  <c r="I33" i="35"/>
  <c r="K19" i="47"/>
  <c r="I112" i="35" s="1"/>
  <c r="J59" i="30"/>
  <c r="F114" i="35"/>
  <c r="H48" i="30"/>
  <c r="H50" i="30" s="1"/>
  <c r="H59" i="30" s="1"/>
  <c r="I111" i="35"/>
  <c r="I56" i="30"/>
  <c r="I58" i="30" s="1"/>
  <c r="I7" i="30"/>
  <c r="G114" i="35"/>
  <c r="G119" i="35" s="1"/>
  <c r="H18" i="52" s="1"/>
  <c r="H20" i="52" s="1"/>
  <c r="I32" i="35"/>
  <c r="J32" i="35"/>
  <c r="F119" i="35" l="1"/>
  <c r="G18" i="52" s="1"/>
  <c r="G20" i="52" s="1"/>
  <c r="I114" i="35"/>
  <c r="I119" i="35" s="1"/>
  <c r="J18" i="52" s="1"/>
  <c r="J20" i="52" s="1"/>
  <c r="I48" i="30"/>
  <c r="I50" i="30" s="1"/>
  <c r="I59" i="30" s="1"/>
  <c r="E23" i="52" l="1"/>
  <c r="E26" i="52" s="1"/>
  <c r="C30" i="52" s="1"/>
  <c r="C35" i="52" s="1"/>
  <c r="C38" i="52" s="1"/>
  <c r="E129" i="24"/>
  <c r="E135" i="24" s="1"/>
  <c r="E138" i="24" s="1"/>
  <c r="E139" i="24" s="1"/>
  <c r="E119" i="24" l="1"/>
  <c r="E36" i="24" s="1"/>
  <c r="E39" i="24" s="1"/>
  <c r="E93" i="24"/>
  <c r="E94" i="24" s="1"/>
  <c r="E102" i="24" s="1"/>
  <c r="E96" i="24" s="1"/>
  <c r="F137" i="24"/>
  <c r="F139" i="24" s="1"/>
  <c r="E40" i="24" l="1"/>
  <c r="E42" i="24"/>
  <c r="E51" i="24" s="1"/>
  <c r="F40" i="24"/>
  <c r="G137" i="24"/>
  <c r="G139" i="24" s="1"/>
  <c r="G93" i="24" s="1"/>
  <c r="G94" i="24" s="1"/>
  <c r="G102" i="24" s="1"/>
  <c r="G96" i="24" s="1"/>
  <c r="F93" i="24"/>
  <c r="F94" i="24" s="1"/>
  <c r="F102" i="24" s="1"/>
  <c r="F96" i="24" s="1"/>
  <c r="E131" i="24" l="1"/>
  <c r="E132" i="24" s="1"/>
  <c r="F52" i="24"/>
  <c r="E52" i="24"/>
  <c r="E8" i="30"/>
  <c r="F8" i="30"/>
  <c r="G8" i="30"/>
  <c r="H8" i="30"/>
  <c r="I8" i="30"/>
  <c r="J8" i="30"/>
  <c r="E33" i="30"/>
  <c r="F33" i="30"/>
  <c r="G33" i="30"/>
  <c r="H33" i="30"/>
  <c r="I33" i="30"/>
  <c r="J33" i="30"/>
  <c r="E34" i="30"/>
  <c r="F34" i="30"/>
  <c r="G34" i="30"/>
  <c r="H34" i="30"/>
  <c r="I34" i="30"/>
  <c r="J34" i="30"/>
  <c r="E36" i="30"/>
  <c r="F36" i="30"/>
  <c r="G36" i="30"/>
  <c r="H36" i="30"/>
  <c r="I36" i="30"/>
  <c r="J36" i="30"/>
  <c r="E37" i="30"/>
  <c r="F37" i="30"/>
  <c r="G37" i="30"/>
  <c r="H37" i="30"/>
  <c r="I37" i="30"/>
  <c r="J37" i="30"/>
  <c r="E39" i="30"/>
  <c r="F39" i="30"/>
  <c r="G39" i="30"/>
  <c r="H39" i="30"/>
  <c r="I39" i="30"/>
  <c r="J39" i="30"/>
  <c r="E61" i="30"/>
  <c r="F61" i="30"/>
  <c r="G61" i="30"/>
  <c r="H61" i="30"/>
  <c r="I61" i="30"/>
  <c r="J61" i="30"/>
  <c r="E62" i="30"/>
  <c r="F62" i="30"/>
  <c r="G62" i="30"/>
  <c r="H62" i="30"/>
  <c r="I62" i="30"/>
  <c r="J62" i="30"/>
  <c r="G4" i="28"/>
  <c r="H4" i="28"/>
  <c r="I4" i="28"/>
  <c r="J4" i="28"/>
  <c r="K4" i="28"/>
  <c r="L4" i="28"/>
  <c r="G5" i="28"/>
  <c r="H5" i="28"/>
  <c r="I5" i="28"/>
  <c r="J5" i="28"/>
  <c r="K5" i="28"/>
  <c r="L5" i="28"/>
  <c r="H11" i="28"/>
  <c r="I11" i="28"/>
  <c r="J11" i="28"/>
  <c r="K11" i="28"/>
  <c r="L11" i="28"/>
  <c r="G12" i="28"/>
  <c r="H12" i="28"/>
  <c r="I12" i="28"/>
  <c r="J12" i="28"/>
  <c r="K12" i="28"/>
  <c r="L12" i="28"/>
  <c r="G13" i="28"/>
  <c r="H13" i="28"/>
  <c r="I13" i="28"/>
  <c r="J13" i="28"/>
  <c r="K13" i="28"/>
  <c r="L13" i="28"/>
  <c r="G14" i="28"/>
  <c r="H14" i="28"/>
  <c r="I14" i="28"/>
  <c r="J14" i="28"/>
  <c r="K14" i="28"/>
  <c r="L14" i="28"/>
  <c r="G21" i="28"/>
  <c r="H21" i="28"/>
  <c r="I21" i="28"/>
  <c r="J21" i="28"/>
  <c r="K21" i="28"/>
  <c r="L21" i="28"/>
  <c r="H39" i="28"/>
  <c r="I39" i="28"/>
  <c r="J39" i="28"/>
  <c r="K39" i="28"/>
  <c r="L39" i="28"/>
  <c r="G40" i="28"/>
  <c r="H40" i="28"/>
  <c r="I40" i="28"/>
  <c r="J40" i="28"/>
  <c r="K40" i="28"/>
  <c r="L40" i="28"/>
  <c r="G41" i="28"/>
  <c r="H41" i="28"/>
  <c r="I41" i="28"/>
  <c r="J41" i="28"/>
  <c r="K41" i="28"/>
  <c r="L41" i="28"/>
  <c r="G43" i="28"/>
  <c r="H43" i="28"/>
  <c r="I43" i="28"/>
  <c r="J43" i="28"/>
  <c r="K43" i="28"/>
  <c r="L43" i="28"/>
  <c r="G3" i="32"/>
  <c r="C4" i="32"/>
  <c r="D4" i="32"/>
  <c r="E4" i="32"/>
  <c r="G4" i="32"/>
  <c r="C13" i="32"/>
  <c r="D13" i="32"/>
  <c r="E13" i="32"/>
  <c r="C19" i="32"/>
  <c r="D19" i="32"/>
  <c r="E19" i="32"/>
  <c r="C22" i="32"/>
  <c r="D22" i="32"/>
  <c r="E22" i="32"/>
  <c r="C23" i="32"/>
  <c r="D23" i="32"/>
  <c r="E23" i="32"/>
  <c r="G32" i="25"/>
  <c r="H32" i="25"/>
  <c r="I32" i="25"/>
  <c r="G34" i="25"/>
  <c r="H34" i="25"/>
  <c r="I34" i="25"/>
  <c r="G36" i="25"/>
  <c r="H36" i="25"/>
  <c r="I36" i="25"/>
  <c r="B37" i="25"/>
  <c r="C37" i="25"/>
  <c r="D37" i="25"/>
  <c r="B38" i="25"/>
  <c r="C38" i="25"/>
  <c r="D38" i="25"/>
  <c r="B45" i="25"/>
  <c r="C45" i="25"/>
  <c r="D45" i="25"/>
  <c r="B47" i="25"/>
  <c r="C47" i="25"/>
  <c r="D47" i="25"/>
  <c r="E38" i="35"/>
  <c r="F38" i="35"/>
  <c r="G38" i="35"/>
  <c r="H38" i="35"/>
  <c r="I38" i="35"/>
  <c r="J38" i="35"/>
  <c r="E39" i="35"/>
  <c r="F39" i="35"/>
  <c r="G39" i="35"/>
  <c r="H39" i="35"/>
  <c r="I39" i="35"/>
  <c r="J39" i="35"/>
  <c r="E41" i="35"/>
  <c r="F41" i="35"/>
  <c r="G41" i="35"/>
  <c r="H41" i="35"/>
  <c r="I41" i="35"/>
  <c r="J41" i="35"/>
  <c r="E42" i="35"/>
  <c r="F42" i="35"/>
  <c r="G42" i="35"/>
  <c r="H42" i="35"/>
  <c r="I42" i="35"/>
  <c r="J42" i="35"/>
  <c r="E44" i="35"/>
  <c r="F44" i="35"/>
  <c r="G44" i="35"/>
  <c r="H44" i="35"/>
  <c r="I44" i="35"/>
  <c r="J44" i="35"/>
  <c r="E53" i="35"/>
  <c r="F53" i="35"/>
  <c r="G53" i="35"/>
  <c r="H53" i="35"/>
  <c r="I53" i="35"/>
  <c r="J53" i="35"/>
  <c r="E54" i="35"/>
  <c r="F54" i="35"/>
  <c r="G54" i="35"/>
  <c r="H54" i="35"/>
  <c r="I54" i="35"/>
  <c r="J54" i="35"/>
  <c r="E55" i="35"/>
  <c r="F55" i="35"/>
  <c r="G55" i="35"/>
  <c r="H55" i="35"/>
  <c r="I55" i="35"/>
  <c r="J55" i="35"/>
  <c r="E96" i="35"/>
  <c r="F96" i="35"/>
  <c r="G96" i="35"/>
  <c r="H96" i="35"/>
  <c r="I96" i="35"/>
  <c r="J96" i="35"/>
  <c r="E97" i="35"/>
  <c r="F97" i="35"/>
  <c r="G97" i="35"/>
  <c r="H97" i="35"/>
  <c r="I97" i="35"/>
  <c r="J97" i="35"/>
  <c r="E101" i="35"/>
  <c r="F101" i="35"/>
  <c r="G101" i="35"/>
  <c r="H101" i="35"/>
  <c r="I101" i="35"/>
  <c r="J101" i="35"/>
  <c r="E103" i="35"/>
  <c r="F103" i="35"/>
  <c r="G103" i="35"/>
  <c r="H103" i="35"/>
  <c r="I103" i="35"/>
  <c r="J103" i="35"/>
  <c r="E105" i="35"/>
  <c r="F105" i="35"/>
  <c r="G105" i="35"/>
  <c r="H105" i="35"/>
  <c r="I105" i="35"/>
  <c r="J105" i="35"/>
  <c r="E121" i="35"/>
  <c r="F121" i="35"/>
  <c r="G121" i="35"/>
  <c r="H121" i="35"/>
  <c r="I121" i="35"/>
  <c r="J121" i="35"/>
  <c r="E122" i="35"/>
  <c r="F122" i="35"/>
  <c r="G122" i="35"/>
  <c r="H122" i="35"/>
  <c r="I122" i="35"/>
  <c r="J122" i="35"/>
  <c r="E132" i="35"/>
  <c r="F132" i="35"/>
  <c r="G132" i="35"/>
  <c r="H132" i="35"/>
  <c r="I132" i="35"/>
  <c r="J132" i="35"/>
  <c r="E134" i="35"/>
  <c r="F134" i="35"/>
  <c r="G134" i="35"/>
  <c r="H134" i="35"/>
  <c r="I134" i="35"/>
  <c r="J134" i="35"/>
  <c r="E136" i="35"/>
  <c r="F136" i="35"/>
  <c r="G136" i="35"/>
  <c r="H136" i="35"/>
  <c r="I136" i="35"/>
  <c r="J136" i="35"/>
  <c r="F138" i="35"/>
  <c r="G138" i="35"/>
  <c r="H138" i="35"/>
  <c r="I138" i="35"/>
  <c r="J138" i="35"/>
  <c r="E139" i="35"/>
  <c r="F139" i="35"/>
  <c r="G139" i="35"/>
  <c r="H139" i="35"/>
  <c r="I139" i="35"/>
  <c r="J139" i="35"/>
  <c r="E140" i="35"/>
  <c r="F140" i="35"/>
  <c r="G140" i="35"/>
  <c r="H140" i="35"/>
  <c r="I140" i="35"/>
  <c r="J140" i="35"/>
  <c r="K20" i="26"/>
  <c r="Q20" i="26"/>
  <c r="N26" i="26"/>
  <c r="N28" i="26"/>
  <c r="N33" i="26"/>
  <c r="N38" i="26"/>
  <c r="Q46"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Luigi D'Amato</author>
    <author>mediaw</author>
  </authors>
  <commentList>
    <comment ref="B14" authorId="0" shapeId="0" xr:uid="{0AECF876-5CE5-462E-A25A-264747D9DE5E}">
      <text>
        <r>
          <rPr>
            <b/>
            <sz val="10"/>
            <color indexed="81"/>
            <rFont val="Arial"/>
            <family val="2"/>
          </rPr>
          <t xml:space="preserve">LUIGI D'AMATO:
</t>
        </r>
        <r>
          <rPr>
            <sz val="10"/>
            <color indexed="81"/>
            <rFont val="Arial"/>
            <family val="2"/>
          </rPr>
          <t>The estimated growth rate in net sales for the year 2019 has been taken from the company's annual report for the year 2018.  Finally, the growth rate for the years 2020-2024 has been calculated as an average of the preceding year's realized growth in net sales (2017 and 2018) and the guidance for 2019.</t>
        </r>
        <r>
          <rPr>
            <sz val="9"/>
            <color indexed="81"/>
            <rFont val="Tahoma"/>
            <family val="2"/>
          </rPr>
          <t xml:space="preserve">
</t>
        </r>
      </text>
    </comment>
    <comment ref="B16" authorId="0" shapeId="0" xr:uid="{B6951275-F48C-4972-9784-DE643B80D88D}">
      <text>
        <r>
          <rPr>
            <b/>
            <sz val="10"/>
            <color indexed="81"/>
            <rFont val="Arial"/>
            <family val="2"/>
          </rPr>
          <t>LUIGI D'AMATO:</t>
        </r>
        <r>
          <rPr>
            <sz val="10"/>
            <color indexed="81"/>
            <rFont val="Arial"/>
            <family val="2"/>
          </rPr>
          <t xml:space="preserve">
COGS is assumed to be equal to a constant percentage of total sales (63,8%) calculated as the average, over three years, of the percentage of COGS to toal sales.</t>
        </r>
        <r>
          <rPr>
            <sz val="9"/>
            <color indexed="81"/>
            <rFont val="Tahoma"/>
            <family val="2"/>
          </rPr>
          <t xml:space="preserve">
</t>
        </r>
      </text>
    </comment>
    <comment ref="B18" authorId="0" shapeId="0" xr:uid="{9DCEAD49-8784-4C7D-8F06-8F57ABBC2730}">
      <text>
        <r>
          <rPr>
            <b/>
            <sz val="10"/>
            <color indexed="81"/>
            <rFont val="Arial"/>
            <family val="2"/>
          </rPr>
          <t>LUIGI D'AMATO:</t>
        </r>
        <r>
          <rPr>
            <sz val="10"/>
            <color indexed="81"/>
            <rFont val="Arial"/>
            <family val="2"/>
          </rPr>
          <t xml:space="preserve">
SGAs are assumed to be equal to a constant percentage of total sales (24,6%) calculated as the average, over three years, of the percentage of SGAs to toal sales.</t>
        </r>
        <r>
          <rPr>
            <sz val="9"/>
            <color indexed="81"/>
            <rFont val="Tahoma"/>
            <family val="2"/>
          </rPr>
          <t xml:space="preserve">
</t>
        </r>
      </text>
    </comment>
    <comment ref="B26" authorId="0" shapeId="0" xr:uid="{A4C6C336-DD13-4368-A1F9-111E95F488E7}">
      <text>
        <r>
          <rPr>
            <b/>
            <sz val="10"/>
            <color indexed="81"/>
            <rFont val="Arial"/>
            <family val="2"/>
          </rPr>
          <t>LUIGI D'AMATO:</t>
        </r>
        <r>
          <rPr>
            <sz val="10"/>
            <color indexed="81"/>
            <rFont val="Arial"/>
            <family val="2"/>
          </rPr>
          <t xml:space="preserve">
Trade Receivables are calculated by applying the inverse of the formula used to calculate Days in Sales Outstanding (DSO). The DSO for every period is assumed to be constant and equal to the average DSO over a three year period.</t>
        </r>
        <r>
          <rPr>
            <sz val="9"/>
            <color indexed="81"/>
            <rFont val="Tahoma"/>
            <family val="2"/>
          </rPr>
          <t xml:space="preserve">
</t>
        </r>
      </text>
    </comment>
    <comment ref="B27" authorId="0" shapeId="0" xr:uid="{6F792628-1A7E-47EF-90AB-BF1521C53944}">
      <text>
        <r>
          <rPr>
            <b/>
            <sz val="10"/>
            <color indexed="81"/>
            <rFont val="Arial"/>
            <family val="2"/>
          </rPr>
          <t>LUIGI D'AMATO:</t>
        </r>
        <r>
          <rPr>
            <sz val="10"/>
            <color indexed="81"/>
            <rFont val="Arial"/>
            <family val="2"/>
          </rPr>
          <t xml:space="preserve">
Trade Payables are calculated by applying the inverse of the formula used to calculate Days in Payables Outstanding (DPO). The DPO for every period is assumed to be constant and equal to the average DPO over a three year period.</t>
        </r>
        <r>
          <rPr>
            <sz val="9"/>
            <color indexed="81"/>
            <rFont val="Tahoma"/>
            <family val="2"/>
          </rPr>
          <t xml:space="preserve">
</t>
        </r>
      </text>
    </comment>
    <comment ref="B28" authorId="0" shapeId="0" xr:uid="{26E3E2AE-9424-443A-B02F-1C78FE86ACB6}">
      <text>
        <r>
          <rPr>
            <b/>
            <sz val="10"/>
            <color indexed="81"/>
            <rFont val="Arial"/>
            <family val="2"/>
          </rPr>
          <t>LUIGI D'AMATO:</t>
        </r>
        <r>
          <rPr>
            <sz val="10"/>
            <color indexed="81"/>
            <rFont val="Arial"/>
            <family val="2"/>
          </rPr>
          <t xml:space="preserve">
Inventories are calculated by applying the inverse of the formula used to calculate Days in Inventories (DI). The DI for every period is assumed to be constant and equal to the average DI over a three year period.</t>
        </r>
        <r>
          <rPr>
            <sz val="9"/>
            <color indexed="81"/>
            <rFont val="Tahoma"/>
            <family val="2"/>
          </rPr>
          <t xml:space="preserve">
</t>
        </r>
      </text>
    </comment>
    <comment ref="B39" authorId="0" shapeId="0" xr:uid="{6A46CCC1-D1DC-4344-892B-1BEE580E15CD}">
      <text>
        <r>
          <rPr>
            <b/>
            <sz val="9"/>
            <color indexed="81"/>
            <rFont val="Tahoma"/>
            <family val="2"/>
          </rPr>
          <t xml:space="preserve">LUIGI D'AMATO:
</t>
        </r>
        <r>
          <rPr>
            <sz val="9"/>
            <color indexed="81"/>
            <rFont val="Tahoma"/>
            <family val="2"/>
          </rPr>
          <t xml:space="preserve">
CAPEXs are assumed to be equal to a constant percentage of total sales (4%) calculated as the average, over three years, of the percentage of CAPEXs to toal sales.</t>
        </r>
      </text>
    </comment>
    <comment ref="B41" authorId="1" shapeId="0" xr:uid="{00000000-0006-0000-0000-000001000000}">
      <text>
        <r>
          <rPr>
            <b/>
            <sz val="10"/>
            <color indexed="81"/>
            <rFont val="Arial"/>
            <family val="2"/>
          </rPr>
          <t>LUIGI D'AMATO:</t>
        </r>
        <r>
          <rPr>
            <sz val="10"/>
            <color indexed="81"/>
            <rFont val="Arial"/>
            <family val="2"/>
          </rPr>
          <t xml:space="preserve">
The Company uses the following depreciation scheme for the components of Property, Plant and Equipment:
- Manufactury machinery and equipment: 15 - 30 years
- Office equipment: 5 years
- Computer equipment and capitalized software: 3 - 7 years
- Building components: 20 years
- Building structures: 10 - 50 years
In order to estimate the average useful life so to forecast the 'EOP Tangible Assets' for the period 2019 - 2021, the average between the extreme values (lowest and highest boundaries) was taken at first:
AVERAGE N.1:
- Manufactury machinery and equipment: 30 years
- Office equipment: 5 years
- Computer equipment and capitalized software: 7 years
- Building components: 20 years
- Building structures: 50 years
AVERAGE N. 1: 22,4 years
AVERAGE N.2:
- Manufactury machinery and equipment: 15 years
- Office equipment: 5 years
- Computer equipment and capitalized software: 3 years
- Building components: 20 years
- Building structures: 10 years
AVERAGE N.2: 10,6 years
Finally, the average between 'AVERAGE N.1' and 'AVERAGE N.2' was taken so to come up with a single value:
</t>
        </r>
        <r>
          <rPr>
            <sz val="9"/>
            <color indexed="81"/>
            <rFont val="Tahoma"/>
            <family val="2"/>
          </rPr>
          <t xml:space="preserve">
 AV (AVERAGE N.1, AVERAGE N.2) = 16,5 years
</t>
        </r>
      </text>
    </comment>
    <comment ref="B46" authorId="0" shapeId="0" xr:uid="{17274240-3803-4227-91F4-DEC898325430}">
      <text>
        <r>
          <rPr>
            <b/>
            <sz val="10"/>
            <color indexed="81"/>
            <rFont val="Arial"/>
            <family val="2"/>
          </rPr>
          <t>LUIGI D'AMATO:</t>
        </r>
        <r>
          <rPr>
            <sz val="10"/>
            <color indexed="81"/>
            <rFont val="Arial"/>
            <family val="2"/>
          </rPr>
          <t xml:space="preserve">
ST Financial Debt is assumed to be equal to a constant percentage of total sales (6,5%) calculated as the average, over three years, of the percentage of ST Financial Debt to toal sales.
</t>
        </r>
      </text>
    </comment>
    <comment ref="B59" authorId="0" shapeId="0" xr:uid="{211E7019-B1FC-486B-B597-FA30A07EA538}">
      <text>
        <r>
          <rPr>
            <b/>
            <sz val="10"/>
            <color indexed="81"/>
            <rFont val="Arial"/>
            <family val="2"/>
          </rPr>
          <t>LUIGI D'AMATO:</t>
        </r>
        <r>
          <rPr>
            <sz val="10"/>
            <color indexed="81"/>
            <rFont val="Arial"/>
            <family val="2"/>
          </rPr>
          <t xml:space="preserve">
Total Cash Common Dividends are calculated by applying the historical average payout ratio (72,7%) to the Net Income for the year. The latter has been calculated by taking the average of the dividend payout ratio over a period of three years.</t>
        </r>
        <r>
          <rPr>
            <sz val="9"/>
            <color indexed="81"/>
            <rFont val="Tahoma"/>
            <family val="2"/>
          </rPr>
          <t xml:space="preserve">
</t>
        </r>
      </text>
    </comment>
    <comment ref="B63" authorId="0" shapeId="0" xr:uid="{9748181E-1805-4AA1-A103-7056BC70390A}">
      <text>
        <r>
          <rPr>
            <b/>
            <sz val="10"/>
            <color indexed="81"/>
            <rFont val="Arial"/>
            <family val="2"/>
          </rPr>
          <t xml:space="preserve">LUIGI D'AMATO:
</t>
        </r>
        <r>
          <rPr>
            <sz val="10"/>
            <color indexed="81"/>
            <rFont val="Arial"/>
            <family val="2"/>
          </rPr>
          <t xml:space="preserve">
Interest Expense is calculated by applying the historical average debt rate (3,2%) to the Net Debt for the year. The latter has been calculated by taking the average, over a period of three years, of the interest expense over the average Net Debt of two contiguous years.
</t>
        </r>
      </text>
    </comment>
    <comment ref="B65" authorId="0" shapeId="0" xr:uid="{867A5FD3-5F9F-46DD-9775-3C82E4360258}">
      <text>
        <r>
          <rPr>
            <b/>
            <sz val="10"/>
            <color indexed="81"/>
            <rFont val="Arial"/>
            <family val="2"/>
          </rPr>
          <t>LUIGI D'AMATO:</t>
        </r>
        <r>
          <rPr>
            <sz val="10"/>
            <color indexed="81"/>
            <rFont val="Arial"/>
            <family val="2"/>
          </rPr>
          <t xml:space="preserve">
Interest Income is calculated by applying the historical average effective interest rate for cash (4,3%) to the change in cash for the year. The latter has been calculated by taking the average, over a period of three years, of the interest income over the average Cash &amp; Equivalents of two contiguous years.</t>
        </r>
      </text>
    </comment>
    <comment ref="B68" authorId="0" shapeId="0" xr:uid="{C9CE6BC5-3FE1-4BCE-9931-5E5B89DC1A01}">
      <text>
        <r>
          <rPr>
            <b/>
            <sz val="10"/>
            <color indexed="81"/>
            <rFont val="Arial"/>
            <family val="2"/>
          </rPr>
          <t>LUIGI D'AMATO:</t>
        </r>
        <r>
          <rPr>
            <sz val="10"/>
            <color indexed="81"/>
            <rFont val="Arial"/>
            <family val="2"/>
          </rPr>
          <t xml:space="preserve">
The Effective Tax Rate is assumed to be constant and equal to the historical average Effective Tax Rate (21,2%). The latter has been calculated by taking the average of the historical tax rates over a period of three years.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SONY</author>
  </authors>
  <commentList>
    <comment ref="B11" authorId="0" shapeId="0" xr:uid="{00000000-0006-0000-0100-000001000000}">
      <text>
        <r>
          <rPr>
            <b/>
            <sz val="10"/>
            <color indexed="81"/>
            <rFont val="Arial"/>
            <family val="2"/>
          </rPr>
          <t xml:space="preserve">LUIGI D'AMATO:
</t>
        </r>
        <r>
          <rPr>
            <sz val="10"/>
            <color indexed="81"/>
            <rFont val="Arial"/>
            <family val="2"/>
          </rPr>
          <t xml:space="preserve">
Contains:
- Trade Receivables (Gross): 1106
- Allowance for Doubtful Accounts: (8)
- Tax Refundable: 24
- Other Current Receivables: 109
</t>
        </r>
      </text>
    </comment>
    <comment ref="C11" authorId="0" shapeId="0" xr:uid="{00000000-0006-0000-0100-000002000000}">
      <text>
        <r>
          <rPr>
            <b/>
            <sz val="10"/>
            <color indexed="81"/>
            <rFont val="Arial"/>
            <family val="2"/>
          </rPr>
          <t xml:space="preserve">LUIGI D'AMATO:
</t>
        </r>
        <r>
          <rPr>
            <sz val="10"/>
            <color indexed="81"/>
            <rFont val="Arial"/>
            <family val="2"/>
          </rPr>
          <t xml:space="preserve">
Contains:
- Trade Receivables (Gross): 1250
- Allowance for Doubtful Accounts: (10)
- Tax Refundable: 23
- Other Current Receivables: 126</t>
        </r>
        <r>
          <rPr>
            <sz val="9"/>
            <color indexed="81"/>
            <rFont val="Tahoma"/>
            <family val="2"/>
          </rPr>
          <t xml:space="preserve">
</t>
        </r>
      </text>
    </comment>
    <comment ref="D11" authorId="0" shapeId="0" xr:uid="{00000000-0006-0000-0100-000003000000}">
      <text>
        <r>
          <rPr>
            <b/>
            <sz val="10"/>
            <color indexed="81"/>
            <rFont val="Arial"/>
            <family val="2"/>
          </rPr>
          <t xml:space="preserve">LUIGI D'AMATO:
</t>
        </r>
        <r>
          <rPr>
            <sz val="10"/>
            <color indexed="81"/>
            <rFont val="Arial"/>
            <family val="2"/>
          </rPr>
          <t xml:space="preserve">
Contains:
- Trade Receivables (Gross): 1163
- Allowance for Doubtful Accounts: (10)
- Tax Refundable: 28
- Other Current Receivables: 194</t>
        </r>
        <r>
          <rPr>
            <sz val="9"/>
            <color indexed="81"/>
            <rFont val="Tahoma"/>
            <family val="2"/>
          </rPr>
          <t xml:space="preserve">
</t>
        </r>
      </text>
    </comment>
    <comment ref="B13" authorId="0" shapeId="0" xr:uid="{00000000-0006-0000-0100-000004000000}">
      <text>
        <r>
          <rPr>
            <b/>
            <sz val="10"/>
            <color indexed="81"/>
            <rFont val="Arial"/>
            <family val="2"/>
          </rPr>
          <t xml:space="preserve">LUIGI D'AMATO:
</t>
        </r>
        <r>
          <rPr>
            <sz val="10"/>
            <color indexed="81"/>
            <rFont val="Arial"/>
            <family val="2"/>
          </rPr>
          <t xml:space="preserve">
Contains:
- Derivatives &amp; Hedging (ST, A): 40
- Miscellaneous ST Assets: 151</t>
        </r>
        <r>
          <rPr>
            <sz val="9"/>
            <color indexed="81"/>
            <rFont val="Tahoma"/>
            <family val="2"/>
          </rPr>
          <t xml:space="preserve">
</t>
        </r>
      </text>
    </comment>
    <comment ref="C13" authorId="0" shapeId="0" xr:uid="{00000000-0006-0000-0100-000005000000}">
      <text>
        <r>
          <rPr>
            <b/>
            <sz val="10"/>
            <color indexed="81"/>
            <rFont val="Arial"/>
            <family val="2"/>
          </rPr>
          <t xml:space="preserve">LUIGI D'AMATO:
</t>
        </r>
        <r>
          <rPr>
            <sz val="10"/>
            <color indexed="81"/>
            <rFont val="Arial"/>
            <family val="2"/>
          </rPr>
          <t xml:space="preserve">
Contains:
- Derivatives &amp; Hedging (ST, A): 16
- Miscellaneous ST Assets: 133</t>
        </r>
        <r>
          <rPr>
            <sz val="9"/>
            <color indexed="81"/>
            <rFont val="Tahoma"/>
            <family val="2"/>
          </rPr>
          <t xml:space="preserve">
</t>
        </r>
      </text>
    </comment>
    <comment ref="D13" authorId="0" shapeId="0" xr:uid="{00000000-0006-0000-0100-000006000000}">
      <text>
        <r>
          <rPr>
            <b/>
            <sz val="10"/>
            <color indexed="81"/>
            <rFont val="Arial"/>
            <family val="2"/>
          </rPr>
          <t xml:space="preserve">LUIGI D'AMATO:
</t>
        </r>
        <r>
          <rPr>
            <sz val="10"/>
            <color indexed="81"/>
            <rFont val="Arial"/>
            <family val="2"/>
          </rPr>
          <t xml:space="preserve">
Contains:
- Derivatives &amp; Hedging (ST, A): 6
- Miscellaneous ST Assets: 125</t>
        </r>
        <r>
          <rPr>
            <sz val="9"/>
            <color indexed="81"/>
            <rFont val="Tahoma"/>
            <family val="2"/>
          </rPr>
          <t xml:space="preserve">
</t>
        </r>
      </text>
    </comment>
    <comment ref="B23" authorId="0" shapeId="0" xr:uid="{00000000-0006-0000-0100-000007000000}">
      <text>
        <r>
          <rPr>
            <b/>
            <sz val="10"/>
            <color indexed="81"/>
            <rFont val="Arial"/>
            <family val="2"/>
          </rPr>
          <t xml:space="preserve">LUIGI D'AMATO:
</t>
        </r>
        <r>
          <rPr>
            <sz val="10"/>
            <color indexed="81"/>
            <rFont val="Arial"/>
            <family val="2"/>
          </rPr>
          <t>Contains:
- Prepaid Pension Costs: 66
- Deferred Tax Assets: 170
- Miscellaneous LT Assets: 392
- Derivatives &amp; Hedging (LT, A): 1</t>
        </r>
        <r>
          <rPr>
            <sz val="9"/>
            <color indexed="81"/>
            <rFont val="Tahoma"/>
            <family val="2"/>
          </rPr>
          <t xml:space="preserve">
</t>
        </r>
      </text>
    </comment>
    <comment ref="C23" authorId="0" shapeId="0" xr:uid="{00000000-0006-0000-0100-000008000000}">
      <text>
        <r>
          <rPr>
            <b/>
            <sz val="10"/>
            <color indexed="81"/>
            <rFont val="Arial"/>
            <family val="2"/>
          </rPr>
          <t xml:space="preserve">LUIGI D'AMATO:
</t>
        </r>
        <r>
          <rPr>
            <sz val="10"/>
            <color indexed="81"/>
            <rFont val="Arial"/>
            <family val="2"/>
          </rPr>
          <t>Contains:
- Prepaid Pension Costs: 252
- Deferred Tax Assets: 245
- Miscellaneous LT Assets: 530</t>
        </r>
      </text>
    </comment>
    <comment ref="D23" authorId="0" shapeId="0" xr:uid="{00000000-0006-0000-0100-000009000000}">
      <text>
        <r>
          <rPr>
            <b/>
            <sz val="10"/>
            <color indexed="81"/>
            <rFont val="Arial"/>
            <family val="2"/>
          </rPr>
          <t xml:space="preserve">LUIGI D'AMATO:
</t>
        </r>
        <r>
          <rPr>
            <sz val="10"/>
            <color indexed="81"/>
            <rFont val="Arial"/>
            <family val="2"/>
          </rPr>
          <t xml:space="preserve">Contains:
- Prepaid Pension Costs: 228
- Deferred Tax Assets: 246
- Miscellaneous LT Assets: 594
</t>
        </r>
      </text>
    </comment>
    <comment ref="B36" authorId="0" shapeId="0" xr:uid="{00000000-0006-0000-0100-00000A000000}">
      <text>
        <r>
          <rPr>
            <b/>
            <sz val="10"/>
            <color indexed="81"/>
            <rFont val="Arial"/>
            <family val="2"/>
          </rPr>
          <t xml:space="preserve">LUIGI D'AMATO:
</t>
        </r>
        <r>
          <rPr>
            <sz val="10"/>
            <color indexed="81"/>
            <rFont val="Arial"/>
            <family val="2"/>
          </rPr>
          <t xml:space="preserve">
Contains:
- Derivatives &amp; Hedging (ST, L): 18
- Miscellaneous ST Liabilities: 572</t>
        </r>
      </text>
    </comment>
    <comment ref="C36" authorId="0" shapeId="0" xr:uid="{00000000-0006-0000-0100-00000B000000}">
      <text>
        <r>
          <rPr>
            <b/>
            <sz val="10"/>
            <color indexed="81"/>
            <rFont val="Arial"/>
            <family val="2"/>
          </rPr>
          <t xml:space="preserve">LUIGI D'AMATO:
</t>
        </r>
        <r>
          <rPr>
            <sz val="10"/>
            <color indexed="81"/>
            <rFont val="Arial"/>
            <family val="2"/>
          </rPr>
          <t xml:space="preserve">
Contains:
- Derivatives &amp; Hedging (ST, L): 21
- Miscellaneous ST Liabilities: 1453</t>
        </r>
      </text>
    </comment>
    <comment ref="D36" authorId="0" shapeId="0" xr:uid="{00000000-0006-0000-0100-00000C000000}">
      <text>
        <r>
          <rPr>
            <b/>
            <sz val="10"/>
            <color indexed="81"/>
            <rFont val="Arial"/>
            <family val="2"/>
          </rPr>
          <t xml:space="preserve">LUIGI D'AMATO:
</t>
        </r>
        <r>
          <rPr>
            <sz val="10"/>
            <color indexed="81"/>
            <rFont val="Arial"/>
            <family val="2"/>
          </rPr>
          <t xml:space="preserve">
Contains:
- Derivatives &amp; Hedging (ST, L): 13
- Miscellaneous ST Liabilities: 1403</t>
        </r>
        <r>
          <rPr>
            <sz val="9"/>
            <color indexed="81"/>
            <rFont val="Tahoma"/>
            <family val="2"/>
          </rPr>
          <t xml:space="preserve">
</t>
        </r>
      </text>
    </comment>
    <comment ref="B45" authorId="0" shapeId="0" xr:uid="{00000000-0006-0000-0100-00000D000000}">
      <text>
        <r>
          <rPr>
            <b/>
            <sz val="10"/>
            <color indexed="81"/>
            <rFont val="Arial"/>
            <family val="2"/>
          </rPr>
          <t xml:space="preserve">LUIGI D'AMATO:
</t>
        </r>
        <r>
          <rPr>
            <sz val="10"/>
            <color indexed="81"/>
            <rFont val="Arial"/>
            <family val="2"/>
          </rPr>
          <t>Contains:
- Derivatives &amp; Hedging (LT, L): 65
- Miscellaneous LT Liabilities: 399</t>
        </r>
      </text>
    </comment>
    <comment ref="C45" authorId="0" shapeId="0" xr:uid="{00000000-0006-0000-0100-00000E000000}">
      <text>
        <r>
          <rPr>
            <b/>
            <sz val="10"/>
            <color indexed="81"/>
            <rFont val="Arial"/>
            <family val="2"/>
          </rPr>
          <t xml:space="preserve">LUIGI D'AMATO:
</t>
        </r>
        <r>
          <rPr>
            <sz val="10"/>
            <color indexed="81"/>
            <rFont val="Arial"/>
            <family val="2"/>
          </rPr>
          <t xml:space="preserve">
Contains:
- Derivatives &amp; Hedging (LT, L): 54
- Miscellaneous LT Liabilities: 551</t>
        </r>
      </text>
    </comment>
    <comment ref="D45" authorId="0" shapeId="0" xr:uid="{00000000-0006-0000-0100-00000F000000}">
      <text>
        <r>
          <rPr>
            <b/>
            <sz val="10"/>
            <color indexed="81"/>
            <rFont val="Arial"/>
            <family val="2"/>
          </rPr>
          <t xml:space="preserve">LUIGI D'AMATO:
</t>
        </r>
        <r>
          <rPr>
            <sz val="10"/>
            <color indexed="81"/>
            <rFont val="Arial"/>
            <family val="2"/>
          </rPr>
          <t>Contains:
- Derivatives &amp; Hedging (LT, L): 22
- Miscellaneous LT Liabilities: 482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SONY</author>
  </authors>
  <commentList>
    <comment ref="B20" authorId="0" shapeId="0" xr:uid="{00000000-0006-0000-0400-000001000000}">
      <text>
        <r>
          <rPr>
            <b/>
            <sz val="10"/>
            <color indexed="81"/>
            <rFont val="Arial"/>
            <family val="2"/>
          </rPr>
          <t xml:space="preserve">LUIGI D'AMATO:
</t>
        </r>
        <r>
          <rPr>
            <sz val="10"/>
            <color indexed="81"/>
            <rFont val="Arial"/>
            <family val="2"/>
          </rPr>
          <t>Contains:
- Deferred Tax Assets: 170
- Deferred Tax Liabilities: (525)</t>
        </r>
      </text>
    </comment>
    <comment ref="C20" authorId="0" shapeId="0" xr:uid="{00000000-0006-0000-0400-000002000000}">
      <text>
        <r>
          <rPr>
            <b/>
            <sz val="10"/>
            <color indexed="81"/>
            <rFont val="Arial"/>
            <family val="2"/>
          </rPr>
          <t xml:space="preserve">LUIGI D'AMATO:
</t>
        </r>
        <r>
          <rPr>
            <sz val="10"/>
            <color indexed="81"/>
            <rFont val="Arial"/>
            <family val="2"/>
          </rPr>
          <t>Contains:
- Deferred Tax Assets: 245
- Deferred Tax Liabilities: (355)</t>
        </r>
      </text>
    </comment>
    <comment ref="D20" authorId="0" shapeId="0" xr:uid="{00000000-0006-0000-0400-000003000000}">
      <text>
        <r>
          <rPr>
            <b/>
            <sz val="10"/>
            <color indexed="81"/>
            <rFont val="Arial"/>
            <family val="2"/>
          </rPr>
          <t xml:space="preserve">LUIGI D'AMATO:
</t>
        </r>
        <r>
          <rPr>
            <sz val="10"/>
            <color indexed="81"/>
            <rFont val="Arial"/>
            <family val="2"/>
          </rPr>
          <t>Contains:
- Deferred Tax Assets: 246
- Deferred Tax Liabilities: (730)</t>
        </r>
        <r>
          <rPr>
            <sz val="9"/>
            <color indexed="81"/>
            <rFont val="Tahoma"/>
            <family val="2"/>
          </rPr>
          <t xml:space="preserve">
</t>
        </r>
      </text>
    </comment>
    <comment ref="B22" authorId="0" shapeId="0" xr:uid="{00000000-0006-0000-0400-000004000000}">
      <text>
        <r>
          <rPr>
            <b/>
            <sz val="10"/>
            <color indexed="81"/>
            <rFont val="Arial"/>
            <family val="2"/>
          </rPr>
          <t xml:space="preserve">LUIGI D'AMATO:
</t>
        </r>
        <r>
          <rPr>
            <sz val="10"/>
            <color indexed="81"/>
            <rFont val="Arial"/>
            <family val="2"/>
          </rPr>
          <t xml:space="preserve">
Contains:
- Miscellaneous ST Assets: 151
- Tax Refundable: 24
- Other Current Receivables: 109
- Miscellaneous ST Liabilities: (572)</t>
        </r>
        <r>
          <rPr>
            <sz val="9"/>
            <color indexed="81"/>
            <rFont val="Tahoma"/>
            <family val="2"/>
          </rPr>
          <t xml:space="preserve">
</t>
        </r>
      </text>
    </comment>
    <comment ref="C22" authorId="0" shapeId="0" xr:uid="{00000000-0006-0000-0400-000005000000}">
      <text>
        <r>
          <rPr>
            <b/>
            <sz val="10"/>
            <color indexed="81"/>
            <rFont val="Arial"/>
            <family val="2"/>
          </rPr>
          <t xml:space="preserve">LUIGI D'AMATO:
</t>
        </r>
        <r>
          <rPr>
            <sz val="10"/>
            <color indexed="81"/>
            <rFont val="Arial"/>
            <family val="2"/>
          </rPr>
          <t>Contains:
- Miscellaneous ST Assets: 133
- Tax Refundable: 23
- Other Current Receivables: 126
- Miscellaneous ST Liabilities: (1453)</t>
        </r>
      </text>
    </comment>
    <comment ref="D22" authorId="0" shapeId="0" xr:uid="{00000000-0006-0000-0400-000006000000}">
      <text>
        <r>
          <rPr>
            <b/>
            <sz val="10"/>
            <color indexed="81"/>
            <rFont val="Arial"/>
            <family val="2"/>
          </rPr>
          <t xml:space="preserve">LUIGI D'AMATO:
</t>
        </r>
        <r>
          <rPr>
            <sz val="10"/>
            <color indexed="81"/>
            <rFont val="Arial"/>
            <family val="2"/>
          </rPr>
          <t xml:space="preserve">
Contains:
- Miscellaneous ST Assets: 125
- Tax Refundable: 28
- Other Current Receivables: 194
- Miscellaneous ST Liabilities: (1403)</t>
        </r>
        <r>
          <rPr>
            <sz val="9"/>
            <color indexed="81"/>
            <rFont val="Tahoma"/>
            <family val="2"/>
          </rPr>
          <t xml:space="preserve">
</t>
        </r>
      </text>
    </comment>
    <comment ref="B29" authorId="0" shapeId="0" xr:uid="{00000000-0006-0000-0400-000007000000}">
      <text>
        <r>
          <rPr>
            <b/>
            <sz val="10"/>
            <color indexed="81"/>
            <rFont val="Arial"/>
            <family val="2"/>
          </rPr>
          <t xml:space="preserve">LUIGI D'AMATO:
</t>
        </r>
        <r>
          <rPr>
            <sz val="10"/>
            <color indexed="81"/>
            <rFont val="Arial"/>
            <family val="2"/>
          </rPr>
          <t xml:space="preserve">
Contains:
- Prepaid Pension Costs: 66
- Miscellaneous LT Assets: 392</t>
        </r>
      </text>
    </comment>
    <comment ref="C29" authorId="0" shapeId="0" xr:uid="{00000000-0006-0000-0400-000008000000}">
      <text>
        <r>
          <rPr>
            <b/>
            <sz val="10"/>
            <color indexed="81"/>
            <rFont val="Arial"/>
            <family val="2"/>
          </rPr>
          <t xml:space="preserve">LUIGI D'AMATO:
</t>
        </r>
        <r>
          <rPr>
            <sz val="10"/>
            <color indexed="81"/>
            <rFont val="Arial"/>
            <family val="2"/>
          </rPr>
          <t xml:space="preserve">
Contains:
- Prepaid Pension Costs: 252
- Miscellaneous LT Assets: 530</t>
        </r>
      </text>
    </comment>
    <comment ref="D29" authorId="0" shapeId="0" xr:uid="{00000000-0006-0000-0400-000009000000}">
      <text>
        <r>
          <rPr>
            <b/>
            <sz val="10"/>
            <color indexed="81"/>
            <rFont val="Arial"/>
            <family val="2"/>
          </rPr>
          <t xml:space="preserve">LUIGI D'AMATO:
</t>
        </r>
        <r>
          <rPr>
            <sz val="10"/>
            <color indexed="81"/>
            <rFont val="Arial"/>
            <family val="2"/>
          </rPr>
          <t xml:space="preserve">
Contains:
- Prepaid Pension Costs: 228
- Miscellaneous LT Assets: 594
</t>
        </r>
      </text>
    </comment>
    <comment ref="B30" authorId="0" shapeId="0" xr:uid="{00000000-0006-0000-0400-00000A000000}">
      <text>
        <r>
          <rPr>
            <b/>
            <sz val="10"/>
            <color indexed="81"/>
            <rFont val="Arial"/>
            <family val="2"/>
          </rPr>
          <t xml:space="preserve">LUIGI D'AMATO:
</t>
        </r>
        <r>
          <rPr>
            <sz val="10"/>
            <color indexed="81"/>
            <rFont val="Arial"/>
            <family val="2"/>
          </rPr>
          <t xml:space="preserve">
Contains:
- Pension/Postretirement Liabilities: (1024)
- Miscellaneous LT Liabilities: (399)</t>
        </r>
      </text>
    </comment>
    <comment ref="C30" authorId="0" shapeId="0" xr:uid="{00000000-0006-0000-0400-00000B000000}">
      <text>
        <r>
          <rPr>
            <b/>
            <sz val="10"/>
            <color indexed="81"/>
            <rFont val="Arial"/>
            <family val="2"/>
          </rPr>
          <t xml:space="preserve">LUIGI D'AMATO:
</t>
        </r>
        <r>
          <rPr>
            <sz val="10"/>
            <color indexed="81"/>
            <rFont val="Arial"/>
            <family val="2"/>
          </rPr>
          <t xml:space="preserve">
Contains:
- Pension/Postretirement Liabilities: (839)
- Miscellaneous LT Liabilities: (551)
</t>
        </r>
      </text>
    </comment>
    <comment ref="D30" authorId="0" shapeId="0" xr:uid="{00000000-0006-0000-0400-00000C000000}">
      <text>
        <r>
          <rPr>
            <b/>
            <sz val="10"/>
            <color indexed="81"/>
            <rFont val="Arial"/>
            <family val="2"/>
          </rPr>
          <t xml:space="preserve">LUIGI D'AMATO:
</t>
        </r>
        <r>
          <rPr>
            <sz val="10"/>
            <color indexed="81"/>
            <rFont val="Arial"/>
            <family val="2"/>
          </rPr>
          <t>Contains:
- Pension/Postretirement Liabilities: (651)
- Miscellaneous LT Liabilities: (482)</t>
        </r>
      </text>
    </comment>
    <comment ref="B41" authorId="0" shapeId="0" xr:uid="{00000000-0006-0000-0400-00000D000000}">
      <text>
        <r>
          <rPr>
            <b/>
            <sz val="10"/>
            <color indexed="81"/>
            <rFont val="Arial"/>
            <family val="2"/>
          </rPr>
          <t xml:space="preserve">LUIGI D'AMATO:
</t>
        </r>
        <r>
          <rPr>
            <sz val="10"/>
            <color indexed="81"/>
            <rFont val="Arial"/>
            <family val="2"/>
          </rPr>
          <t xml:space="preserve">
Contains:
- Derivatives &amp; Hedging (ST, A): (40) 
- Derivatives &amp; Hedging (ST, L): 18</t>
        </r>
      </text>
    </comment>
    <comment ref="C41" authorId="0" shapeId="0" xr:uid="{00000000-0006-0000-0400-00000E000000}">
      <text>
        <r>
          <rPr>
            <b/>
            <sz val="10"/>
            <color indexed="81"/>
            <rFont val="Arial"/>
            <family val="2"/>
          </rPr>
          <t xml:space="preserve">LUIGI D'AMATO:
</t>
        </r>
        <r>
          <rPr>
            <sz val="10"/>
            <color indexed="81"/>
            <rFont val="Arial"/>
            <family val="2"/>
          </rPr>
          <t xml:space="preserve">
Contains:
- Derivatives &amp; Hedging (ST, A): (16)
- Derivatives &amp; Hedging (ST, L): 21</t>
        </r>
        <r>
          <rPr>
            <sz val="9"/>
            <color indexed="81"/>
            <rFont val="Tahoma"/>
            <family val="2"/>
          </rPr>
          <t xml:space="preserve">
</t>
        </r>
      </text>
    </comment>
    <comment ref="D41" authorId="0" shapeId="0" xr:uid="{00000000-0006-0000-0400-00000F000000}">
      <text>
        <r>
          <rPr>
            <b/>
            <sz val="10"/>
            <color indexed="81"/>
            <rFont val="Arial"/>
            <family val="2"/>
          </rPr>
          <t xml:space="preserve">LUIGI D'AMATO:
</t>
        </r>
        <r>
          <rPr>
            <sz val="10"/>
            <color indexed="81"/>
            <rFont val="Arial"/>
            <family val="2"/>
          </rPr>
          <t xml:space="preserve">
Contains:
- Derivatives &amp; Hedging (ST, A): (6)
- Derivatives &amp; Hedging (ST, L): 13</t>
        </r>
        <r>
          <rPr>
            <sz val="9"/>
            <color indexed="81"/>
            <rFont val="Tahoma"/>
            <family val="2"/>
          </rPr>
          <t xml:space="preserve">
</t>
        </r>
      </text>
    </comment>
    <comment ref="B42" authorId="0" shapeId="0" xr:uid="{00000000-0006-0000-0400-000010000000}">
      <text>
        <r>
          <rPr>
            <b/>
            <sz val="10"/>
            <color indexed="81"/>
            <rFont val="Arial"/>
            <family val="2"/>
          </rPr>
          <t xml:space="preserve">LUIGI D'AMATO:
</t>
        </r>
        <r>
          <rPr>
            <sz val="10"/>
            <color indexed="81"/>
            <rFont val="Arial"/>
            <family val="2"/>
          </rPr>
          <t xml:space="preserve">
Contains:
- Derivatives &amp; Hedging (LT, A): (1)
- Derivatives &amp; Hedging (LT, L): 65</t>
        </r>
      </text>
    </comment>
    <comment ref="C42" authorId="0" shapeId="0" xr:uid="{00000000-0006-0000-0400-000011000000}">
      <text>
        <r>
          <rPr>
            <b/>
            <sz val="10"/>
            <color indexed="81"/>
            <rFont val="Arial"/>
            <family val="2"/>
          </rPr>
          <t xml:space="preserve">LUIGI D'AMATO:
</t>
        </r>
        <r>
          <rPr>
            <sz val="10"/>
            <color indexed="81"/>
            <rFont val="Arial"/>
            <family val="2"/>
          </rPr>
          <t xml:space="preserve">
Contains:
- Derivatives &amp; Hedging (LT, L): 54</t>
        </r>
      </text>
    </comment>
    <comment ref="D42" authorId="0" shapeId="0" xr:uid="{00000000-0006-0000-0400-000012000000}">
      <text>
        <r>
          <rPr>
            <b/>
            <sz val="10"/>
            <color indexed="81"/>
            <rFont val="Arial"/>
            <family val="2"/>
          </rPr>
          <t xml:space="preserve">LUIGI D'AMATO:
</t>
        </r>
        <r>
          <rPr>
            <sz val="10"/>
            <color indexed="81"/>
            <rFont val="Arial"/>
            <family val="2"/>
          </rPr>
          <t>Contains:
- Derivatives &amp; Hedging (LT, L): 22</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Sala BD</author>
  </authors>
  <commentList>
    <comment ref="E11" authorId="0" shapeId="0" xr:uid="{00000000-0006-0000-0600-000001000000}">
      <text>
        <r>
          <rPr>
            <b/>
            <sz val="10"/>
            <color indexed="81"/>
            <rFont val="Arial"/>
            <family val="2"/>
          </rPr>
          <t>LUIGI D'AMATO:</t>
        </r>
        <r>
          <rPr>
            <sz val="10"/>
            <color indexed="81"/>
            <rFont val="Arial"/>
            <family val="2"/>
          </rPr>
          <t xml:space="preserve">
Accounts Receivable for the period 2019-2021 are reported net of the Allowance for Doubtful Accounts</t>
        </r>
        <r>
          <rPr>
            <sz val="9"/>
            <color indexed="81"/>
            <rFont val="Tahoma"/>
            <family val="2"/>
          </rPr>
          <t xml:space="preserve">
</t>
        </r>
      </text>
    </comment>
    <comment ref="E12" authorId="0" shapeId="0" xr:uid="{00000000-0006-0000-0600-000002000000}">
      <text>
        <r>
          <rPr>
            <b/>
            <sz val="10"/>
            <color indexed="81"/>
            <rFont val="Arial"/>
            <family val="2"/>
          </rPr>
          <t>LUIGI D'AMATO:</t>
        </r>
        <r>
          <rPr>
            <sz val="10"/>
            <color indexed="81"/>
            <rFont val="Arial"/>
            <family val="2"/>
          </rPr>
          <t xml:space="preserve">
Accounts Payable for the period 2019-2021 already include Prepaid Liabilities
</t>
        </r>
      </text>
    </comment>
    <comment ref="E26" authorId="0" shapeId="0" xr:uid="{00000000-0006-0000-0600-000003000000}">
      <text>
        <r>
          <rPr>
            <b/>
            <sz val="10"/>
            <color indexed="81"/>
            <rFont val="Arial"/>
            <family val="2"/>
          </rPr>
          <t>LUIGI D'AMATO:</t>
        </r>
        <r>
          <rPr>
            <sz val="10"/>
            <color indexed="81"/>
            <rFont val="Arial"/>
            <family val="2"/>
          </rPr>
          <t xml:space="preserve">
This item includes Pension Liability</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Sala BD</author>
  </authors>
  <commentList>
    <comment ref="L5" authorId="0" shapeId="0" xr:uid="{00000000-0006-0000-0E00-000001000000}">
      <text>
        <r>
          <rPr>
            <b/>
            <sz val="10"/>
            <color indexed="81"/>
            <rFont val="Arial"/>
            <family val="2"/>
          </rPr>
          <t>LUIGI D'AMATO:</t>
        </r>
        <r>
          <rPr>
            <sz val="10"/>
            <color indexed="81"/>
            <rFont val="Arial"/>
            <family val="2"/>
          </rPr>
          <t xml:space="preserve">
Raw Betas are calculated assuming a weekly regression and a time period of 2 years (12/31/2016 - 12/31/2018)</t>
        </r>
        <r>
          <rPr>
            <sz val="9"/>
            <color indexed="81"/>
            <rFont val="Tahoma"/>
            <family val="2"/>
          </rPr>
          <t xml:space="preserve">
</t>
        </r>
      </text>
    </comment>
    <comment ref="N5" authorId="0" shapeId="0" xr:uid="{00000000-0006-0000-0E00-000002000000}">
      <text>
        <r>
          <rPr>
            <b/>
            <sz val="10"/>
            <color indexed="81"/>
            <rFont val="Arial"/>
            <family val="2"/>
          </rPr>
          <t xml:space="preserve">LUIGI D'AMATO:
</t>
        </r>
        <r>
          <rPr>
            <sz val="10"/>
            <color indexed="81"/>
            <rFont val="Arial"/>
            <family val="2"/>
          </rPr>
          <t xml:space="preserve">
Effective tax rates for 'Treehouse Foods' and 'Kraft-Heinz' were directly taken form the annual reports of the two companies; all the other values are provided by Bloomberg</t>
        </r>
      </text>
    </comment>
    <comment ref="I14" authorId="0" shapeId="0" xr:uid="{00000000-0006-0000-0E00-000003000000}">
      <text>
        <r>
          <rPr>
            <b/>
            <sz val="10"/>
            <color indexed="81"/>
            <rFont val="Arial"/>
            <family val="2"/>
          </rPr>
          <t>LUIGI D'AMATO:</t>
        </r>
        <r>
          <rPr>
            <sz val="10"/>
            <color indexed="81"/>
            <rFont val="Arial"/>
            <family val="2"/>
          </rPr>
          <t xml:space="preserve">
This estimate differs from the value provided by Bloomberg as it includes the fair value of derivatives used for hedging (as shown in the worksheet 'Balance Sheet - Restated'). These items were originally included as current and non-current assets and liabilities (as shown in the worksheet 'Balance Sheet - As Reported') ; however, since the Company uses derivatives securities mainly to purchase raw materials and other supplies, these items have been included in the calculation of total debt.</t>
        </r>
        <r>
          <rPr>
            <sz val="9"/>
            <color indexed="81"/>
            <rFont val="Tahoma"/>
            <family val="2"/>
          </rPr>
          <t xml:space="preserve">
</t>
        </r>
      </text>
    </comment>
    <comment ref="A24" authorId="0" shapeId="0" xr:uid="{00000000-0006-0000-0E00-000004000000}">
      <text>
        <r>
          <rPr>
            <b/>
            <sz val="10"/>
            <color indexed="81"/>
            <rFont val="Arial"/>
            <family val="2"/>
          </rPr>
          <t>LUIGI D'AMATO:</t>
        </r>
        <r>
          <rPr>
            <sz val="10"/>
            <color indexed="81"/>
            <rFont val="Arial"/>
            <family val="2"/>
          </rPr>
          <t xml:space="preserve">
Source: Fernandez, 2018</t>
        </r>
        <r>
          <rPr>
            <sz val="9"/>
            <color indexed="81"/>
            <rFont val="Tahoma"/>
            <family val="2"/>
          </rPr>
          <t xml:space="preserve">
</t>
        </r>
      </text>
    </comment>
    <comment ref="A28" authorId="0" shapeId="0" xr:uid="{00000000-0006-0000-0E00-000005000000}">
      <text>
        <r>
          <rPr>
            <b/>
            <sz val="10"/>
            <color indexed="81"/>
            <rFont val="Arial"/>
            <family val="2"/>
          </rPr>
          <t>LUIGI D'AMATO:</t>
        </r>
        <r>
          <rPr>
            <sz val="10"/>
            <color indexed="81"/>
            <rFont val="Arial"/>
            <family val="2"/>
          </rPr>
          <t xml:space="preserve">
Source: Fernandez, 2018</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Luigi D'Amato</author>
  </authors>
  <commentList>
    <comment ref="C41" authorId="0" shapeId="0" xr:uid="{4F429155-08F5-4FB1-B514-C8A635593200}">
      <text>
        <r>
          <rPr>
            <b/>
            <sz val="10"/>
            <color indexed="81"/>
            <rFont val="Arial"/>
            <family val="2"/>
          </rPr>
          <t xml:space="preserve">LUIGI D'AMATO:
</t>
        </r>
        <r>
          <rPr>
            <sz val="10"/>
            <color indexed="81"/>
            <rFont val="Arial"/>
            <family val="2"/>
          </rPr>
          <t>Source: Market Realist (taken from JP Morgan Equity Research as of Q3 2018)</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Luigi D'Amato</author>
    <author>Sala BD</author>
  </authors>
  <commentList>
    <comment ref="P5" authorId="0" shapeId="0" xr:uid="{2DB14CEA-7A1A-4482-A7B5-83BEC1DE5BFA}">
      <text>
        <r>
          <rPr>
            <b/>
            <sz val="10"/>
            <color indexed="81"/>
            <rFont val="Arial"/>
            <family val="2"/>
          </rPr>
          <t xml:space="preserve">LUIGI D'AMATO:
</t>
        </r>
        <r>
          <rPr>
            <sz val="10"/>
            <color indexed="81"/>
            <rFont val="Arial"/>
            <family val="2"/>
          </rPr>
          <t xml:space="preserve">
Outlier
</t>
        </r>
      </text>
    </comment>
    <comment ref="Q5" authorId="0" shapeId="0" xr:uid="{58AC3B42-580E-4976-B442-F8D7CBD2C205}">
      <text>
        <r>
          <rPr>
            <b/>
            <sz val="10"/>
            <color indexed="81"/>
            <rFont val="Arial"/>
            <family val="2"/>
          </rPr>
          <t xml:space="preserve">LUIGI D'AMATO:
</t>
        </r>
        <r>
          <rPr>
            <sz val="10"/>
            <color indexed="81"/>
            <rFont val="Arial"/>
            <family val="2"/>
          </rPr>
          <t>Outlier</t>
        </r>
        <r>
          <rPr>
            <sz val="9"/>
            <color indexed="81"/>
            <rFont val="Tahoma"/>
            <family val="2"/>
          </rPr>
          <t xml:space="preserve">
</t>
        </r>
      </text>
    </comment>
    <comment ref="H6" authorId="1" shapeId="0" xr:uid="{00000000-0006-0000-0F00-000001000000}">
      <text>
        <r>
          <rPr>
            <b/>
            <sz val="10"/>
            <color indexed="81"/>
            <rFont val="Arial"/>
            <family val="2"/>
          </rPr>
          <t>LUIGI D'AMATO:</t>
        </r>
        <r>
          <rPr>
            <sz val="10"/>
            <color indexed="81"/>
            <rFont val="Arial"/>
            <family val="2"/>
          </rPr>
          <t xml:space="preserve">
EBITDA (Actual and Forward) for Nestlè are computed under the International Accounting Standards (IAS/IFRS). All the other measures are computed under the US GAAP
</t>
        </r>
      </text>
    </comment>
    <comment ref="N9" authorId="0" shapeId="0" xr:uid="{0F058CD2-6C39-4262-A96C-5303A6B83B84}">
      <text>
        <r>
          <rPr>
            <b/>
            <sz val="10"/>
            <color indexed="81"/>
            <rFont val="Arial"/>
            <family val="2"/>
          </rPr>
          <t>LUIGI D'AMATO:</t>
        </r>
        <r>
          <rPr>
            <sz val="10"/>
            <color indexed="81"/>
            <rFont val="Arial"/>
            <family val="2"/>
          </rPr>
          <t xml:space="preserve">
Outlier</t>
        </r>
      </text>
    </comment>
    <comment ref="P9" authorId="0" shapeId="0" xr:uid="{8867FC8C-C0D8-4F46-9F49-B0D1B66BDA48}">
      <text>
        <r>
          <rPr>
            <b/>
            <sz val="10"/>
            <color indexed="81"/>
            <rFont val="Arial"/>
            <family val="2"/>
          </rPr>
          <t>LUIGI D'AMATO:</t>
        </r>
        <r>
          <rPr>
            <sz val="10"/>
            <color indexed="81"/>
            <rFont val="Arial"/>
            <family val="2"/>
          </rPr>
          <t xml:space="preserve">
Outlier</t>
        </r>
      </text>
    </comment>
    <comment ref="D14" authorId="0" shapeId="0" xr:uid="{BC777DE6-F45D-430F-9AA1-204B0D59C22E}">
      <text>
        <r>
          <rPr>
            <b/>
            <sz val="10"/>
            <color indexed="81"/>
            <rFont val="Arial"/>
            <family val="2"/>
          </rPr>
          <t>LUIGI D'AMATO:</t>
        </r>
        <r>
          <rPr>
            <sz val="10"/>
            <color indexed="81"/>
            <rFont val="Arial"/>
            <family val="2"/>
          </rPr>
          <t xml:space="preserve">
The size discount has been calculated out of the average enterprise value of the comparable companies, excluding Nestlè</t>
        </r>
        <r>
          <rPr>
            <sz val="9"/>
            <color indexed="81"/>
            <rFont val="Tahoma"/>
            <family val="2"/>
          </rPr>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mediaw</author>
  </authors>
  <commentList>
    <comment ref="B6" authorId="0" shapeId="0" xr:uid="{A159A0C3-0A17-4B47-B764-C1565D4C656C}">
      <text>
        <r>
          <rPr>
            <b/>
            <sz val="9"/>
            <color indexed="81"/>
            <rFont val="Tahoma"/>
            <family val="2"/>
          </rPr>
          <t xml:space="preserve">Luigi D'Amato:
</t>
        </r>
        <r>
          <rPr>
            <sz val="9"/>
            <color indexed="81"/>
            <rFont val="Tahoma"/>
            <family val="2"/>
          </rPr>
          <t xml:space="preserve">
Inflation data are retreived from Macrotrends starting 1987 in order to have all the observations aligned for the four areas.</t>
        </r>
      </text>
    </comment>
  </commentList>
</comments>
</file>

<file path=xl/sharedStrings.xml><?xml version="1.0" encoding="utf-8"?>
<sst xmlns="http://schemas.openxmlformats.org/spreadsheetml/2006/main" count="1378" uniqueCount="712">
  <si>
    <r>
      <rPr>
        <b/>
        <sz val="16"/>
        <color rgb="FFFFFFFF"/>
        <rFont val="Arial"/>
        <family val="2"/>
      </rPr>
      <t>Kellogg Co (K US) - As Reported</t>
    </r>
  </si>
  <si>
    <r>
      <rPr>
        <sz val="10"/>
        <color rgb="FF303030"/>
        <rFont val="Arial"/>
        <family val="2"/>
      </rPr>
      <t>Cash and Equivalents</t>
    </r>
  </si>
  <si>
    <r>
      <rPr>
        <sz val="10"/>
        <color rgb="FF303030"/>
        <rFont val="Arial"/>
        <family val="2"/>
      </rPr>
      <t>Accounts Receivable - Trade</t>
    </r>
  </si>
  <si>
    <r>
      <rPr>
        <sz val="10"/>
        <color rgb="FF303030"/>
        <rFont val="Arial"/>
        <family val="2"/>
      </rPr>
      <t>Inventories</t>
    </r>
  </si>
  <si>
    <r>
      <rPr>
        <sz val="10"/>
        <color rgb="FF303030"/>
        <rFont val="Arial"/>
        <family val="2"/>
      </rPr>
      <t>Other Current Assets</t>
    </r>
  </si>
  <si>
    <r>
      <rPr>
        <b/>
        <sz val="10"/>
        <rFont val="Arial"/>
        <family val="2"/>
      </rPr>
      <t>Total Current Assets</t>
    </r>
  </si>
  <si>
    <r>
      <rPr>
        <sz val="10"/>
        <color rgb="FF303030"/>
        <rFont val="Arial"/>
        <family val="2"/>
      </rPr>
      <t>Accumulated Depreciation</t>
    </r>
  </si>
  <si>
    <r>
      <rPr>
        <sz val="10"/>
        <rFont val="Arial"/>
        <family val="2"/>
      </rPr>
      <t>—</t>
    </r>
  </si>
  <si>
    <r>
      <rPr>
        <sz val="10"/>
        <color rgb="FF303030"/>
        <rFont val="Arial"/>
        <family val="2"/>
      </rPr>
      <t>Property Plant &amp; Equipment - Net</t>
    </r>
  </si>
  <si>
    <r>
      <rPr>
        <sz val="10"/>
        <color rgb="FF303030"/>
        <rFont val="Arial"/>
        <family val="2"/>
      </rPr>
      <t>Other Intangible Assets</t>
    </r>
  </si>
  <si>
    <r>
      <rPr>
        <sz val="10"/>
        <color rgb="FF303030"/>
        <rFont val="Arial"/>
        <family val="2"/>
      </rPr>
      <t>Investment In Affiliates/Joint Ventures</t>
    </r>
  </si>
  <si>
    <r>
      <rPr>
        <sz val="10"/>
        <color rgb="FF303030"/>
        <rFont val="Arial"/>
        <family val="2"/>
      </rPr>
      <t>Goodwill</t>
    </r>
  </si>
  <si>
    <r>
      <rPr>
        <b/>
        <sz val="10"/>
        <rFont val="Arial"/>
        <family val="2"/>
      </rPr>
      <t>Total Assets</t>
    </r>
  </si>
  <si>
    <r>
      <rPr>
        <sz val="10"/>
        <color rgb="FF303030"/>
        <rFont val="Arial"/>
        <family val="2"/>
      </rPr>
      <t>Accounts Payable - Trade</t>
    </r>
  </si>
  <si>
    <r>
      <rPr>
        <sz val="10"/>
        <color rgb="FF303030"/>
        <rFont val="Arial"/>
        <family val="2"/>
      </rPr>
      <t>Current Portion of Long-Term Debt</t>
    </r>
  </si>
  <si>
    <r>
      <rPr>
        <sz val="10"/>
        <color rgb="FF303030"/>
        <rFont val="Arial"/>
        <family val="2"/>
      </rPr>
      <t>Notes Payable (Short-Term)</t>
    </r>
  </si>
  <si>
    <r>
      <rPr>
        <sz val="10"/>
        <color rgb="FF303030"/>
        <rFont val="Arial"/>
        <family val="2"/>
      </rPr>
      <t>Accrued Compensation/Postretirement Oblig</t>
    </r>
  </si>
  <si>
    <r>
      <rPr>
        <sz val="10"/>
        <color rgb="FF303030"/>
        <rFont val="Arial"/>
        <family val="2"/>
      </rPr>
      <t>Accrued Expenses</t>
    </r>
  </si>
  <si>
    <r>
      <rPr>
        <sz val="10"/>
        <color rgb="FF303030"/>
        <rFont val="Arial"/>
        <family val="2"/>
      </rPr>
      <t>Other Current Liabilities</t>
    </r>
  </si>
  <si>
    <r>
      <rPr>
        <sz val="10"/>
        <color rgb="FF303030"/>
        <rFont val="Arial"/>
        <family val="2"/>
      </rPr>
      <t>Income Taxes Accrued/Payable</t>
    </r>
  </si>
  <si>
    <r>
      <rPr>
        <b/>
        <sz val="10"/>
        <rFont val="Arial"/>
        <family val="2"/>
      </rPr>
      <t>Total Current Liabilities</t>
    </r>
  </si>
  <si>
    <r>
      <rPr>
        <sz val="10"/>
        <color rgb="FF303030"/>
        <rFont val="Arial"/>
        <family val="2"/>
      </rPr>
      <t>Long Term Debt</t>
    </r>
  </si>
  <si>
    <r>
      <rPr>
        <sz val="10"/>
        <color rgb="FF303030"/>
        <rFont val="Arial"/>
        <family val="2"/>
      </rPr>
      <t>Deferred Income Taxes (Liabilities)</t>
    </r>
  </si>
  <si>
    <r>
      <rPr>
        <sz val="10"/>
        <color rgb="FF303030"/>
        <rFont val="Arial"/>
        <family val="2"/>
      </rPr>
      <t>Pension/Postretirement Liabilities</t>
    </r>
  </si>
  <si>
    <r>
      <rPr>
        <sz val="10"/>
        <color rgb="FF303030"/>
        <rFont val="Arial"/>
        <family val="2"/>
      </rPr>
      <t>Minority/Non Controlling Int (Stckhldrs Eqty)</t>
    </r>
  </si>
  <si>
    <r>
      <rPr>
        <sz val="10"/>
        <color rgb="FF303030"/>
        <rFont val="Arial"/>
        <family val="2"/>
      </rPr>
      <t>Common Stock</t>
    </r>
  </si>
  <si>
    <r>
      <rPr>
        <sz val="10"/>
        <color rgb="FF303030"/>
        <rFont val="Arial"/>
        <family val="2"/>
      </rPr>
      <t>Additional Paid In Capital</t>
    </r>
  </si>
  <si>
    <r>
      <rPr>
        <sz val="10"/>
        <color rgb="FF303030"/>
        <rFont val="Arial"/>
        <family val="2"/>
      </rPr>
      <t>Treasury Stock (Amount)</t>
    </r>
  </si>
  <si>
    <r>
      <rPr>
        <sz val="10"/>
        <color rgb="FF303030"/>
        <rFont val="Arial"/>
        <family val="2"/>
      </rPr>
      <t>Accumulated Other Comprehensive Income</t>
    </r>
  </si>
  <si>
    <r>
      <rPr>
        <sz val="10"/>
        <color rgb="FF303030"/>
        <rFont val="Arial"/>
        <family val="2"/>
      </rPr>
      <t>Retained Earnings (Accumulated Deficit)</t>
    </r>
  </si>
  <si>
    <r>
      <rPr>
        <sz val="10"/>
        <color rgb="FF303030"/>
        <rFont val="Arial"/>
        <family val="2"/>
      </rPr>
      <t>Par Value</t>
    </r>
  </si>
  <si>
    <r>
      <rPr>
        <sz val="10"/>
        <color rgb="FF303030"/>
        <rFont val="Arial"/>
        <family val="2"/>
      </rPr>
      <t>Treasury Shares (Number)</t>
    </r>
  </si>
  <si>
    <r>
      <rPr>
        <sz val="10"/>
        <color rgb="FF303030"/>
        <rFont val="Arial"/>
        <family val="2"/>
      </rPr>
      <t>Shares Issued</t>
    </r>
  </si>
  <si>
    <r>
      <rPr>
        <sz val="10"/>
        <color rgb="FF303030"/>
        <rFont val="Arial"/>
        <family val="2"/>
      </rPr>
      <t>Total Shareholders Equity</t>
    </r>
  </si>
  <si>
    <r>
      <rPr>
        <sz val="10"/>
        <color rgb="FF303030"/>
        <rFont val="Arial"/>
        <family val="2"/>
      </rPr>
      <t>Shares Authorized</t>
    </r>
  </si>
  <si>
    <t>Kellogg Co (K US) - As Reported</t>
  </si>
  <si>
    <t>Current Assets</t>
  </si>
  <si>
    <t>Current Liabilities</t>
  </si>
  <si>
    <t>Stockholder Equity</t>
  </si>
  <si>
    <t>Total Shareholders Equity Excluding Minority</t>
  </si>
  <si>
    <t>Non-Current Assets</t>
  </si>
  <si>
    <t>Total Non-Current Assets</t>
  </si>
  <si>
    <t>Assets</t>
  </si>
  <si>
    <t>Liabilities &amp; Shareholders Equity</t>
  </si>
  <si>
    <t>Non-Current Liabilities</t>
  </si>
  <si>
    <t>Total Non-Current Liabilities</t>
  </si>
  <si>
    <t>Total Liabilities</t>
  </si>
  <si>
    <t>Total Liabilities and Shareholders Equity (Incl. Min)</t>
  </si>
  <si>
    <t>Non-Cash Working Capital</t>
  </si>
  <si>
    <t>Fixed Assets</t>
  </si>
  <si>
    <t>Tangibles</t>
  </si>
  <si>
    <t>Intangibles</t>
  </si>
  <si>
    <t>Total Fixed Assets</t>
  </si>
  <si>
    <t>Inventory</t>
  </si>
  <si>
    <t>Deferred taxes</t>
  </si>
  <si>
    <t>Other current assets and liabilities</t>
  </si>
  <si>
    <t>Total Non-Cash Working Capital</t>
  </si>
  <si>
    <t>Total Capital Employed</t>
  </si>
  <si>
    <t>Other non operating assets</t>
  </si>
  <si>
    <t>Other non operating liabilities</t>
  </si>
  <si>
    <t>Surplus Assets and Liabilities</t>
  </si>
  <si>
    <t>Total</t>
  </si>
  <si>
    <t>Net Debt</t>
  </si>
  <si>
    <t>Short term financial debt</t>
  </si>
  <si>
    <t>Long term financial debt</t>
  </si>
  <si>
    <t>Cash &amp; cash equivalents</t>
  </si>
  <si>
    <t>Shareholders' equity - Parent</t>
  </si>
  <si>
    <t>Minority interest</t>
  </si>
  <si>
    <t>Gross Debt</t>
  </si>
  <si>
    <t>Total Net Debt</t>
  </si>
  <si>
    <t>Equity</t>
  </si>
  <si>
    <t>Total Equity</t>
  </si>
  <si>
    <t>Prepaid Liabilities</t>
  </si>
  <si>
    <t>Accounts receivables (Gross)</t>
  </si>
  <si>
    <t>Accounts payables</t>
  </si>
  <si>
    <t>Derivatives &amp; Hedging (ST - Net)</t>
  </si>
  <si>
    <t>Derivatives &amp; Hedging (LT - Net)</t>
  </si>
  <si>
    <t>Total Surplus Assets and Liabilities</t>
  </si>
  <si>
    <t>Investments in Affiliates/Joint Ventures</t>
  </si>
  <si>
    <t>Provisions (Allowance for Doubt. Acc)</t>
  </si>
  <si>
    <t>Source(s): Bloomberg, Compustat</t>
  </si>
  <si>
    <t>Source(s): Bloomberg</t>
  </si>
  <si>
    <t>Operating Revenues</t>
  </si>
  <si>
    <t>Operating Costs</t>
  </si>
  <si>
    <t>EBITDA</t>
  </si>
  <si>
    <t>D&amp;A</t>
  </si>
  <si>
    <t>FY 2016</t>
  </si>
  <si>
    <t>FY 2017</t>
  </si>
  <si>
    <t>FY 2018</t>
  </si>
  <si>
    <t>Revenues</t>
  </si>
  <si>
    <t>Selling General and Administrative Expenses</t>
  </si>
  <si>
    <t>Operating Income</t>
  </si>
  <si>
    <t>Interest Expense</t>
  </si>
  <si>
    <t>Income Tax Expense (Benefit)</t>
  </si>
  <si>
    <t>Income Before Income Taxes</t>
  </si>
  <si>
    <t>Minority/Non Controlling Interest</t>
  </si>
  <si>
    <t>Dividends Per Share</t>
  </si>
  <si>
    <t>Basic EPS</t>
  </si>
  <si>
    <t>Weighted Avg. Shares - Basic</t>
  </si>
  <si>
    <t>Diluted EPS</t>
  </si>
  <si>
    <t>Weighted Avg. Shares - Diluted</t>
  </si>
  <si>
    <t>Profit After Taxation Before Minority</t>
  </si>
  <si>
    <t>Cumulative Net Income</t>
  </si>
  <si>
    <t>Net Income</t>
  </si>
  <si>
    <t>Amortization Expense</t>
  </si>
  <si>
    <t>Depreciation Expense</t>
  </si>
  <si>
    <t>Depreciation and Amortization</t>
  </si>
  <si>
    <t>Operating Expenses</t>
  </si>
  <si>
    <t>COGS</t>
  </si>
  <si>
    <t>Total Revenues</t>
  </si>
  <si>
    <t>Total Operating Expenses</t>
  </si>
  <si>
    <t>Non Operating Expenses</t>
  </si>
  <si>
    <t>Reference Items</t>
  </si>
  <si>
    <t>Net Interests</t>
  </si>
  <si>
    <t>EBIT</t>
  </si>
  <si>
    <t>EBT</t>
  </si>
  <si>
    <t>Earnings (Losses) from Unconsolidated Entities</t>
  </si>
  <si>
    <t>FY 2019</t>
  </si>
  <si>
    <t>FY 2020</t>
  </si>
  <si>
    <t>FY 2021</t>
  </si>
  <si>
    <t>Minority</t>
  </si>
  <si>
    <t>Net Income (Incl. Minority)</t>
  </si>
  <si>
    <t>Exceptional Items [Earnings (Loss) from Unconsolidated Entities)]</t>
  </si>
  <si>
    <t>Kellogg Co (K US) - Restated</t>
  </si>
  <si>
    <t>USA</t>
  </si>
  <si>
    <t>Average</t>
  </si>
  <si>
    <t>Unlevered Beta (Industry average)</t>
  </si>
  <si>
    <t>Re-Levered Beta</t>
  </si>
  <si>
    <t>WACC</t>
  </si>
  <si>
    <t>D/(D+E)</t>
  </si>
  <si>
    <t>E/(D+E)</t>
  </si>
  <si>
    <t>USD</t>
  </si>
  <si>
    <t>COUNTRY</t>
  </si>
  <si>
    <t>CURRENCY</t>
  </si>
  <si>
    <t>ENTERPRISE VALUE</t>
  </si>
  <si>
    <t>LEVERAGE</t>
  </si>
  <si>
    <t>HERSHEY CO/THE</t>
  </si>
  <si>
    <t>MONDELEZ INTERNATIONAL INC-A</t>
  </si>
  <si>
    <t>KRAFT HEINZ CO/THE</t>
  </si>
  <si>
    <t>Growth rate</t>
  </si>
  <si>
    <t>CAPEX</t>
  </si>
  <si>
    <t>Existing assets</t>
  </si>
  <si>
    <t>Total D&amp;A</t>
  </si>
  <si>
    <t xml:space="preserve"> RAW BETAS</t>
  </si>
  <si>
    <t>KELLOG'S</t>
  </si>
  <si>
    <t>UNLEVERED BETA</t>
  </si>
  <si>
    <t>ADJ. LEVERED BETA</t>
  </si>
  <si>
    <t>COST OF  EQUITY</t>
  </si>
  <si>
    <t>Other Non-Operating Income/(Expense) - Net</t>
  </si>
  <si>
    <t>Goodwill and Other Intangibles</t>
  </si>
  <si>
    <t>Intangible Assets</t>
  </si>
  <si>
    <t>Tangible Assets</t>
  </si>
  <si>
    <t>Investment Forecasts - Assumptions</t>
  </si>
  <si>
    <t>Average Estimated Useful Life (years)</t>
  </si>
  <si>
    <t>Tangible CAPEX (as a % of Net Sales)</t>
  </si>
  <si>
    <t>BOP Tangible Assets</t>
  </si>
  <si>
    <t>EOP Tangible Assets</t>
  </si>
  <si>
    <t>CAPEX 2019</t>
  </si>
  <si>
    <t>CAPEX 2020</t>
  </si>
  <si>
    <t>Terminal growth</t>
  </si>
  <si>
    <t>USD (mln)</t>
  </si>
  <si>
    <t xml:space="preserve">(Depreciation and Amortization) </t>
  </si>
  <si>
    <t>Average Useful Life (years)</t>
  </si>
  <si>
    <t>MARKET CAPITALIZATION</t>
  </si>
  <si>
    <t>MINORITY INTERESTS</t>
  </si>
  <si>
    <t>CASH AND EQUIVALENTS</t>
  </si>
  <si>
    <t>PREFERRED EQUITY</t>
  </si>
  <si>
    <t>TOTAL DEBT</t>
  </si>
  <si>
    <t>TREEHOUSE FOODS</t>
  </si>
  <si>
    <t>NESTLE'</t>
  </si>
  <si>
    <t>SWITZERLAND</t>
  </si>
  <si>
    <t>All data are as of 12/31/2018</t>
  </si>
  <si>
    <t>EFFECTIVE TAX RATE</t>
  </si>
  <si>
    <t>Risk Free Rate</t>
  </si>
  <si>
    <t>Market Risk Premium</t>
  </si>
  <si>
    <t>Cash and Cash Equivalents</t>
  </si>
  <si>
    <t xml:space="preserve">   </t>
  </si>
  <si>
    <t xml:space="preserve">   Depreciation &amp; Amortization</t>
  </si>
  <si>
    <t xml:space="preserve">   Net Income</t>
  </si>
  <si>
    <t xml:space="preserve">   Assets</t>
  </si>
  <si>
    <t xml:space="preserve">   Current Assets</t>
  </si>
  <si>
    <t xml:space="preserve">   Cash &amp; Cash Equivalents</t>
  </si>
  <si>
    <t xml:space="preserve">   Accounts Receivable</t>
  </si>
  <si>
    <t xml:space="preserve">   Inventories</t>
  </si>
  <si>
    <t xml:space="preserve">   Other Assets</t>
  </si>
  <si>
    <t xml:space="preserve">   Non-Current Assets</t>
  </si>
  <si>
    <t xml:space="preserve">   Property, Plant &amp; Equipment</t>
  </si>
  <si>
    <t xml:space="preserve">   Goodwill</t>
  </si>
  <si>
    <t xml:space="preserve">   Other Intangibles, Net</t>
  </si>
  <si>
    <t xml:space="preserve">   Total Assets</t>
  </si>
  <si>
    <t xml:space="preserve">   Liabilities &amp; Equity</t>
  </si>
  <si>
    <t xml:space="preserve">   Current Liabilities</t>
  </si>
  <si>
    <t xml:space="preserve">   Short-Term Debt</t>
  </si>
  <si>
    <t xml:space="preserve">   Notes Payable</t>
  </si>
  <si>
    <t xml:space="preserve">   Current Maturities</t>
  </si>
  <si>
    <t xml:space="preserve">   Payables &amp; Accruals</t>
  </si>
  <si>
    <t xml:space="preserve">   Other Short Term Liabilities</t>
  </si>
  <si>
    <t xml:space="preserve">   Non-Current Liabilities</t>
  </si>
  <si>
    <t xml:space="preserve">   Long-Term Debt</t>
  </si>
  <si>
    <t xml:space="preserve">   Deferred Income Taxes</t>
  </si>
  <si>
    <t xml:space="preserve">   Pension Liability</t>
  </si>
  <si>
    <t xml:space="preserve">   Total Liabilities</t>
  </si>
  <si>
    <t xml:space="preserve">   Shareholder Equity</t>
  </si>
  <si>
    <t xml:space="preserve">   Retained Earnings</t>
  </si>
  <si>
    <t xml:space="preserve">   Additional Paid-In Capital</t>
  </si>
  <si>
    <t xml:space="preserve">   Common Stock</t>
  </si>
  <si>
    <t xml:space="preserve">   Treasury Stock</t>
  </si>
  <si>
    <t xml:space="preserve">   Accumulated Other Comprehensive Income</t>
  </si>
  <si>
    <t xml:space="preserve">   Non-Controlling Interests</t>
  </si>
  <si>
    <t xml:space="preserve">   Total Shareholders Equity</t>
  </si>
  <si>
    <t xml:space="preserve">   Total Liabilities &amp; Shareholders' Equity</t>
  </si>
  <si>
    <t xml:space="preserve">   Special Company Reference Items</t>
  </si>
  <si>
    <t xml:space="preserve">   Net Debt (Cash)</t>
  </si>
  <si>
    <t xml:space="preserve">   Total Debt</t>
  </si>
  <si>
    <t xml:space="preserve">   Working Capital</t>
  </si>
  <si>
    <t xml:space="preserve">   Net Debt to EBITDA</t>
  </si>
  <si>
    <t xml:space="preserve">   Book Value per Share</t>
  </si>
  <si>
    <t xml:space="preserve">   Condensed Cash Flow Statement</t>
  </si>
  <si>
    <t xml:space="preserve">   Cash from Operating Activities</t>
  </si>
  <si>
    <t xml:space="preserve">   Change in Working Capital</t>
  </si>
  <si>
    <t xml:space="preserve">   Cash Flow from Operations</t>
  </si>
  <si>
    <t xml:space="preserve">   Cash from Investing Activities</t>
  </si>
  <si>
    <t xml:space="preserve">   Capital Expenditures</t>
  </si>
  <si>
    <t xml:space="preserve">   Cash Flow from Investing</t>
  </si>
  <si>
    <t xml:space="preserve">   Cash from Financing Activities</t>
  </si>
  <si>
    <t xml:space="preserve">   Dividends Paid</t>
  </si>
  <si>
    <t xml:space="preserve">   Issuances of Common Stock</t>
  </si>
  <si>
    <t xml:space="preserve">   Issuances of Long-Term Debt</t>
  </si>
  <si>
    <t xml:space="preserve">   Reductions of Long-Term Debt</t>
  </si>
  <si>
    <t xml:space="preserve">   Other Financing Activities</t>
  </si>
  <si>
    <t xml:space="preserve">   Cash Flow from Financing</t>
  </si>
  <si>
    <t xml:space="preserve">   Net Change in Cash</t>
  </si>
  <si>
    <t xml:space="preserve">   Cash &amp; Cash Equivalents, (End of Period)</t>
  </si>
  <si>
    <t xml:space="preserve">   Cash &amp; Cash Equivalents, (Beg of Period)</t>
  </si>
  <si>
    <t xml:space="preserve">   Free Cash Flow</t>
  </si>
  <si>
    <t>Income Taxes</t>
  </si>
  <si>
    <t xml:space="preserve">    (D&amp;A)</t>
  </si>
  <si>
    <t>Other Operating Expense</t>
  </si>
  <si>
    <t>Corporate Adjustments</t>
  </si>
  <si>
    <t>Net income</t>
  </si>
  <si>
    <t>Other Non-Operating Income</t>
  </si>
  <si>
    <t xml:space="preserve">   As % of Revenue</t>
  </si>
  <si>
    <t>Export Date: Mon Jan 27 2020 16:34:49 GMT+0100 (CET)</t>
  </si>
  <si>
    <t>Country</t>
  </si>
  <si>
    <t>Currency</t>
  </si>
  <si>
    <t>EV</t>
  </si>
  <si>
    <t>Sales Actual</t>
  </si>
  <si>
    <t>Sales  Forward</t>
  </si>
  <si>
    <t>EBITDA  Actual</t>
  </si>
  <si>
    <t>EBITDA  Forward</t>
  </si>
  <si>
    <t>Net income Actual</t>
  </si>
  <si>
    <t>Net income Forward</t>
  </si>
  <si>
    <t>EV / Sales Actual</t>
  </si>
  <si>
    <t>EV / Sales Forward</t>
  </si>
  <si>
    <t>EV / EBITDA Actual</t>
  </si>
  <si>
    <t>EV / EBITDA Forward</t>
  </si>
  <si>
    <t>P/E  Actual</t>
  </si>
  <si>
    <t>P/E  Forward</t>
  </si>
  <si>
    <t>Median</t>
  </si>
  <si>
    <t xml:space="preserve">KELLOGG'S </t>
  </si>
  <si>
    <t>Sales</t>
  </si>
  <si>
    <t>Other Operating Income</t>
  </si>
  <si>
    <t>(Non significant)</t>
  </si>
  <si>
    <t>Tax rate</t>
  </si>
  <si>
    <t>FIXED ASSETS</t>
  </si>
  <si>
    <t>NON-CASH WORKING CAPITAL</t>
  </si>
  <si>
    <t>Accounts Receivable</t>
  </si>
  <si>
    <t>Accounts Payable and Other Accruals</t>
  </si>
  <si>
    <t>Deferred Taxes</t>
  </si>
  <si>
    <t>Other Current Assets and Liabilities</t>
  </si>
  <si>
    <t>Total Non-cash Working Capital</t>
  </si>
  <si>
    <t>SURPLUS ASSETS AND LIABILITIES</t>
  </si>
  <si>
    <t>Pension Liability</t>
  </si>
  <si>
    <t>Other Assets</t>
  </si>
  <si>
    <t>NET DEBT</t>
  </si>
  <si>
    <t>Short Term Debt</t>
  </si>
  <si>
    <t>Long Term Debt</t>
  </si>
  <si>
    <t>EQUITY</t>
  </si>
  <si>
    <t>Total Shareholders' Equity - Parent</t>
  </si>
  <si>
    <t>Minority Interest</t>
  </si>
  <si>
    <t xml:space="preserve">Total </t>
  </si>
  <si>
    <t>Income Statement</t>
  </si>
  <si>
    <t>Balance Sheet</t>
  </si>
  <si>
    <t>Cash Flow Statement</t>
  </si>
  <si>
    <t>(Operational taxes)</t>
  </si>
  <si>
    <t>Gross cash flows</t>
  </si>
  <si>
    <t>Change in noncash WC</t>
  </si>
  <si>
    <t>FCFO</t>
  </si>
  <si>
    <t>Tax shields</t>
  </si>
  <si>
    <t>Interest income</t>
  </si>
  <si>
    <t>Interest expenses</t>
  </si>
  <si>
    <t>Income from associates</t>
  </si>
  <si>
    <t xml:space="preserve">Except. items </t>
  </si>
  <si>
    <t>Change in surplus assets</t>
  </si>
  <si>
    <t>FCFE</t>
  </si>
  <si>
    <t>Dividends</t>
  </si>
  <si>
    <t>Other movements in group equity</t>
  </si>
  <si>
    <t>Change in minorities</t>
  </si>
  <si>
    <t>Change in cash</t>
  </si>
  <si>
    <t>PENSIONS (NET)</t>
  </si>
  <si>
    <t>Method</t>
  </si>
  <si>
    <t>Multiple</t>
  </si>
  <si>
    <t>Enterprise value</t>
  </si>
  <si>
    <t>(Minorities)</t>
  </si>
  <si>
    <t>Minorities</t>
  </si>
  <si>
    <t xml:space="preserve">R^2 </t>
  </si>
  <si>
    <t>Sales 2018 Actual</t>
  </si>
  <si>
    <t>Sales 2019 Forward</t>
  </si>
  <si>
    <t>EBITDA 2018 Actual</t>
  </si>
  <si>
    <t>EBITDA 2019 Forward</t>
  </si>
  <si>
    <t>Net income 2018 Actual</t>
  </si>
  <si>
    <t>Net income 2019 Forward</t>
  </si>
  <si>
    <t>Market. cap. (as of 12/31/2018)</t>
  </si>
  <si>
    <t>EV / Sales (Actual)</t>
  </si>
  <si>
    <t>EV / Sales (Forward)</t>
  </si>
  <si>
    <t>EV / EBITDA (Actual)</t>
  </si>
  <si>
    <t>EV / EBITDA (Forward)</t>
  </si>
  <si>
    <t>P/E  (Actual)</t>
  </si>
  <si>
    <t>P/E  (Forward)</t>
  </si>
  <si>
    <t>Total Cash Common Dividends</t>
  </si>
  <si>
    <t>Dividend Payout Ratio</t>
  </si>
  <si>
    <t>Terminal ROE</t>
  </si>
  <si>
    <t>- Dividends</t>
  </si>
  <si>
    <t>TERMINAL VALUE</t>
  </si>
  <si>
    <t>ST Financial Debt (as a % of Net Sales)</t>
  </si>
  <si>
    <t>Average ST Financial Debt (as a % of Net Sales)</t>
  </si>
  <si>
    <t>Short Term Financial Debt</t>
  </si>
  <si>
    <t>Long Term Financial Debt</t>
  </si>
  <si>
    <t>Debt Rate</t>
  </si>
  <si>
    <t>Average Debt Rate</t>
  </si>
  <si>
    <t>COST OF DEBT</t>
  </si>
  <si>
    <r>
      <rPr>
        <b/>
        <sz val="11"/>
        <color rgb="FFFFFFFF"/>
        <rFont val="Arial"/>
        <family val="2"/>
      </rPr>
      <t>FY 2016</t>
    </r>
  </si>
  <si>
    <r>
      <rPr>
        <b/>
        <sz val="11"/>
        <color rgb="FFFFFFFF"/>
        <rFont val="Arial"/>
        <family val="2"/>
      </rPr>
      <t>FY 2017</t>
    </r>
  </si>
  <si>
    <r>
      <rPr>
        <b/>
        <sz val="11"/>
        <color rgb="FFFFFFFF"/>
        <rFont val="Arial"/>
        <family val="2"/>
      </rPr>
      <t>FY 2018</t>
    </r>
  </si>
  <si>
    <t>Interest Income</t>
  </si>
  <si>
    <t xml:space="preserve">Effective Tax Rate </t>
  </si>
  <si>
    <t>Operational Taxes</t>
  </si>
  <si>
    <t>Average Dividend Payout Ratio (%)</t>
  </si>
  <si>
    <t>Raw Change in Non-Cash Working Capital</t>
  </si>
  <si>
    <t>Net Income - CF</t>
  </si>
  <si>
    <t>Depreciation And Amortization - CF</t>
  </si>
  <si>
    <t>Deferred Income Taxes - CF</t>
  </si>
  <si>
    <t>Stock Based Compensation</t>
  </si>
  <si>
    <t>Other Non-Cash Items</t>
  </si>
  <si>
    <t>Change in Inventories</t>
  </si>
  <si>
    <t>Change in Accounts Payable</t>
  </si>
  <si>
    <t>Change in Accounts Receivable</t>
  </si>
  <si>
    <t>Change in Accrued Expenses</t>
  </si>
  <si>
    <t>—</t>
  </si>
  <si>
    <t>Change in Income Taxes Payable (Receivable)</t>
  </si>
  <si>
    <t>Change in Other Current Liabilities</t>
  </si>
  <si>
    <t>Pension/Postretirement Benefits</t>
  </si>
  <si>
    <t>Change in Accrued Compensation/Payroll Expense</t>
  </si>
  <si>
    <t>Total Cash Flows From Operations</t>
  </si>
  <si>
    <t>Change in Other Current Assets and Liabilities</t>
  </si>
  <si>
    <t>Gain/Loss On Disposal Of Affiliates</t>
  </si>
  <si>
    <t>Disposal of Fixed Assets</t>
  </si>
  <si>
    <t>Capital Expenditures</t>
  </si>
  <si>
    <t>Acquisition of Business</t>
  </si>
  <si>
    <t>Other Investing Activities</t>
  </si>
  <si>
    <t>Purchase Of Associates/Joint Ventures</t>
  </si>
  <si>
    <t>Total Cash Flows From Investing</t>
  </si>
  <si>
    <t>Dividends Paid</t>
  </si>
  <si>
    <t>Increase In Short-Term Borrowings</t>
  </si>
  <si>
    <t>Decrease In St Borrowings</t>
  </si>
  <si>
    <t>Increase (Decrease) Short-Term Borrowings -Net</t>
  </si>
  <si>
    <t>Increase In Long-Term Borrowings</t>
  </si>
  <si>
    <t>Decrease In Long-Term Borrowings</t>
  </si>
  <si>
    <t>Increase (Decrease) Long-Term Borrowings - Net</t>
  </si>
  <si>
    <t>Issuance of Common Stock</t>
  </si>
  <si>
    <t>Repurchase of Common Stock</t>
  </si>
  <si>
    <t>Effect of Exchange Rates On Cash</t>
  </si>
  <si>
    <t>Other Financing Activities</t>
  </si>
  <si>
    <t>Net Change In Cash</t>
  </si>
  <si>
    <t>Cash and Cash Equivalents (End of Period)</t>
  </si>
  <si>
    <t>Cash and Cash Equivalents (Beg of Period)</t>
  </si>
  <si>
    <t>Total Cash Flows From Financing</t>
  </si>
  <si>
    <t>Cash Paid For Taxes</t>
  </si>
  <si>
    <t>Cash Paid For Interest</t>
  </si>
  <si>
    <t>ARDR Free Cash Flow</t>
  </si>
  <si>
    <t>Cash Flow from Operating Activities</t>
  </si>
  <si>
    <t>Cash from Financing Activities</t>
  </si>
  <si>
    <t>Cash From Investing Activities</t>
  </si>
  <si>
    <t>Raw Change in Surplus Assets</t>
  </si>
  <si>
    <t>Raw Change in Gross Debt</t>
  </si>
  <si>
    <t>Change in Gross Debt</t>
  </si>
  <si>
    <t>Change in Cash</t>
  </si>
  <si>
    <t>Cash &amp; Cash Equivalents</t>
  </si>
  <si>
    <t>Effective Interest Rate for Cash</t>
  </si>
  <si>
    <t xml:space="preserve">Average Effective Interest Rate for Cash </t>
  </si>
  <si>
    <t>Financial Analysis</t>
  </si>
  <si>
    <t>D&amp;A as a % of CAPEX</t>
  </si>
  <si>
    <t>Leverage D/E</t>
  </si>
  <si>
    <t>Leverage D/(D+E)</t>
  </si>
  <si>
    <t>DSCR</t>
  </si>
  <si>
    <t>ROCE</t>
  </si>
  <si>
    <t>ROCE decomposition</t>
  </si>
  <si>
    <t>Effective operating tax rate</t>
  </si>
  <si>
    <t>Check</t>
  </si>
  <si>
    <t>ROE</t>
  </si>
  <si>
    <t>Effective interest rate (with average ND)</t>
  </si>
  <si>
    <t>Value Creation and Profitability Analysis</t>
  </si>
  <si>
    <t>Investment Analysis - CAPEX</t>
  </si>
  <si>
    <t>Investment Analysis - Working Capital</t>
  </si>
  <si>
    <t>Liquidity Analysis</t>
  </si>
  <si>
    <t>Profitability Analysis</t>
  </si>
  <si>
    <t>D&amp;A as a % Average Tangible Asset</t>
  </si>
  <si>
    <t>TOTAL ASSETS</t>
  </si>
  <si>
    <t>EBIT/Sales</t>
  </si>
  <si>
    <t>Sales/Core Capital Employed</t>
  </si>
  <si>
    <t>NOPLAT</t>
  </si>
  <si>
    <t>Non Operating Income</t>
  </si>
  <si>
    <t>Beginning Cash</t>
  </si>
  <si>
    <t>EOP Cash</t>
  </si>
  <si>
    <t>Trade Receivables</t>
  </si>
  <si>
    <t>Trade Payables</t>
  </si>
  <si>
    <t>DSO</t>
  </si>
  <si>
    <t>DPO</t>
  </si>
  <si>
    <t>DI</t>
  </si>
  <si>
    <t>SGAS</t>
  </si>
  <si>
    <t>COGS (As a % of Sales)</t>
  </si>
  <si>
    <t xml:space="preserve">Driver </t>
  </si>
  <si>
    <t>Financing Forecasts</t>
  </si>
  <si>
    <t>Investment Forecasts</t>
  </si>
  <si>
    <t>Operating Forecasts</t>
  </si>
  <si>
    <t>Assumptions</t>
  </si>
  <si>
    <t>Perpetual Growth</t>
  </si>
  <si>
    <t>Unlevered Cost of Equity</t>
  </si>
  <si>
    <t>Levered Cost of Equity</t>
  </si>
  <si>
    <t>Cost of Debt</t>
  </si>
  <si>
    <t>Tax Rate (Applicable to Tax Shields)</t>
  </si>
  <si>
    <t>Average DSO</t>
  </si>
  <si>
    <t>Average DPO</t>
  </si>
  <si>
    <t>Provisions</t>
  </si>
  <si>
    <t>BOP CASH</t>
  </si>
  <si>
    <t>CHANGE IN CASH</t>
  </si>
  <si>
    <t>EOP CASH</t>
  </si>
  <si>
    <t>Interest Income (Expense) on Cash</t>
  </si>
  <si>
    <t>Interest Income (Expense)</t>
  </si>
  <si>
    <t>Tax Shields</t>
  </si>
  <si>
    <t>Income From Associates</t>
  </si>
  <si>
    <t>Exceptional Items</t>
  </si>
  <si>
    <t>Enterprise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</si>
  <si>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</si>
  <si>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</si>
  <si>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</si>
  <si>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</si>
  <si>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</si>
  <si>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</si>
  <si>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</si>
  <si>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</si>
  <si>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</si>
  <si>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</si>
  <si>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</si>
  <si>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</si>
  <si>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37a120fd-504e-4976-8bda-8c5e63b115b7</t>
  </si>
  <si>
    <t>CB_Block_0</t>
  </si>
  <si>
    <t>Decisioneering:7.0.0.0</t>
  </si>
  <si>
    <t>CB_Block_7.0.0.0:1</t>
  </si>
  <si>
    <t>Net Sales Growth Rate (%)</t>
  </si>
  <si>
    <t>SGAs (As a % of Sales)</t>
  </si>
  <si>
    <t>(Non Significant)</t>
  </si>
  <si>
    <t>Average DI</t>
  </si>
  <si>
    <t>Financing Forecasts - Assumptions</t>
  </si>
  <si>
    <t>Trading Multiples</t>
  </si>
  <si>
    <t>(D&amp;A)</t>
  </si>
  <si>
    <r>
      <t>Spread on Debt (</t>
    </r>
    <r>
      <rPr>
        <i/>
        <sz val="10"/>
        <rFont val="Arial"/>
        <family val="2"/>
      </rPr>
      <t>Source: Damodaran</t>
    </r>
    <r>
      <rPr>
        <sz val="10"/>
        <rFont val="Arial"/>
        <family val="2"/>
      </rPr>
      <t>)</t>
    </r>
  </si>
  <si>
    <t>Inflation Data</t>
  </si>
  <si>
    <t>South America</t>
  </si>
  <si>
    <t>Europe</t>
  </si>
  <si>
    <t>North America</t>
  </si>
  <si>
    <t>Source(s): Macrotrends</t>
  </si>
  <si>
    <t>All data are in percentage terms</t>
  </si>
  <si>
    <t>Asia &amp; Pacific</t>
  </si>
  <si>
    <t>Driver</t>
  </si>
  <si>
    <t>7365556e-8b1e-42ff-baf2-a903f5809992</t>
  </si>
  <si>
    <t>Standard Deviation</t>
  </si>
  <si>
    <t>Asia &amp;Pacific</t>
  </si>
  <si>
    <t>Monte Carlo Simulation</t>
  </si>
  <si>
    <t>Steady State</t>
  </si>
  <si>
    <t>Cost of Goods Sold (As a percentage of Sales)</t>
  </si>
  <si>
    <t>Stochastic Variables</t>
  </si>
  <si>
    <t xml:space="preserve">Correlation </t>
  </si>
  <si>
    <t>Autocorrelation (k-lag = 1)</t>
  </si>
  <si>
    <t>Inflation Rate</t>
  </si>
  <si>
    <t>Long Term Growth</t>
  </si>
  <si>
    <t xml:space="preserve">Cost of Goods Sold </t>
  </si>
  <si>
    <t>CB_Block_7.0.0.0:2</t>
  </si>
  <si>
    <t>Autocorrelation (k-lag = 2)</t>
  </si>
  <si>
    <t>Cost of Goods Sold</t>
  </si>
  <si>
    <t>Fiscal Year:</t>
  </si>
  <si>
    <t>    Cost of Goods Sold</t>
  </si>
  <si>
    <t>Source(s): Compustat</t>
  </si>
  <si>
    <t xml:space="preserve">FY 1987 </t>
  </si>
  <si>
    <t xml:space="preserve">FY 1988 </t>
  </si>
  <si>
    <t xml:space="preserve">FY 1989 </t>
  </si>
  <si>
    <t xml:space="preserve">FY 1990 </t>
  </si>
  <si>
    <t xml:space="preserve">FY 1991 </t>
  </si>
  <si>
    <t xml:space="preserve">FY 1992 </t>
  </si>
  <si>
    <t xml:space="preserve">FY 1993 </t>
  </si>
  <si>
    <t xml:space="preserve">FY 1994 </t>
  </si>
  <si>
    <t xml:space="preserve">FY 1995 </t>
  </si>
  <si>
    <t xml:space="preserve">FY 1996 </t>
  </si>
  <si>
    <t xml:space="preserve">FY 1997 </t>
  </si>
  <si>
    <t xml:space="preserve">FY 1998 </t>
  </si>
  <si>
    <t xml:space="preserve">FY 1999 </t>
  </si>
  <si>
    <t xml:space="preserve">FY 2000 </t>
  </si>
  <si>
    <t xml:space="preserve">FY 2001 </t>
  </si>
  <si>
    <t xml:space="preserve">FY 2002 </t>
  </si>
  <si>
    <t xml:space="preserve">FY 2003 </t>
  </si>
  <si>
    <t xml:space="preserve">FY 2004 </t>
  </si>
  <si>
    <t xml:space="preserve">FY 2005 </t>
  </si>
  <si>
    <t xml:space="preserve">FY 2006 </t>
  </si>
  <si>
    <t xml:space="preserve">FY 2007 </t>
  </si>
  <si>
    <t xml:space="preserve">FY 2008 </t>
  </si>
  <si>
    <t xml:space="preserve">FY 2009 </t>
  </si>
  <si>
    <t xml:space="preserve">FY 2010 </t>
  </si>
  <si>
    <t xml:space="preserve">FY 2011 </t>
  </si>
  <si>
    <t xml:space="preserve">FY 2012 </t>
  </si>
  <si>
    <t xml:space="preserve">FY 2013 </t>
  </si>
  <si>
    <t xml:space="preserve">FY 2014 </t>
  </si>
  <si>
    <t xml:space="preserve">FY 2015 </t>
  </si>
  <si>
    <t xml:space="preserve">FY 2016 </t>
  </si>
  <si>
    <t xml:space="preserve">FY 2017 </t>
  </si>
  <si>
    <t xml:space="preserve">FY 2018 </t>
  </si>
  <si>
    <t>Enterprise and Equity Value</t>
  </si>
  <si>
    <t>Equity Value</t>
  </si>
  <si>
    <t>㜸〱捤㔸捤㙦ㅢ挷ㄵ攷㉥戹换㑦搹慡㈳昹㍢昱㌶㜰ㅢ㍢㜲ㄸ搱㤲㉣㍢㠱ㅢ㤳㑢㐹㈶敡㤰㡡挸挸㐰㠰㜴㌱攴捥㤲ㄳ敤敥戰戳㑢㑡㑣慦扤戵晦㐰㔱㈰㐸搱㔳㉦つ㝡㉡㔰愰〱㡡ㅥ〲〴㘸㝡㉤㡡昶攰ㅥち〴攸戹攸㈵㘸摦㥢㈵㘵㤲愲ㅢ㕢㔵〱㡦慤攱捣扣㜹㙦㘶摥扣昷㝢㙦㌶愶挴㘲戱㝦㐳挱㕦㉣〹㙣㕣慥て㠲㤰㝡㜹㤳扢㉥㙤㠵㡣晢㐱扥㈸〴ㄹ㍣㘰㐱ㄸ㠷〹扡挵㠰ㅥ㘸㔶挰㍥愴㈹慢㑦㐵〰㤳戴㔸㉣㤵㑡慢㐰㐷㈱昸㌷㍦敡愴㤱㉢㤷㠰慡㘱㤶㙡捤て㐰㙡㍤攴㠲摥㌰㜶㈳摥扢㠵㐲扥㤰㕦㕤㉦摣捡㉦摦㌰捣㥥ㅢ昶〴扤敢搳㕥㈸㠸㝢挳搸敥㌵㕤搶晡㉥ㅤ㌴昸ㅥ昵敦搲收昲㑡㤳慣摥㉥慣慥慤㌹㜷敥摣捥挱搲戱㙤戳㜴㥦扡㕤㤰㜷㔲㔲㜵㤰㕡㌵㑢摢㠲㍡㈷㈵㔳㐳㐵ㄴ捡戴挵㔰㘳㤴ち收户昳㘶〹晥㡦㘹〵㝡敢昹㕡扤㑥晤㠰㠵慣捦挲〱㥥㉦敤搵㕡捤㕤攲昶愸敥挹㉤愵扣㕤㈲慡挴愳㜳摥扢〱摤㈱㝥㥢㘲㑦昳戶㝡捣㑥挰㑤挶慦捦㕡㘸愸愴㝣捤㉣㤹ㅤ㈲㐲㈹ㄲㄷ㜸㝤搶㙣戹㔲㝥㙣㉢㤲㐷㡥愲㝡㤴散搰㔶攴㥡戸换㈴㔶㈹愸昴㌴㔴㘷户〴㜱㔸㡢ㅢ〱ㅥ愶挹㕣ㄶ晥晥㘳愳愰㈴晥〹㐶㌷捥㥢㠵挹慡㐵㔴慢愹㕡㉤搵戲㔵㡢慡㤶愳㕡㙤搵敡愸ㄶ㔳慤て㔴㙢て收㡣㑡㉡㤹㔴㠷攵捥慢扦㙤㥥昹改慤敡㈷慢ㅦㅦ攸㝦扦昲㈸㠷戲慡㜰扣㝣㤵㠶㈷㘴ぢㅡㅥ敢改搵㤹㠳搹㥡ㄷ摤㐶㤹〶慤㌴㕥㔵挵户改㠱づ㉤戸挲㥣㘷㜲㍦愴〷㘱㤹㠴㈴改㙤ㄳ㐱晤㌰つ㤳㤶㈴㔷搴㐲捥㌹㌹㌶攲捥っ㝢㈰㘱㕥㌶挷愴㘴攵㐰㈴㐹〱敦㡢㈷愲㍡愵捦昲攷晢㈴攸㠴愴改搲慢㔳户㡥㝡〳㐳㝢㌷㘴㙥㤰〷㤱㕢㠲昷扡愸搱㤳㤲㈳㙤ㄹ㙤㐳㥦㠳㑡愲て晥挲〲昷搲愷攰㈷㤳㐶㘲ㅡ㠹㠸㑣昰〳㘵㐴换㥤㠱づ㙣戱捣㍤挲晣ㄳ扡摣摣ぢ㈰昴㥤愱㈱㤷〵搹〷愷㝣㉣晡㘶㝥ㄹ晦㝤㍤㉡〱㈸㌹㙢捥扡㔳㈸搸㙢换㘴㠵㘸攸〵捦敡㔴ぢ挰㤳昳ㅥ㌲摦收晢搲换捥㜸攰㝣搲改ㅡ㠳㉥㤵㐳㌹愷㐱㐴㥢㠲攷㡡㑡㜹挱㌱戹㄰搴㈵㈱戵攵〰㠲昴戹挹挱㘰㔳㜰て挷㉦㤷㐸㐰ㅦ㝢昰㤲ㄳ㉤㔴攲㍤摦づ㉥捤㈶搶㐳㄰㝤㜱㥡昶㔸挸ㄱ戶㍡愰ㅡつ攴㑥㕦㥡㘶㤳挶㕦㍣㘰ㄱ昹挵㈹㌲攰ㅡ㙦㍥㤹扡㈹攸昷て愹㐷㜶㔴㠴㐸搵愷㐸㍦㜲捡㠸ㄴ敤换㌰㍢ㅣ挰㐸㙥㙦挹摢㘶慤㍤㉡敡ㄴ攳ㅣ戵攵㔱ㄷ㤱㐴挱ㅦ㕢㌴㔸慡愱敡〱㔸敤㤷挷㐷㥤㡤㠳㤰㠲㌷摢戰㕦〸㌸攱愰㠱㥥㜴㜶㘲㑡戴㈶㄰㉥㑣っ㙦昲㔶㉦㐰慦ㄵ摣㥤愴ㄴ敤㍥㠱㌵敤户戹㑤ㄳ〹㌵ㅥ㑢挴ㄲ㔸㈰㤲挶攳攰捡换㔳㡥㉡愳〶捡づ挶攱㜹捣㜲㄰㥦㔷㥥㡡㘹搲扣㤰㙦ㄶ㘴ㅣ愶〰捡昹㐹㕦挹敦㠰昶㐰㑢㉥㐵㐷㔲愷ㄱ㘵㙣愳㡦慤〶ㄷ㤹㠹愷搱㠹挶㜴㠶㜶㡢戳慦㍤昹㈸㔲散愱㘵晣㝦㈷慢敡ぢ挳搳㙦昴〱戳敦ㄳ摦㜶愹昸敦晡挲ㅤ愵搱戳搳㡢㔸㥤㠵㉡ㄳ搳扥〴㜴㝢愲㈶㌱㔷㔲づ㤴㠱戶捦散戰愳㜷㈸㙢㜷㐲ㄸ㠳ㄴ㉢㤵㐲㌵㔷㠷㝦㥦〳搴㝦㠹挹㔶晡㍣㔶ㄷ愰捡㘴㌲ㄱ㝥敡㤹昴㈵搹㡦㈵㄰㔹㘷㙤昲㌰づ㘰㠰换㍣攰挴摥㈴㉤㐸捤㤲挳挴㉣㘵㜲慦ぢ搱㐹捣攳㑣ㄳ㙣ㄳ㙣扥捦㙣㉡㔲㌸㔰㠷〴㌰〱㜹㔹愰㑢捦づ㈰散挴㘳㥡㤶㑤捤㕡慢㌲㤲㜵㜵愸挱昱〴戳㜲㐴晥㍦摥戹晤ㄶ㈶㤰㤹っ㈶㑤改换㔸扤〸㤵㠶㥡㝣㘶㙦㌸つ㑣㘷扤㝡㠷敦摦〷㔵搲㈰捡㝢〲㔳戰昰摣搱㘱〸愳挴扢㈰挷户〴〵〰ㄴつ挰〱㜹㐶攴戸㌸㤳㈲㤹㉥㑡㘳ㅣ㜳挳㈵㘷㤷搱㝤〴敦㉢㐷㐹㤰戸㤹扤㈰攴㌲敡扦㜴㤴㕥收㔵ㅥ㤶㔹搰㜵挹攰敡っ㜲㐴㜹搸愱㍥㘰㤷〰〸晢扡㐹扣摢愵昶㡣㍤搶㜹㑦戴㘸愵晣㍣愰ㅦ摣㔴㔴ㄴ〹㝣㑡㑡搱㔵〵捡昱ㅣ㑦㐱㤷㠸晤㘰攱㤷㕢㡦㍥晣攱㕢㍡挰愹〲づ〲㉥愲愱㌳ㅥ〷㈰㌱㍦㤹㥢〸换㡢㤸㠱扦つ慦ㄶ搶㜵㘹㠹〸㌰㙣㉥㠲戴㌷㙡㐶㠶㌷㤶㐵㐷摥昲㍣㈸ㅢ愲㑣ㄴ㕦昲㑦挶搷戱㡤㑢ㅢ㐴㘳㐶㑣㔳ㄶ愶〲㠱㍣㌷愲搳㌱敦㑡晢ㅢ㘰攲㌳㙥〴戱㉦搹挷愴摡戲㈰㐹㠵ㅥㄶ㐵㝢〴愲㘶敥て愱㌵攱攳㑢㐹㜲㘵昶㝣扥敦换㥤㙢〱收㍡ㄲ㑣㤳㐹㍣㐶〶㐵㘱㔹ㅢ㤹㑤㑣㐳昴㕥㥡愵慢㈸㈷㍤㝣捡㔵㙣〸て挳户㕢づ摦㙥つ㐱攵〳㉤㈵㍢愰挲㌹敦㈱ㄷ㝢㑤捥昷昰愵㜰㑡昶㠲づ愵㈱㍥愶戲㕥昴㈲挴㌶搸㝥㍣㍥昱㕡ㅡ敡ㅤ㠹㤸ㄱ换㙣㔹晦㈶戴攲㥢愲愵扦っ㡤㔷㑤㠲挰捤㉣捣㈷㕣愸攱戹㘱ㄲ攱㜲慢攸ㄳ㜷㄰戰挰戸㜶敢㝡晥挰つづ㤴扦㠲慡昰㐱昶捡㈲晢攲摣昹㑦敦㝤昴摥敦扥㜳晢戳㕦慣㈸㝦ㄹㄲ㕥㝢敦㈳攳捤挱㥦慡㥦晡晦搲ㄳ敦晦㍣慥㘱慣㜹慡㌸㍦てㄳ㑦㍢㠷㌰搷㘰愱㑢戳㑥㘴㐵搸㑥㌹〰㕣㤰㠳搹㐹愷搱〱〵㤵攷㥣㉤挱㙣㤷昹ㄴ慤っ戲㕢㝣愳㍥愰㙤挸户戶㌹扥㠷戹㍦攷㌴〴昱〳っ㑢㝥㙢㜰㘶愲㈷ㅤ㑢㜳㑡捣て㘰ㄹ〹慤搸㍥敤㈰昲挳㈵昷㍣㝦㡢㜴㠳攷挱昳攴㈷ㄲ㔰て㤴〸攷㔴㐵㔵㤵㤴㥡㍡愶昳挴昴㙦㠱愸〵改慣挳㤷昶ㅢ㐶搹摣戴㌶㜶㈱㉢㔳㈵づ慡㌷㜱戹〸晥㄰ㄷ㥦㍥〵㐳慦挸挹てて挳摣㌸㍥㉢挴ㅦ收㠸㌲攵昹㌶昰㈸㤸㠱㐸㤷㝡㘵搸挰捥㍣㐶㜳っ敥晡㌵愸㑥㤹㈵㙢㉣攳搳慦挳搸㌷㘰㉣昲㠰㤱㈳捤㘳昰㐷ㅥ昹㜹㈱扤〴㉤㐵慥㠰㐳㌷愰ㅡ㤵㜹㕣〹扤㍣晤ㅡ㔴㜳㜱〵愷愲摢敡㜹愸㉥㌵㝡㘱㐸つ㤷ㅡ㉤㡣㤸昰㠹换戰㤹攱㤲㍥ㄷ㕣㝦ㅤㄹ㈶扥㡣攸换㌰戴晥愰戸㕢摢愹ㄹ㘶㙤㘷扢戶㔳㙣㙣ㄸ攵愲戱㔹愹㔶㜶㌶㡣㙢挵㜶㥢㜱攱㤳㤰ㅢ㕢慣搷昶戹㜱㜳昹收㜲攴㔹㝦ㅣ㍡搰㔷挶捦搶慢摢晤捡㡦晥晣攳敦戵㝥戵昸㙢攵㡢㈱㘱晡攳挵晣攸㈰ㅡ敥晤捤㔹㌸㜳㈴㐳㕥㥡㝥㡥㙣挰昳㘲㠰㥡㡡㐳㙡愶㐹㤷㐸愸㙦ㅣ㑦搶〸敢昱㐲戵㍦挰慥晦〷㌹㜸昳㤳㔰㝤〵㐶搲慢㈸ㅡ慢㘹戸挶散㜲ㄳ捦㌱㤵〵㘷戳〸捥㡤㥦晣收摥㔷㉢敦ㄷ戳晦〱㡦挰㤲㙣</t>
  </si>
  <si>
    <t>㜸〱敤㕣㕤㙣ㅣ搷㜵摥扢攴㉥㜷㤶愴㐸㡢戲㙣㌹㡥挳挴㜶攲㠴挲㐶㤴愵搸㡥愳㐸晣搱て㉤㑡愴㐵㑡㡥ㄳ户搴㜰㜷㠶ㅣ㙢㘷㤶㥥ㄹ㔲㘲攲搶㜶㝥㥡愴㘹昳㘳ㄴ㘸㥤㌸慤攳愲〵晡㤲㈰㝤㜰敢搴〱㥣戶㘸摡搴㉥晡㄰ㄴ攸㐳〱㌷㈸摡㠷ㄶ㠵㡡扥昸㈱㐰晡㝤攷捥散捥㉥戹㐳㝡㙤户㜴挱戱昷昰捥戹晦昷㥣㝢捥戹攷摣㔱㐶㘵㌲㤹㕦攰攱㕦㍥摤㑣摣㍡户ㅥ㠴㤶㕢㥡愸㔵慢㔶㌹㜴㙡㕥㔰ㅡ昳㝤㜳㝤摡〹挲㉥ㄴ挸㉦㌸挸て㜲ぢ㠱昳㘹慢戰戰㘶昹〱ち攵㌲㤹㐲挱挸㈲㥦㡤昰㌷ㄸ扦ㄸ慣搵搷つ㌰㍦㌱㍥戳昸㈸㕡㥤ぢ㙢扥㜵㜰昸㤲慥㝢㙣㜴戴㌴㕡㍡㜲捦攸㐷㑡㠷づづ㑦慣㔶挳㔵摦㍡收㔹慢愱㙦㔶てづ捦慥㉥㔶㥤昲㔹㙢㝤扥㜶挵昲㡥㔹㡢㠷敥㕥㌴㡦摣㍢㝡攴攸㔱晢扥晢敥敤㐳搷㤹昳ㄳ攳戳扥㘵〷㙦㔱㥢㌹づ昹挸愴㔵㜶㌸㌷换昲ㅤ㙦愹㌴㌱㡥晦ㄳ攳挷摢㍤愵戹㘵换ち搹戵攵㕢㕥搹ちっ㔴散㜵挷㠲㘰搵㕤攱攲ㄹ敥㈹㑣戵㙣〶㘱捥㥤戰慡㔵挳㡤㕢㉤戸㌳㔸扢慡戹摥攷捥㔹㕥攰㠴捥㥡ㄳ慥攷摤㜹㌴㔴改㜷㉦〶搶〵搳㕢戲捥㥢慥㤵㜳㑦慦㍡㤵㙥晤㘴扡㍥㄰㌷㤱ㅣ㤸㑣扦㌴ㄶ戸ㄳ换愶㉦㈳ち戸㌰㈹㘵㑦昹攵收戲户户㙦㤷㐳㤷ㅥ搸收㥤敤换㈱攷㤲改搷㑢㡥戴㉦ㄹ㑤扥㜹〴ㅦ㙥㕦㍥戱㐶捤㜵㍥搸扥㡥㉣㘵㜳㘹搵ㅢ昱户慣㈸㈶㘳攴〹㝡〸ち〴㈴愰㔱㈴攸㈵攸〳㔰摤晦㡤㕤㤲慣挸慣散㠲㤹㕤㔸捣㉥㤴戳ぢ㤵散㠲㤵㕤戰戳ぢ㑢搹㠵攵散㠲㤳㕤㜸㌴扢㜰〵㘵攲愷搰搳㤳㡤㥥㑢㍦昹挳㔷㘷晦敡㡢㈷晥昸扦扥㜷攲散㔳摦晣㝥摦ㅥㄴ㝡㌰ㅡ搴愴㙦㕥〵慢㌵戸昸㜰改㄰晦摢㝡㔷㘰㔳搸㐷敤㝢散搱搱捡搱㐳收摤㘶㡥搳㑡㈱㝥ㄳ愳っ愲㙣㥦晤㤰攳㔵㙡㔷㠵㜶户㡥㥢㠱搵㔸戸㤱㈸㙦扣戶敡㔵㠲㜷㙤㥥㌹ㄷ㥡愱㜵㑢㙢㕥愳㤱つ搵收戰慤慣㐰晡扢慤戵摡㈵戳扡㙡㡤㕤㜳㜴昶扢㕢戲摤㔹扦戶搸㍥昷㤴㙦㍤㔶捦摤㌰愲㌱〸戵㌵㘹㝢挳㉣㜵㤶ㅥ搷昰挴㜲㉤戰㍣ㄹ摥㠸㍢敢㤴慦㔸晥㥣㐵㤱㘸㔵㘴慡㌷㌲㉢摡昵㈳㌳ㅥ㈶㡡摤㕡㜹㕦ㄲ㙢㥦扣ㄶ㘲㌳㕢ㄵ㡣㜷挵昲挳昵㜹㜳戱㙡敤㙦㉡愲晢㐴挶㠱㈶昴愹㕡㜹㌵㤸愸㜹愱㕦慢㌶攷㡣㔵搶㑣㐸㥡捡戹㕡挵敡敥捥㠸㔰㠰挰敤敡㔲㉡昳愱昶㝢㐱〸㤱㈰㌱㌷昲捤捤㙣㔷扡㠰搹㘱ㄶ㔵㡢㍣㤹扤㘳㡢挶㌸㕥㤱㌱㈹㍢㌰㌱㈷敡て㜶㝡搷ㄶ捤搶㈹昷昶ㄶ捥㘶㠷愲搹㥦㕣戳扣昰㡣改㔵慡㤶㥦慡晤ㄴ㐷㘴っ〰攴慥㐳㈰戴㕤㍤慡㍡㜵㑤慤攷慥㍡㤵㜰㌹扦㙣㌹㑢换㈱㜰搰㤰㠵〲㤷㜶挳㘳摣〰㤴戱㤷㘰〸愰㔸捣攴昷戱㔰扥㠸㈷㤳愳㜴㑡搹换㑤㠲㥣昵㥡昶㜲㥦㝤捡愹㠶㤶ㄶ捡〳㌶㈸愲戵㥡㤰慦㥦㉣敡㥢㘵慤㌰昶搹ㄳ攰㔲搳昱挲昵挶扥摤戰㑢㌴ㄳ敤捡㠲ㅤ㈷ぢ㈸ち㥡攵㐱捡㕥〳搳戴㐸㠳昴挲〹㈶攲㌶㐸搱散㘸戹㤹挹㔸㍥㐵㐶愰㝣㤲〹㔹晡㔰㝢ㄹ㐱㘶摦挸愴慣搴㜶㍦敥㑡戳捤㙣㜹㉤捤㙥挴挲ㄹ晢〹㙥㈲戸㤹攰〰㠰晡㔷㐸㌸㑡㌹愴㥢ㅦ攳㕤㜸㌷㙥㈵㜸㌷〰攴㤳㐱㤹ㄳ㠹㉡摡㔰摢戱㈳㔹慥ㅦ㜶戲ㄸ挵㕡ㄴ搱㌲慥摢㤹晤慥㄰㍡戲㍡㜷㠶慥敤ㄶㅤ晢晥昶扣㤹㥣づ㌹㌲愵㘸㜲慥㕢ㄴ㑤㉥〴㡢㜶愸户摥㠳慡挶㌰挱㝢〱戴㘲愱戱扢㍤㙢㥥收攴㍢挲㈴搲㠶㔰㠷捡㍤㘲㘲㥡晦㈹〲㙥挳搱㘵搷㝥愶㈹㌸㘲扦攳敤攷㠳敤昷㜶㐴昴ㄶ㥤戹慢㜳攸㉢㝡㠳ㄶ昴晢戰扤搴㍦戵搵㉦㜷㈰摢戸㤳攰晤〰㉤晡㠵㈷敦㌷敡㈵㄰㤳搸㑤㔰㙥㉦㍤㉥㘲攱捥慦慦㔸愲㝤晡散㜹搳㕦戲㐲㜸㉦愶㈶㘱〷搷㝣摦慡攲㐰㕢ㄱ〴捦㉥㌷㌵㈳㠳㔳㝥捤㈵㝥搷㍥づ摥ㄱ㡡愱扢㍢摢㤵㘹戱㡦㔳散捣㠴扦㈹挱㌹搴扦㜷户ㄷㄲ㠹㑡捤散挵㝡改㘷换㕤㐹搲㠱㈴戹ぢ换㙡㝣㄰〰㔲㐲晤㐳㕢㠹㌲挲㘲〷愵㔸戳戵㑡敦㕥捡挹愴挵㝦戸㐱㡥昴㙡㘷敤㌸㝣〷㐱扦㍢攷戸㜵㘱搱敢捥㕡㝥ㄹ㝥〵愷㙡ㄵ戵㑢㤶愲㘶㔷㔶扣㐳㘴㐵㔷搷㠶戳㜴㡡㙦㑤昸愴㐵㑡愴敥昶搴捣㤴㜳㜸㠳愹攸㠲愴㔰㐹㜱ぢ搵㈵㄰㌹㡦㘵㜷㐵㑣〷㈲愶㠴㠵㌳㍥㑣㜰㠸㘰ㄴ㈰昷㜷㤰㌴摢㕤㜸㠶挲㝡搶攸捥㕥㔸挸ㄴ㐸〶㜱て扥摡㔶㔸ㅤ㘱㌷㐷〹㍥〲搰㘲晥搰昹㤸挲㠸㐲昲〴㈳搲㕡㌲散㑢㡥㜵㤵㍣戰挷㐶㔰㘹㘲㌵〸㙢㉥愳㑡晤昶㘴敤㝣㉤㥣㜴㠲ㄵ㐴愱㠶散㈸昱搰戲攵㠱扢㝣搸㍥㉤戸摡捡㡡㔵㌱散戹摡㉡㐴摢搴攴㑥㌸㤴㘳㝥戰㈵攵㕣㥥㔵㜸㍡㍢ㅢ愳〹㈵㈷㘲昸㕡改㠹摤㤶攷㥢㠷扥㠱挶㡡捥㍢㘱搵敡戵昵愶㘳扡㘰㘳ㄵㄱ㌵愸昴搸昳换扥㘵㑤昶摢愷㝤愷㔲㜵㍣㡢挴㠰㡤挹㐰摤戴戵㠴〸挱㙣㡤昱扦㥡搷㙦捦晢愶ㄷ慣㤸っ㈶慥敦㙤㝡㤳㤰㐸捥ㅥ㜷扣〰摤〸ㄵ㤹ㅥ戰攷㤶㙢㔷ㄱ慤㕤㜵扤搳收㑡戰㈳愸㐲愶搷㡦㤰㐶㘵㔵㌶慢ち搹㐲愷昴攱㠱㍣㤳㌹㡣㕦㌷㠱搰㉡㤳愳扦㍣㐵㝢搳慥㡦攲㌳戴搳㌹愶㍥㐴㡥敡挸慥㔴㈹捣㥤㙡摣换㍡昷〱㍣㜰晡攲㔴㈳㉡昷愶攲搵㌹㝡昸㔳㘴扣戰㐵㍤〸㐲晦摣ㅥ捤㉡挴㤱㜳戰〳㐱㜱扥戵戲㕦搱㤶㌲攴扥㍤㡤攴㈹㐴㤱晡散㘹㜳搱慡㈲ㄶ敤㥡攱ㅥ晤㐲㌳搶㌵慢㐱㤴㌷㔱㜳㕤㤳慣㐵戶㥣㉢㥢攴攰戱搵戰㜶捥昱っㅢ㐰昸㉦㐲㤹搷㠰㌲慦〹慡捦扥挰戰愰愴搹㔶㙤挹昴㥤㜰搹㜵捡〵扥㌰㜴户㈳㜸ㄲ㥢㥣㤲㌷㝥㘲㤹㌱摣㘲捤㕦㠴挹ㄶ㤴㐰敥ㄲ攴㈸㤷㡥攴〷攷㘶㔵ㅥ晦愹づㅤ㑢㄰㌰攲㈵㌵敥㐷㙢㌹戹ㄹ〱㤱㈳捦昵昸晥挵昵㈷㠰搱㝥㌹㔲㍤㠵㐵攰ㄱ㑣〸㜹扡户昳昶㐵捦〹㐱㍤㔲散㤴ㄳ㑥〶㈰㌹〰㤲㜲扣扤㐵愸㥡愸㌴㔲搷ち敦搹㤸搵愴㈶㙥摢㤸㥦搴ㅢ㜷㙣㤲慤㌵㑡㐲㤱㙣㔵㐸㌴换㈶㘳摣㐹慡㐶㠹攲㡥戵㡤㑡㜳㥢㌶搶㥤㔲攴㑤㈸㈶攱㤹㡣㜱㑣ㄸ〵㐱㕥㜲〷㜴ㄴ晤昵改散㤱㠸搶搰〶㈸㔲㑦㘹㕣㝦ㄴづ㥣挲㤵㤳㡡㔵㡣摥戰扦昷㐴挹㤹搵戰㈹挷扣㌶ㄴ攵㡣㔵慢㌳ㅥ慣㠴戲改㔷㜶挸㤶挶摣戴㠶㤱摤搹愹昶搷换㥢搸㠸搱㌶㘴㐸㈴挵て㡣㙤㠸捤㤵㠸愶搲㍡敢攷㔲搷搱〵扥㥤戳㑣㑦㈸㌰ㄷ㔶㈶慤㌵㌱挳ㅡ㤶晣㤰㔴愸㥦ㄶ㐵㡥ㅡ昶搸㘲〰㤵ㅥ㔲㡥㐷㈹搹攰㠶㝤㠱㙥㈹㕣㘰㠰搸㡤㔲戳攵㄰㘱摤㝡〳㍣ㄹ散ㅣ敡㘰㐵㜴搸㠴搶ㄹ㈵㘸㍥㠵㜱㥢㈷挱扤搳㈱㐵㈱㐸㙤㜹晥昳戸晡收㌳㝣晥攸㜸㈶㑥㐴㥢㠸愱慥ㄴ敢〱挴㑤㐶㈵戹㡢㠶攲㘰戹㤶㙣㈲戴晡㘲ㅣ㑤㡣㝥㥡㝣㝥㠸ㅢ㍣㡣㘳つ㜰摢㔴㜱挷㉤㜴愰㑤慢敢㝢散㈹慦㕣㕤慤㔸愲㡡㘳㔹㉤ㅡ㜹㐷搰㑢慥晦改摤㤴戲㉥搱愲㑣攱㈸挵㈹㤳㐸㥤摢摤挶挷㔱㕤㠴ㅣ摡搰戲㡤挱挷ㄴ户㥣〴挳㌶摣㔱愰㝤戸户㜱㜹㐱㉥捥㐱愴㙤㐰㔱㤶㑤攳㉥㕥㍤㠲㉣扢㉤㔱㙣扡㌶㕤愳捤㥥㐰㥤㜱㌴㙡㐷搰〸昳搴〲㉦㥦㠷㌱搲攱敥㘰㈳㤹敢㔱㘴昷晡ㄳ昲㥡戹㝥㍣㌲㍥ㄴ攳扢㍣〵㘵戰慡搸㐸㌴戸戳つ慢㕢㌱昲㑢换摢㌸〱愰ㄸ〲愶㐱㡢㤲摡挰ㄹ㐷㝡㙢〳㠷挱挸㤴攸㘸㌲㤰捡ㄸ攵㄰ㅣ昶㈰ㅡ㜶ㄳて搲昳㌵㈸愱㜰㥦㕣ち㡢敦㈵㡥戸㌸〲搵晣晤㉤挸㔹㌳挴搵ㄷ敦㐰ぢ㝡慣㔲愱戹ぢ晦摣㡥愰㉡慥㙤㘸㜳㜴㕦换㠵㉣㤹ㄳ敤扢摢㕢㌲愲㡢㠲㠷㈷㑢㘷捣戰扣㍣ㄷ慥敢㑢㕢㥤戲㐴敥㠷昰㐷㙣摡㍢㙤收㙥㡦㤷㔰搷戸昶挵㉢㕥敤慡㈷攳捡〵扣昱㐷㉢搶攸改攱㈰㡢㉦扦晣㜲挴㔵搹㑣敥㈵戴戸㥤㘱戳㠱㠶㠳㠴敤挸㔳㌴㑥攲㉦慤㥤㘱晣㑤攱ㄵ搸敦昵㕢〳攴㤵㝤㉤扣㈲挲㘰㤷㔹扣愵户㡣㔹搴て㐰㕡㌲㑣㤱搷挷戱攴㜸戲ㄹ昵㈲㕥㐸㜴㜹㉦ㅡ㘷昰㤷攴㝢㉦晥愶㤰㑦〴㝡㜴捤㠳㤷㐲晥晦㔰㉡摥搵㥢㙥慢晦㠵㑤慤晥〴挴㄰㌲㠱㈶つ㌲扤搰㑣愶戳ㄱ㤹ㄸ㤴㝤㐳攱㙦捥㘰昷搸昹戶㕦昱晤㍦㍣㜶㥥〳㠵昹㠸㘵㠶〰摢ㅤ㐸搷つ㠳慥つ㠶挱㥤挸ㄶ挳攰㍣敢㌰㜶慦つ㠳挸昳㌱ぢ挴搶㠶〱㈳㝡㈹收㕦㈲挰㥡㜰㘶昰摣戵摦愵㔷散っ慥摡㕡〱愲昸㔰㔵挱〴晣㔰㌷㙤㐴捦㥡扥改ㅥ㄰晣㘹摦㠲ち昳攷㜱㜷㕢慡戰挶㉤㥢收㐸愵㑤㍣ㄴ戱㙦㝤搷㡢戲扤ㅢ敢愰㤴㝥戴搳㕥ㄵ㔴晥㑤昸㐷ㄴ㑦ぢ㤹捦散晢敥改㝦晥昴攷㡦昳㡥㕡挴慢㌹〶㠵㍢〹搴搳㠲㐰㈸㌷㜱㍤攴㐶㝥㡡㜳づㅦ㈵㌹㉢㔵㙢摣昴挵昶〹っ㌷㑥㙡挶㑢㌰愶㘶扥㥤㘰㔸攲戶㠳㌶㉣㑢㉤㑥㑥昹㤴㐹ㅣ㠳愵挴挰挵㤳ㄷ〷ぢ㔵㕢戵搵愱㡤㤹晢ㅥㄴ捦ㅢㅣ㐸戳㙤挸戳㈶ㅦ愵扥ㅢ㙢㌶㡤挸㘴㡥攲晣愱て㤰㙡〴戸㔸㑡㈱敡㐰づ㐹ㅥ㕦㜸つ㐰愴搴ㅣㄲ戹ㄲ㐰㑡㍣慤㌵戰㑢㉦挰慥㄰戰敡㔷晤㍡晣㙣〵慢〸㉡挶ㅥ昸㑥捦戱㍣昴挷慡㠹〱㕡㌹㠹捣㈳㈱㐷ㄶ㈲ㄸ戱ㄵ散㐵㈴攲㈷㌷㡡搴戶㥤㔰散愴摦搵攱㌶扤戱㜳㉥㍤㙣㐵昷愴户㡡晢ㅥ搰㌳㜹㔱ㄸ摥㕥愲㜱っ㤵挸㥣㉥㕡搴㈸挲〱㥤慣㔷敡㡤戲愰戳扣〳㌸㡢㈲攴挷㙦㠳㤸㍦搲㘸晡挶搶ㅣ敡㌸慦〷ㄳ攴て昶搷㙤㈹ㅢㅢ扤㜲挷㐰挲㙥慢㔴㐱㕦〸扦㠴㉡㥣㜴㐶ㄹ㡤愴扣㉢㐶愶攳㥤搵㤵摤愰晦ㄹ戳㤶㥤昵㄰㙢㌳㜸摤愴晦ㅦ〶㘲㑢晤慦ㄸ㜱ㄳ㤲㝤㌲㑡昰㈵挷愸挹㤶㠱ㅡ慥〸晣搹〸搹挸㜱搸㤰㈴〳摤㍡㌵㠷捦㔵㜵戶㐸㜰㜸扢扡㕢㉦㐴搴敢搲戶敤㙤㉢〰敦攳㤰晥〰㈲愸㙤㝤づ㝡攳㤹㌶晦〸搰晢捥㌹㘵扦ㄶ搴散㜰㜸づ愱摥㘱㝥㙤㘶挳收ㄹ㔳扦摦㉡搴㙥挷㑡昴晤㌲敡㥣㥦㠱挰㍥㙦㠵㙦㔵〴㤲昱㠴敤挵㉦昸攵搱㘰㈲愸㐴敤㄰摣㘰㍦戸㙡㔶昱戱敡っ㍣㥣㈱㔱㍢㐲搹㘹㍦㜳敢扤っ㉥ㅤ㙥㘶㥤㠵ㄷ挸慡㤶㄰ㄲ㤳㈹㝣敡㤷戸慥慤㙢搰㕣㌶㥡㕢挰㤲㥤㜹摡㡡戹敦㠰愶摢敢愵㤹㘵搸㈷扦㐱㉥ㅡ㤷〹㜱㡣晥㌸晥㙥摦㉤换搶㠶挰攷搱㈷摣㜴㝦㡤㔴攱㌴摢㐶捣摢㐴㔵㜵㠲〰㍦㘳㌱㑡昰㐵搱户挷慤愸扥㡤㘹㜱〳㈰㥤挹㔷〰摡㜳昵户㌶攳㙡㐵摦㡥戴て搶捦㤰挹昸㔳㜴ㄹ〸㜶㈹㠹攵〹㔵戰换㐹㉣て㈷攴攳愲晡㙤昴挰㜵搶敢昵㈸㜱㌸慣挸㈱〴㘹㈳㈹晢ㄵて㈱㌲㠳摦㐲㠵晡っ㕣㘰摢捦攰改㑤㘷㐰昳㐱㐶㤵㙣㝦㌰㔶㍦挶ち扢㝥㡣挰㈷〸〰〶攳㤲〳ㄴ慣㤴㔶㜹ㅤ㤲㜸昱㌸搲㜸晥㍥晡晢摡昱㔷㕦攱昳ㅦ挷㤵㠸㔲㘴㌵捦㠲愲㔴㘶昱㤵攴㉣搶㠰㙤㍦㡢㉦㙦㌶㡢㐱㑡㔹㡥挴戸〶搰摦愵㉥攳㡦捣㙡ㅤ〹㉥㈸㝦捡㡣戱昱っ昰㥥ㄹ㈴㙢㐸摤捦㈰搱摦㌵㐸㔲搲㠳㘳㍣㑥昰㉢〴扦㑡昰〴挱㤳〴㑦ㄱ㝣ㄶ愰㌸㐸ち㑢攱捦ㄱ昷㜹㠲㉦㄰晣ㅡ挱ㄷ〹扥㐴昰㘵㠰攲㈰〹㉦㠵㝦㥤戸慦㄰晣〶挱㙦ㄲ㝣㤵攰㙢〴㕦〷㈸㉡㌲㠰㑣攱ㅢ㐸挴㔳挸㤱ㅥ㈹摦㈵㠹愱挷㝢㥣散㈶慦㝤挹㜹慤摥ぢ㙥攴㐴摥ㄱ㐲づ㔳攲㠷扥㙤㜵㔳扥挳ぢち捡㡢昹攳捣㤹挸㠵〷㥦㕥㥤㍦㈵㌶愳挸捦㕣㐸攵挶㠵扦晦㐲挳戳㠴っ㍣㘰㘲㕤㤸㝣㉦㠵慢㜱攱挳昸愰㑣捡愰㘵晤扣ㄶㄷ收晥㤰挲㔷攲挲晦㝥昸㐰扤㜰扣ㅤ㜴换㌹昲㙡㡡搱㉥挷㤸挴挷攵昴づ攴㙣ㅡ〲扤戶㐶㔳〵㐸攴扢㉡愶㐰ㅦ敥戲昸昸扣㝢ㅡ㔷戳㜰㠳〵摡㐲晦㉢て㔳戸戲㌵㘹㠶㈶扥摥㕥㐳慣摣㌷攴㡤㤵昳昶㡣て㐴㡦㍤ㄵ攰㜰㔸搹㔱㉣〲扢愶㕢慦敦ㄶ㌱㠵ㄴㅢ戸戱ㅥ㜱㡣㉦换㉢㌰㥤㘹㐱㠹ぢ㜵㉢㈷愶㙣收挹〶捦ㄸ扦〳攲㐰㕡〳㌲㘱㍣〳愸攳㐸晢㠸ㄸ愴ㄸㄲㄹ昳㉤㘶㍣㑢昰㙤㠰愲愲捣㈱ㅦ攴㝦ㄷ㘰㈰晥㌷㌶㠶搷挴昱㤳㔵㘶摣㔹㤲㡤㡣攷㔸攱㍢〰㕤昰㍡慢㠸〹㡢挶昳挰㈴㍡捤㔱㝥摤摦摥戰收戹㌹晥敥ㅦ搱搰愶て晣㑦攲㠳晤㜵㌶摣㠵㝦慦㈴㈷愷㠰敥散㐷㍢㙢㡢㡣㐶〳㕥㝥㡦㘰㐲㙦愲ㅤ㉥㜰挳㈰㘵㡢㤴㡣㐵㐵㈹捤改慡㑦愱㝤昶㐱晢扥愸㈸户〵晤挹〸扤㕦搰㤴攴㠲㝥㌸㐲昳㠲㐴㔱㍤ㄹ愳㍦ㄱ愱敦ㄲ昴㔳㌱晡愱〸㑤㥦㑣㔱㝤㌶㐶㕦㡡搰搴㘶㠵㍣〰㥥搷㝦愱愸㄰愴㤳㡢㔱扥ㅥ㈹㔵㠴愰攷㈳戴ㅥ改ㄷ㘲昴㕣㠴搶㈳愵ㅡ㤱搲ㄷ㈲戴ㅥ㈹ㄵ㡢愰ㅦ㡣搰㝡愴㕦㡡搱戳ㄱ㕡㡦㤴捡㐷㑡捦㐴㘸㡥戴愸愸㠴〴㝤㍥㐲敢〱㔲㉤〹晡㕣㠴搶〳愴愲ㄲ昴㜴㠴搶〳愴敡ㄲ昴搹〸慤〷㐸㘵㈶攸〷㈲戴ㅥ㈰搵㥢愰愷㈲戴ㅥ攰搷㘳㌴㐴戶㔰㑦〶㌸昸つ愰㘵搳扣㠸㠴昱〳㠲㍦〳㈸收戸搹戶扤敢挹㌲ㅤ㥡㤰㉦愱慡㝡㠶〰㍦攳㠷㔱㠲㉦㡡晢㔸㘶㌲ㅥつ昹㘳㐰ㄴ戲㜹昵㙣㥣㌱ㄶ㘵ㅣ㤳っ愵戸摦愵挶㠹㈸攳㌸㄰挶㡦〰搴㜳〰㥣㤳昱攷㝣攳㌶㤶づ晦㈲㑡㐸㠷㕣〳愹晥戱㤶づ戹㉥㤲㜱㝦㑢㠷㕣㉢挹昸㘸戲挳ㅦ戳搱㤷〸昰㙢㌲挷〶㌹㐱㔹敦扦㐱愲扦㙢㠰㘳愳攱㤶扤愶捡㤷㉢㤷㉦扦㍥搰㍤㝣㑢昷㈷㑥昴㍤昳摡㑦㝥昶昴㑦ㅦ㌹昶㙦㍦㝦昶搹㥦晥换搳慦晣晣愵挵㘳㍦㝥晥昹扦㝣攰昷㕥昹搹㕥晢戹散ぢ慦㑦㍦昷昸攸㤵挷ㅦ戳㉦㝥攸昴攳て㍦晡攰攸散つ㈳㕤㕤㍤㍤ㅦㄸ晡敢㥢敦ㅡ㝣昲戱㍦㔵㍦晡挷㥢㍣㈵搳㐵〷捤挳攰戴㘵ㄸ㝦㡢〴㠶挱ㄱ扦慤挳攰㜴㘵愱㡥㐴ぢ㌵づ㐴〱㡥㌸づ㐰㌲敥㙥捥攸晤ㅦ㜲㐰㜵㈶</t>
  </si>
  <si>
    <t>㜸〱敤㕣㕤㙣ㅣ搷㜵摥扢攴㉥㜷㤶愴㐸㡢戲㙣搹㡥挳挴㜲攲㠴挲㐶㤴愵搸㡥愳挸晣搱て㙤㑡愴㐵㑡㡥ㄳ户搴㜰㜷㠶ㅣ㙢㘷㤶㥥ㄹ㔲愲攳搴㡥㤳戴㐹搳晣ㄹ〱㕡㌷㜶敡㌸挸㐳㕦㔲昴挵慤㔳〷㜰摡〲改㡦搳昶㈱㘸搱㠷〲㙥㔰戴て㉤ち〱㐵〱㍦〴㐸扦敦摣㤹摤搹㈵㜷㐸慦敤㤶㉥㌸昶ㅥ摥㌹昷晦㥥㜳捦㌹昷㥣㍢捡愸㑣㈶昳㑢㍣晣换愷㥢㠹㕢收搶㠳搰㜲㑢ㄳ戵㙡搵㉡㠷㑥捤ぢ㑡㘳扥㙦慥㑦㍢㐱搸㠵〲昹〵〷昹㐱㙥㈱㜰ㅥ户ちぢ㙢㤶ㅦ愰㔰㉥㤳㈹ㄴ㡣㉣昲搹〸㝦㠳昱㡢挱㕡㝤摤〰昳ㄳ攳㌳㡢㡦愲搵戹戰收㕢㠷㠶㉦敡扡挷㐷㐷㑢愳愵愳㜷㡤㝥戴㜴昸搰昰挴㙡㌵㕣昵慤攳㥥戵ㅡ晡㘶昵搰昰散敡㘲搵㈹㍦㘰慤捦搷㉥㕢摥㜱㙢昱昰㥤㡢收搱扢㐷㡦ㅥ㍢㘶摦㜳捦摤㝤攸㍡㜳㙥㘲㝣搶户散攰㙤㙡㌳挷㈱ㅦ㥤戴捡づ攷㘶㔹扥攳㉤㤵㈶挶昱㝦㘲晣㜸扢慢㌴户㙣㔹㈱扢戶㝣换㉢㕢㠱㠱㡡扤敥㔸㄰慣扡㉢㕣㍣挳㍤㠵愹㤶捤㈰捣戹ㄳ㔶戵㙡戸㜱慢〵㜷〶㙢㔷㌵搷晢摣㌹换ぢ㥣搰㔹㜳挲昵扣㍢㡦㠶㉡晤敥㠵挰㍡㙦㝡㑢搶㌹搳戵㜲敥改㔵愷搲慤㥦㑣搷〷攳㈶㤲〳㤳改㤷挶〲㜷㘲搹昴㘵㐴〱ㄷ㈶愵散㈹扦摣㕣昶戶昶敤㜲攸搲〳摢扣扤㝤㌹攴㕣㌴晤㝡挹㤱昶㈵愳挹㌷㡦攰㈳敤换㈷搶愸戹捥㠷摡搷㤱愵㙣㉥慤㝡㈳晥㤶ㄵ挵㘴㡣㍣㐱て㐱㠱㠰〴㌴㡡〴扤〴㝤〰慡晢扦戰㑢㤲ㄵ㤹㤵㕤㌰戳ぢ㡢搹㠵㜲㜶愱㤲㕤戰戲ぢ㜶㜶㘱㈹扢戰㥣㕤㜰戲ぢ㡦㘶ㄷ㉥愳㑣晣ㄴ㝡㝡戲搱㌳㝢昰㍢㌷敦㝦晥昱改愷㔷晦昶戳慦晦昷昳晦搰户〷㠵ㅥ㡣〶㌵改㥢㔷挰㙡つ㉥㍥㔲㍡捣晦戶摥ㄵ搸ㄴ昶㌱晢㉥㝢㜴戴㜲散戰㜹愷㤹攳戴㔲㠸摦挴㈸㠳㈸摢㘷㍦攴㜸㤵摡ㄵ愱摤㉤攳㘶㘰㌵ㄶ㙥㈴捡ㅢ慦慤㝡㤵攰收捤㌳攷㐲㌳戴㙥㙡捤㙢㌴戲愱摡ㅣ戶㤵ㄵ㐸㝦户戶㔶扢㘸㔶㔷慤戱慢㡥捥㝥㑦㑢戶㍢敢搷ㄶ摢攷㥥昲慤挷敡戹ㅢ㐶㌴〶愱戶㈶㙤㙦㤸愵捥搲攳ㅡ㥥㔸慥〵㤶㈷挳ㅢ㜱㘷㥤昲㘵换㥦戳㈸ㄲ慤㡡㑣昵㝡㘶㐵扢㝥㘴挶挳㐴戱㕢㉢敦㑦㘲敤㤳㔷㐳㙣㘶慢㠲昱慥㔸㝥戸㍥㙦㉥㔶慤晤㑤㐵㜴㥦挸㌸搰㠴㍥㔵㉢慦〶ㄳ㌵㉦昴㙢搵收㥣戱捡㥡〹㐹㔳㌹㕢慢㔸摤摤ㄹㄱち㄰戸㕤㕤㑡㘵㍥摣㝥㉦〸㈱ㄲ㈴收㐶扥戱㤹敤㑡攷㌱㍢捣愲㙡㤱㈷戳〷户㘸㡣攳ㄵㄹ㤳戲〳ㄳ㜳愲晥㘰愷㜷㙣搱㙣㥤㜲敦㙣攱㙣㜶㈸㥡晤挹㌵换ぢ捦㤸㕥愵㙡昹愹摡㑦㜱㐴挶〰㐰敥ㅡ〴㐲摢搵愳慡㔳㔷搵㝡敥㡡㔳〹㤷昳换㤶戳戴ㅣ〲〷つ㔹㈸㜰㘹㌷㍣挶㜵㐰ㄹ㝢〹㠶〰㡡挵㑣㝥ㅦぢ攵㡢㜸㌲㌹㑡愷㤴扤摣㈴挸㔹慦㘹㉦昷搹愷㥣㙡㘸㘹愱㍣㘰㠳㈲㕡慢〹昹晡挹愲扥㔹搶ち㘳㥦㍤〱㉥㌵ㅤ㉦㕣㙦散摢つ扢㐴㌳搱慥㉣搸㜱戲㠰愲愰㔹ㅥ愴散㌵㌰㑤㡢㌴㐸㉦㥣㘰㈲㙥㠳ㄴ捤㡥㤶㥢㤹㡣攵㔳㘴〴捡㈷㤹㤰愵て户㤷ㄱ㘴昶㡤㑣捡㑡㙤昷攳慥㌴摢捣㤶搷搲散㝡㉣㥣戱㥦攰〶㠲ㅢ〹づ〰愸㝦㠵㠴愳㤴㐳扡昹㌱㙥挶扢㜱ぢ挱㝢〰㈰㥦っ捡㥣㐸㔴搱㠶摡㡥ㅤ挹㜲晤戰㤳挵㈸搶愲㠸㤶㜱摤捥散㜷㠵搰㤱搵戹㌳㜴㙤户攸搸て戴攷捤攴㜴挸㤱㈹㐵㤳㜳摤愲㘸㜲㈱㔸戴㐳扤昵㕥㔴㌵㠶〹摥〷愰ㄵぢ㡤摤敤㔹昳㌴㈷摦ㄵ㈶㤱㌶㠴㍡㔴敥ㄱㄳ搳晣㑦ㄱ㜰ㅢ㡥㉥扢昶㌳㑤挱ㄱ晢㕤㙦㍦ㅦ㙡扦户㈳愲户攸捣㕤㥤㐳㕦搱㥢戴愰摦㡦敤愵晥愹慤㝥㌹㠸㙣攳㜶㠲て〰戴攸ㄷ㥥扣摦慣㤷㐰㑣㘲㌷㐱戹扤昴戸㠸㠵㍢扦扥㘲㠹昶改戳攷㑤㝦挹ち攱扤㤸㥡㠴ㅤ㕣昳㝤慢㡡〳㙤㐵㄰㍣扢摣搰㡣っ㑥昹㌵㤷昸㕤晢㌸㜸㔷㈸㠶敥敥㙣㔷愶挵㍥㑥戱㌳ㄳ晥愶〴攷㔰晦摥搹㕥㐸㈴㉡㌵戳ㄷ敢愵㥦㉤㜷㈵㐹〷㤲攴づ㉣慢昱㈱〰㐸〹昵昷㙤㈵捡〸㡢ㅤ㤲㘲捤搶㉡扤㝢㈹㈷㤳ㄶ晦攱〶㌹搲慢㥤戵攳昰ㅤ〴晤敥㥣攳搶㠵㐵慦㍢㙢昹㘵昸ㄵ㥣慡㔵搴㉥㔹㡡㥡㕤㔹昱㉥㤱ㄵ㕤㕤ㅢ捥搲㈹扥㌵攱㤳ㄶ㈹㤱扡摢㔳㌳㔳捥攱つ愶愲ぢ㤲㐲㈵挵㉤㔴㤷㐰攴㍣㤶摤ㄵ㌱ㅤ㠸㤸ㄲㄶ捥昸〸挱㘱㠲㔱㠰摣摦㐰搲㙣㜷攱ㄹち敢㔹愳㍢㝢㘱㈱㔳㈰ㄹ挴㍤昸搳戶挲敡㈸扢㌹㐶昰㔱㠰ㄶ昳㠷捥挷ㄴ㐶ㄴ㤲㈷ㄸ㤱搶㤲㘱㕦㜴慣㉢攴㠱㍤㌶㠲㑡ㄳ慢㐱㔸㜳ㄹ㔵敡户㈷㙢攷㙡攱愴ㄳ慣㈰ち㌵㘴㐷㠹㠷㤶㉤て摣攵挳昶㘹挱搵㔶㔶慣㡡㘱捦搵㔶㈱摡愶㈶㜷挲愱ㅣ昳㠳㉤㈹攷昲慣挲搳搹搹ㄸ㑤㈸㌹ㄱ挳搷㑡㑦散戶㍣摦㍣昴つ㌴㔶㜴摥〹慢㔶慦慤㌷ㅤ搳〵ㅢ慢㠸愸㐱愵挷㥥㕦昶㉤㙢戲摦㍥敤㍢㤵慡攳㔹㈴〶㙣㑣〶敡愶慤㈵㐴〸㘶㙢㡣晦搵扣㝥㝢摥㌷扤㘰挵㘴㌰㜱㝤㙦搳㥢㠴㐴㜲昶戸攳〵攸㐶愸挸昴㠰㍤户㕣扢㠲㘸敤慡敢㥤㌶㔷㠲ㅤ㐱ㄵ㌲扤㝥㠴㌴㉡慢戲㔹㔵挸ㄶ㍡愵てて攴㤹捣ㄱ晣扡〹㠴㔶㤹ㅣ晤攵㈹摡㥢㜶㝤ㄴ㥦愱㥤捥㌱昵㈱㜲㔴㐷㜶愵㑡㘱敥㔴攳㙥搶戹〷攰晥搳ㄷ愶ㅡ㔱戹户ㄴ慦捥搱挳㥦㈲攳㠵㉤敡㐱㄰晡攷昶㘸㔶㈱㡥㥣㠳ㅤ〸㡡昳慤㤵晤㡡戶㤴㈱昷敤㘹㈴㑦㈱㡡搴㘷㑦㥢㡢㔶ㄵ戱㘸搷っ昷攸ㄷ㥡戱慥㔹つ愲扣㠹㥡敢㥡㘴㉤戲攵㕣搹㈴〷㡦慤㠶戵戳㡥㘷搸〰挲㝦ㄱ捡扣ち㤴㜹㔵㔰㝤昶㜹㠶〵㈵捤戶㙡㑢愶敦㠴换慥㔳㉥昰㠵愱扢ㅤ挱㤳搸攴㤴扣昱ㄳ换㡣攱ㄶ㙢晥〲㑣戶愰〴㜲㤷㈰㐷戹㜴㈴㍦㌸㌷慢昲昸㑦㜵攸㔸㠲㠰ㄱ㉦愹㜱㉦㕡换挹捤〸㠸ㅣ㜹慥挵昷㉦慥㍤〹㡣昶换㤱敡㈹㉣〲㡦㘰㐲挸搳扤㥤户㉦㜸㑥〸敡㤱㘲愷㥣㜰㌲〰挹〱㤰㤴攳敤㑤㐲搵㐴愵㤱扡㔶㜸敦挶慣㈶㌵㜱敢挶晣愴摥㌸戸㐹戶搶㈸〹㐵戲㔵㈱搱㉣㥢㡣㜱㈷愹ㅡ㈵㡡㍢搶㌶㉡捤㙤摡㔸㜷㑡㤱户愰㤸㠴㘷㌲挶㜱㘱ㄴ〴㜹挹ㅤ搰㔱昴搷愷戳㐷㈲㕡㐳ㅢ愰㐸㍤愵㜱晤㔱㌸㜰ち㔷㑥㉡㔶㌱㝡挳晥摥ㄳ㈵㘷㔶挳愶ㅣ昳敡㔰㤴㌳㔶慤捥㜸戰ㄲ捡愶㕦搹㈱㕢ㅡ㜳搳ㅡ㐶㜶㘷愷摡㕦㉦㙦㘲㈳㐶摢㤰㈱㤱ㄴ㍦㌰戶㈱㌶㔷㈲㥡㑡敢慣㥦㑢㕤㐷ㄷ昸㜶搶㌲㍤愱挰㕣㔸㤹戴搶挴っ㙢㔸昲㐳㔲愱㝥㕡ㄴ㌹㙡搸㘳㡢〱㔴㝡㐸㌹ㅥ愵㘴㠳ㅢ昶㜹扡愵㜰㠱〱㘲㌷㑡捤㤶㐳㠴㜵敢つ昰㘴戰㜳愸㠳ㄵ搱㘱ㄳ㕡㘷㤴愰昹ㄴ挶㙤㥥〴昷㑥㠷ㄴ㠵㈰戵攵昹捦ㄳ敡㜷㥦攵昳晢㈷㌲㜱㈲摡㐴っ㜵愵㔸て㈰㙥㌲㉡挹㕤㌴ㄴ〷换戵㘴ㄳ愱搵ㄷ攳㘸㘲昴搳攴昳㐳摣攰㘱ㅣ㙢㠰摢愶㡡㍢㙥愱〳㙤㕡㕤摦㘳㑦㜹攵敡㙡挵ㄲ㔵ㅣ换㙡搱挸㍢㠲㕥㜲晤㑦敦愶㤴㜵㠹ㄶ㘵ち㐷㈹㑥㤹㐴敡摣敥㌶㍥㠱敡㈲攴搰㠶㤶㙤っ㍥愶戸攵㈴ㄸ戶攱㡥〲敤挳扤㡤换ぢ㜲㜱づ㈲㙤〳㡡戲㙣ㅡ㜷昱敡ㄱ㘴搹㙤㠹㘲搳戵改ㅡ㙤昶〴敡㡣愳㔱㍢㠲㐶㤸愷ㄶ㜸昹㍣㡣㤱づ㜷〷ㅢ挹㕣㡢㈲扢搷㥥㤴搷捣戵ㄳ㤱昱愱ㄸ摦攵㈹㈸㠳㔵挵㐶愲挱㥤㙤㔸摤㡡㤱㕦㕡摥挶㝤〰㡡㈱㘰ㅡ戴㈸愹つ㥣㜱愴户㌶㜰ㄸ㡣㑣㠹㡥㈶〳愹㡣㔱づ挱㘱て愲㘱㌷昱㈰㍤㕦㠳ㄲち昷挹愵戰昸㕥攲㠸㡢㈳㔰捤摦摦㠲㥣㌵㐳㕣㝤昱づ戴愰挷㉡ㄵ㥡扢昰捦敤〸慡攲摡㠶㌶㐷昷戵㕣挸㤲㌹搱扥扢慤㈵㈳扡㈸㜸㘴戲㜴挶っ换换㜳攱扡扥戴搵㈹㑢攴㝥〴㝦挴愶扤搳㘶敥昶㜸〹㜵㡤㙢㕦扣散搵慥㜸㌲慥㕣挰ㅢ㝦戴㘲㡤㥥ㅥづ戲昸敡慢慦㐶㕣㤵捤攴㕥㐱㡢摢ㄹ㌶ㅢ㘸㌸㐸搸㡥㍣㐵攳㈴晥搲摡ㄹ挶摦ㄴ㕥㠱晤㕥扦㌵㐰㕥搹搷挲㉢㈲っ㜶㤹挵㕢㝡摢㤸㐵晤㄰愴㈵挳ㄴ㜹㝤ㅣ㑢㡥㈷㥢㔱㉦攳㠵㐴㤷昷愲㜱〶㝦㐹扥昷攱㙦ち昹㐴愰㐷搷㍣㜸㈹攴晦て愵攲㕤扤改戶晡㕦搸搴敡㡦㐰っ㈱ㄳ㘸搲㈰搳㑢捤㘴㝡㈰㈲ㄳ㠳戲㙦㉡晣捤ㄹ散ㅥ㍢摦昱㉢扥晦㠷挷捥戳愰㌰ㅦ戱捣㄰㘰㍢㠸㜴摤㌰攸摡㘰ㄸ摣㡥㙣㌱っ捥戱づ㘳昷摡㌰㠸㍣ㅦ戳㐰㙣㙤ㄸ㌰愲㤷㘲晥㈵〲慣〹㘷〶捦㕤晢㕤㝡挵捥攰慡慤ㄵ㈰㡡て㔵ㄵ㑣挰て㜵挳㐶昴慣改㥢敥〱挱㥦昶㉤愸㌰㝦ㅥ㜷户愵ち㙢摣戴㘹㡥㔴摡挴㐳ㄱ晢搶㜷扤㈸摢扢戱づ㑡改㐷㍢敤㔵㐱攵摦㠲㝦㐴昱戴㤰昹捣扥ㅦ㥣晥攷挷扦㜰㠲㜷搴㈲㕥捤㌱㈸摣㐹愰㥥ㄶ〴㐲戹㠹敢㈱搷昳㔳㥣戳昸㈸挹㔹愹㕡攳愶㉦戶㑦㘰戸㜱㔲㌳㕥㠲㌱㌵昳敤〴挳ㄲ户ㅤ戴㘱㔹㙡㜱㜲捡愷㑣攲ㄸ㉣㈵〶㉥㥥扣㌸㔸愸摡慡慤づ㙤捣摣ㅦ㐰昱扣挹㠱㌴摢㠶㍣㙢昲㔱敡〷戱㘶搳㠸㑣收ㄸ捥ㅦ晡〰愹㐶㠰㡢愵ㄴ愲づ攴㤰攴昱㠵搷〰㐴㑡捤㈱㤱㉢〱愴挴搳㕡〳扢昴〲散ち〱慢㝥搵慦挳捦㔶戰㡡愰㘲散㠱敦昴ㅣ换㐳㝦慣㥡ㄸ愰㤵㤳挸㍣ㄲ㜲㘴㈱㠲ㄱ㕢挱㕥㐰㈲㝥㜲愳㐸㙤摢〹挵㑥晡㕤ㅤ㙥搳ㅢ㍢攷搲挳㔶㜴㑦㝡慢戸敦〱㍤㤳ㄷ㠵攱敤㈵ㅡ挷㔰㠹捣改愲㐵㡤㈲ㅣ搰挹㝡愵摥㈸ぢ㍡换㍢㠰戳㈸㐲㝥晣㌶㠸昹㈳㡤愶慦㙦捤愱㡥昳㝡㌰㐱晥㘰㝦摤㥡戲戱搱㉢㜷っ㈴散戶㑡ㄵ昴㠵昰㡢愸挲㐹㘷㤴搱㐸捡扢㘲㘴㍡摥㔹㕤搹つ晡㥦㌱㙢搹㔹て戱㌶㠳搷㑤晡晦㘱㈰戶搴晦㡡ㄱ㌷㈱搹愷愲〴㕦㜲㡣㥡㙣ㄹ愸攱㡡挰㥦㡤㤰㡤ㅣ㠷つ㐹㌲搰慤㔳㜳昸㕣㔵㘷㡢〴㠷户慢扢昵㐲㐴扤㉥㙤摢摥戶〲昰ㅥづ改晢㄰㐱㙤敢㜳搰ㅢ捦戴昹㐷㠰摥㜷搶㈹晢戵愰㘶㠷挳㜳〸昵づ昳㙢㌳ㅢ㌶捦㤸晡㕥慢㔰扢つ㉢搱昷慢愸㜳㙥〶〲晢㥣ㄵ扥㕤ㄱ㐸挶ㄳ戶ㄷ扦攰㤷㐷㠳㠹愰ㄲ戵㐳㜰㥤晤攰慡㔹挵挷慡㌳昰㜰㠶㐴敤〸㘵愷晤捣慤昷㌲戸㜴戸㤹昵〰扣㐰㔶戵㠴㤰㤸㑣攱搳扦挲㜵㙤㕤㠳收戲搱摣〲㤶散捣搳㔶捣㝤ㄷ㌴摤㕥㉦捤㉣挳㍥昹つ㜲搱戸㐴㠸㘳昴㈷昰㜷晢㙥㔹戶㌶〴㍥㡦㍥攱愶晢㙢愴ち愷搹㌶㘲摥㈶慡慡晢〸昰㌳ㄶ愳〴㕦ㄴ㝤㝢摣㡡敡㜹㑣㡢ㅢ〰改㑣扥〲搰㥥慢扦扤ㄹ㔷㉢晡㜶愴㝤戰㝥㠶㑣挶㥦愲换㐰戰㑢㐹㉣㑦愸㠲㕤㑥㘲㜹㌸㈱ㅦㄷ搵㙦愳〷慥戳㕥慦㐷㠹挳㘱㐵づ㈱㐸ㅢ㐹搹慦㜸〸㤱ㄹ㝣ぢㄵ敡㌳㜰㠱㙤㍦㠳㘷㌶㥤〱捤〷ㄹ㔵戲晤挱㔸晤ㄸ㉢散晡㌱〲㥦㈰〰ㄸ㡣㑢づ㔰戰㔲㕡攵㜵㐸攲攵ㄳ㐸攳昹扢攸敦敢㈷㝥晡ㅡ㥦晦㌸愱㐴㤴㈲慢㜹ㄶㄴ愵㌲㡢慦㈴㘷戱〶㙣晢㔹㝣㜹戳㔹っ㔲捡㜲㈴挶㔵㠰晥㉥㜵〹㝦㘴㔶敢㐸㜰㐱昹㔳㘶㡣㡤㘷㠰昷捣㈰㔹㐳敡㝥〶㠹晥慥㐱㤲㤲ㅥㅣ攳〹㠲捦ㄲ晣ㅡ挱㤳〴㑦ㄱ㝣㡥攰㘹㠰攲㈰㈹㉣㠵㍦㑦摣ㄷ〸扥㐸昰敢〴扦㐱昰㈵㠲㉦〳ㄴ〷㐹㜸㈹晣㥢挴㝤㠵攰户〸扥㑡昰㌵㠲慦ㄳ㝣〳愰愸挸〰㌲㠵㙦㈲ㄱ㑦㈱㐷㝡愴㝣㤷㈴㠶ㅥ敦㜱戲㥢扣昶㈵攷戵㝡㉦戸㤱ㄳ㜹㐷〸㌹㑣㠹ㅦ晡戶搵㑤昹づ㉦㈸㈸㉦收㡦㌳㘷㈲ㄷㅥ㝣㝡㜵晥㤴搸㡣㈲㍦㜳㈱㤵ㅢㄷ晥挳㤷ㅡ㥥㈵㘴攰〱ㄳ敢挲攴㝢㈹㕣㡤ぢㅦ挱〷㘵㔲〶㉤敢攷昵戸㌰昷㠷ㄴ扥ㅣㄷ晥昷㈳〷敡㠵攳敤愰㕢捥㤱㔷㔳㡣㜶㌹挶㈴㍥㉥愷㜷㈰㘷搳㄰攸戵㌵㥡㉡㐰㈲摦㔵㌱〵晡㜰㤷挵挷攷摤搳戸㥡㠵ㅢ㉣搰ㄶ晡㕦㜹㤸挲㤵慤㐹㌳㌴昱昵昶ㅡ㘲攵扥㈱㙦慣㥣户㘷㝣㈰㝡散愹〰㠷挳捡㡥㘲ㄱ搸㌵摤㝡㝤户㠸㈹愴搸挰㡤昵㠸㘳㝣㔹㕥㠱改㑣ぢ㑡㕣愸㕢㌹㌱㘵㌳㑦㌵㜸挶昸ㅤ㄰〷搲ㅡ㤰〹攳㔹㐰ㅤ㐷摡㐷挴㈰挵㤰挸㤸㙦㌳攳㌹㠲攷〱㡡㡡㌲㠷㝣㤰晦づ挰㐰晣㙦㙣っ慦㠹攳㈷慢捣戸戳㈴ㅢㄹ㉦戰挲㜷〱扡攰㜵㔶ㄱㄳㄶ㡤ㄷ㠱㐹㜴㥡愳晣扡户扤㘱捤㜳㜳晣摤㍦愲愱㑤ㅦ昸㥦挴〷晢敢㙣戸ぢ晦㕥㐹㑥㑥〱摤搹㡦㜵搶ㄶㄹ㡤〶扣晣ㅥ挱㠴摥㐲㍢㕣攰㠶㐱捡ㄶ㈹ㄹ㡢㡡㔲㥡搳㔵㥦㐶晢散㠳昶㝤㔱㔱㙥ぢ晡㔳ㄱ㝡扦愰㈹挹〵晤㜰㠴收〵㠹愲㝡㉡㐶㝦㌲㐲摦㈱攸捦挵攸㠷㈲㌴㝤㌲㐵昵㜴㡣扥ㄸ愱愹捤ち㜹〰㍣㙦晣㔲㔱㈱㐸㈷ㄷ愲㝣㍤㔲慡〸㐱捦㐷㘸㍤搲㉦挶攸戹〸慤㐷㑡㌵㈲愵捦㐷㘸㍤㔲㉡ㄶ㐱㍦ㄸ愱昵㐸扦ㄴ愳㘷㈳戴ㅥ㈹㤵㡦㤴㥥㠹搰ㅣ㘹㔱㔱〹〹晡㕣㠴搶〳愴㕡ㄲ昴搹〸慤〷㐸㐵㈵攸改〸慤〷㐸搵㈵攸〷㈲戴ㅥ㈰㤵㤹愰敦㡦搰㝡㠰㔴㙦㠲㥥㡡搰㝡㠰摦㠸搱㄰搹㐲㍤ㄹ攰攰㌷㠱㤶㑤昳㌲ㄲ挶て〹晥〴愰㤸攳㘶摢昶慥㈷换㜴㘸㐲扥㠲慡敡㔹〲晣㡣ㅦ㐵〹扥㈸敥㘳㤹挹㜸㌴攴㡦〳㔱挸收搵㜳㜱挶㔸㤴㜱㕣㌲㤴攲㝥㤷ㅡ昷㐵ㄹ㈷㠰㌰㝥っ愰㕥〰攰㥣㡣㍦攵ㅢ户戱㜴昸㘷㔱㐲㍡攴ㅡ㐸昵㡦户㜴挸㜵㤱㡣㝢㕢㍡攴㕡㐹挶挷㤲ㅤ晥㠴㡤扥㐲㠰㕦㤳㌹㌶挸〹捡㝡晦㈵ㄲ晤㕤〳ㅣㅢつ户散㔵㔵扥㔴戹㜴改㡤㠱敥攱㥢扡㍦㜹㕦摦戳慦晦搵捦㥦昹搹㈳挷晦敤ㄷ捦㍤昷戳㝦㜹收戵㕦扣戲㜸晣㈷㉦扥昸攷昷晦摥㙢㍦摦㙢扦㤰㝤改㡤改ㄷ㥥ㄸ扤晣挴㘳昶㠵て㥦㝥攲攱㐷ㅦㅣ㥤扤㙥愴慢慢愷攷㠳㐳㝦㜱攳ㅤ㠳㑦㍤昶挷敡挷晦㜸㠳愷㘴扡攸愰㜹ㄸ㥣戶っ攳慦㤱挰㌰㌸攲㜷㜴ㄸ㥣慥㉣搴搱㘸愱挶㠱㈸挰ㄱ挷〱㐸挶㥤捤ㄹ扤晦〳㔷㘹㜴㍦</t>
  </si>
  <si>
    <t>㜸〱慤㔸つ㡣ㄴ攵ㄹ摥搹扢㥢摢戹㍢㘴㌱㈱㘸昰〷㤲㐳㙤㑡㉦㍢扢戳戳㍢攵攷戸摤攳㑦づ㡥摦〳昹㕢㘶㜶扦㠱㠵晤㠱㥤㍤〲愶慤愰〵㉤ㄶ㙣㉦㔷㕢戵ㄵ㠲〸㐸〵㡡㔸ㄴ愸慤ㄶ搳搶㙡摡㙡愲㐷ㄳ愸㈸搸㔶㐴摢㕡㙣㠸㙤㐳摦攷摢搹扤晤㈵㤲㜴挲扤捣昷扥捦晢㝣敦㝣摦㌳敦捣慣㐳㜰㌸ㅣ㔷改挰晦㌸敡㜱㜲换扣㡤㔶㤶㈵摢挲改㐴㠲㐵戳昱㜴捡㙡敢挸㘴昴㡤㕤㜱㉢㕢㐷〰㌱ㄲ愷戸搵㄰戱攲昷㌲㔷㘴㍤换㔸〴㙡㜰㌸㕣㉥挹㐹㜱㤷晤攷捥て㈴㘴㐹昵㌰㠴㜲㐸㈲㑣㈳っ愰㤲〴搳㐴愶愵㤹捣晣㜰愸摢㔸㑤ㄳ捦换愶㌳㙣散愸㥥ㅣ晤〴㔹㙥㤳摢㤴㠰慣戶㜹挶㡥ち昷㈶戲扤ㄹ㌶㈱挵㝡戳ㄹ㍤㌱㜶搴散㕥㈳ㄱ㡦捥㘰ㅢ攷愷搷戰搴〴㘶㜸㝣㠶慥〴㘵挵敦㌷㌵㉤搸㠰ち扣㥤㉣ㅡ㐷愹㡣㘵攲愹㤵㙤攱㄰晤㉢㥡㡢㐶〱扡敡㑣㠶㈵㜴㕣昶㕣㘶愲戴㥢㤳ㅤ㤶搵㥢㕣ぢ㤷扣㌰㥤㔹㘳慤㘲㉣㍢戵㌷ㅥ㜳ㄷ㐷攰㈸㠶㝡㙢㐲扤㠰戶㈴挳㘹㘶㥡昱㘸㥣愵戲挳敤〱搵㐷㈳㥡㤷慥㜹㝥晡㠶攴攴つ㔱㤶〸戳㐴㠲㕣搶㤰攴〲㡢捤搵㔳㉢搹㉣㍤挹ㅡ㤲㘰愹愳挳㈱搴㍢敡㥡敤㑤㠳昳㡢㥣㡢昲ㄷ㔹㡣㤲昹戱㌹㐲〹㌷㌹敡㉦㤳㝣捡㥤捥㠸敥㡣ㄸ捥㐸搴ㄹ㠹㌹㈳捣ㄹ㌱㥤㤱㤵捥挸㉡㘷㈴敥㡣慣㜶㐶搶㔰㘲晥㜰㌵㌶㍡敤㈳戵㠰㔹户㍤㝣㌵㜴攲搳㘷敡㍥摢昴㔸㥦昰㑦攲〶晦敥搵戳て㉦㝦换ㄵ摥摦㌷敥昵ㄷ㉥㉤摣㈶㝣㙡〷㉡㌲晥㘱〷㍥搸昴搸攲㤱㡢㠶捣摣㈶㍣㜳昲㤱戹〷㍦㜹昲改㐷㝢收㍣昰㕥扢攸愶㜹㠷㑥㈸摡攴搱攱㠰㌴っ挵〸㥦搸戹㠷㐷㙦搹㜷㜹捥搱㐹扢搶扤戱㔶㌹㝡㔷㍤㉤慦挳〱晤〸ㅦ搷㥡昶㤲ㅤ㔸㝣收搲㥢昵㕤㌷㑥摥㍤㙤挴挰晢㈷㌷摣㉣㝣㔴㉢攳愲ㅤ㌸戳攷愳〷㝥晣慢㘳戳昶ㅤ㍡慦㙥捤㥣㝡挲晦〶敢摦搸㜷愱㕤ㅣ㐱ㄳ㤶ㄶ摡ㄹ㤰㙥㈲愷㐳昸㡢㥤晢㐸敢〴晤㈹㕦敢搴〳㑢戴慥㜳扢敦㕢㈲攰收攲㠵晥戹搶戴ㅦ搸㠱㍢晡㡥㥣扢㜳攴搱㔹晤攳㍦㡥㍥㜸攱㘹㔵戸㔰㉢攳扣ㅤ昰摤㜲搷昹㈳㐷㝥摥㝤㜰攱㝦㤶㉦㤹昸户㍢㈷摦攷㍤㜵昱ㄷ敦户㡢户㔵ㄴㅡ㔲愵摢㜹愱攷散摣昹摦㕦㌷㙥晢捥て扢昷㍥摢攲ㅢ㜳搳㐳㈷〴㌴〰㕥攸扢戵愶晤㤳ㅤ搰て㕦㕥㈶㜷ㅦ改敥昷ㅦㄶ㙦ㄸ㜸㜹㐰㌸㕢㉢攳㡣ㅤ㈸摦㝡㌳㌸昱愹昷㕥晡㙢扢㌸愶愲搰戰㉡摤挱ぢ晤愳㥤扢㘷摦㤲扢㔳㐷㑥㑣敡㑦㝣摥戳㈳扤晤戴㠰㈶挵ぢ㍤㕤㙢摡〱㍢㔰扥㍥挲㍢戵㌲摥戶〳ㄷ㡦㍦㍣攳搰昹㕢扢户㕦㙤㜹㝣搲㠸户昷ㄷ㔶㜴㙣㐵愱戴愲㕦攱㠵扥㘵攷㑥散摢戱攰攸㘷愳㘷散戴㤶ㅥ㜷捤㕥搴㉣愰㤱昲㐲摦慣㌵敤ㅦ散㐰㠵㐶㝦㕦㉢攳㜷㜶攰昹捤て㥥晤昷㤵戶慥攳㑦晣搷昳昷㉢㝢㙦晤搷㜳㥢㔷ㅣ晣摥㠷敤愲慦愲搰㑥㔵㔲㜸愱慦摢戹换㙦㍦㜰攵㡣昸㜹㐷晦昱㘳ㄹ㜵扣㜵㕡㐰㐷攵㠵晥戶搶戴慦搹㠱ち㡤晥愶㔶挶慦敤㐰昹㡡〶敦晦搲搲㥤挳〷摡挵慦㔶ㄴㅡち㐸攳㜸愱慦摡戹㔶捦㉢㍦㝡慤攵挶昰搶戸㙦㔹挷㘹敢㕤〱て㈴㕥攸愹㕡搳晥搲づ㔴戴愷㔷㙡㘵扣㙣〷捡㔵㕤搰㘸㐷㐵愱愴搱㄰㉦昴㈵㍢㜷㠸敦搵戳ㄷ摦〹㑤摡搲ㄲㄹㄸ㍦㌴㈵㌵愰㝢㕤㝦㌷挷戳㔹攲捦㄰㝡㘸㕡つ挹㈹改㡣㔵㔷㔷敤搹㍦㑤户㔶㘵㜵㈳挱慥ㄹ挴搳㐱敡㠴㤹㑣㐶㐰愷㐲㘱搲ㄴ㤸愹㜰愱㈷㜰搷㌴戸愶挳㠵扢㡦扢敥㠶㙢〶㕣搰㌹㜷㜵挱㌵ㄳ㉥㈸㡡扢㘶挱搵つㄷ昶㡥扢㘶挳㌵〷㉥慣ㄲ㜷捤㠵㙢ㅥ㤹㝡㤴㜳捤愲㜱㝢㌷㜵愵昵搸ㄴ㍤㑡㙦ㅢ㡤昶扢㠶㉢㥣㑥慥搵㌳㉣攳挶戵㠷搳㌱㌶㍢㤳㕥ㅦ㡦戱㡣ぢ㡥㜹昴摡㔳㡦㔵ㄳ㝢昴㐴㉦戳㐸㈷㜵㡥㠶㠶㘶㔷戵戹愶攷戹㕡慢扣㔶㑤慦攰扦㌴㈷搸㡥㤷戰愶㈶㘸㑦㥡て戳㠰㡣㠰㔵挵昵㤴〱㝡〰㔸〸〰ㄶ扡ち㘰ㄱ〰昷〰㠰㑤愸〲㔸っ挰ㄲ〰戰㉦㔵〰㑢〱㔸〶〰昶慣ち㘰㌹〰ㄱ〰戰㡤㔵〰㉢〰搰〱挰ㄶ㔷〱ㄸ〰㐴〱挰慥㔷〱挴〰㘰〰㐰ㄱ㔵〰㈶〰㉢〱㠰㐸慡〰㔶〱㄰〷〰〲慡〲㔸つ〰摥㑣〴㘸慡ち㈰〱㐰ㄲ〰攸慤ち㈰〵㐰ㅡ〰㐸戰ち㘰㉤〰敢〰㠰㍣慢〰㌲〰㤰㥥ㅣ㙥㙣㍣㜴㈰㘶挹㡣〹㠷挲㜳㈳扡ㅡ搵晣晥㠰攱て慡愶㘲㤸㝥捤㘳㌲㐵昳㙢捣㘳愸搱㤸改㜵㜳㥤㄰㕣敡㈵攳㠶㌲挰㈰慤挷㠸㑢〴㈳ㅥ㠳㈸㌸晢〶㍡挹戱换㍥愶戱㘰㉣ㄸ㌰扤㝥挵㙢攸扡攱㔵㘴捤搴㠳扡㈷㄰〸㉡㔱㌷搷㄰ㄸ㌶㤲㜱㐳㌵㥣晤㕥㡣戸㝣ち㌱〸㠶戳㝦㡤㑥㜲散㐴ㄸ㔵㡣㠰收㔵㤹愱㈸㥥㠰慥ㄹ戲ㄶ昴㙢戲㔷昳㉢戲㙡扡戹扥挰昰㜵㌲㙥㈸㡡戳㝦〳㈳㉥慤㐲㙣㠵ㅤㄳ㌷搱㐹㡥㍤㈶㙢㌱扦㐷㤷〳㠶㈷愰攸戲搷㌰㝤慡挲挸改昵㌳㐵昵昹摣扡㥤㈳㙤愶ㄳ㌷搴挶搹敦挷㠸换㡥㑥㜲戱㤸ㅤㄳ扦㐹㈷㌹㜶㥦㉥㐷㠳愶ㄹ搳㔵ㄶ㔰㤸摦㙢愸ㅡ㘳慡㍦㈶〷㠹㕤昳〵摤㕣㤷㘰搸㐲挶つ㈵㜲昶慤ㄸ㜱㐹ㄶ㘲㄰㈱㘲攲㐳㘴㙣㜶㤵㘹扡㐷㔳つ扦敥㔳㑣搹㘷㄰㙢㤴㔶㈶慡〵㠲戲愶㤸㙥慥㔹㌰㝣㡢㡣ㅢ㉡攵散摢㌰攲㜲㉤挴㈰㔰捥晥㙤㍡挹戱㥢㐱慦ㅡ㔳〲〱㝦㈰攰㔵㝣㌱慦慥〵㜴摡㑤㔹㤵㌵扡㉣㥦敡收㝡〶挳㜶㌲㙥㈸㤸戳敦挰㠸㑢戹㄰㠳㜸㌹晢㜷攸挴慥㥤㑡㌷愹㕥慦敥昳㈹〶㌳㠲㌴㠸昹㑤ㅦ㡢㤹㡡ㄶ㡤ㅡ㙥慥㜵㌰㝣㤷㡣ㅢ敡收散㝤ㄸ㐱收㝣㠴㔸㑢㍦㤹敥㜰愸㌳㥤搴攳愹晦搷㐷ㅦ戴敥戹摥敦ㅣ㤱㤲㠶㈷愷㕢昹慦戰㡥挲㈷搷㌰摥敥挹晦攵晣㜳㜳捣愰愷挳戰搲㠹摥㉣换愷㜵㘷ち㜹㐳〶㔱昴㤴ㅤ㍥㌸ち愷㔳㔹戶㈱摢愹㘷昵㤱㠳摥改㈹㡢㘵戲㉣㤶㘷戴ㅣ㠲㔰敦慣ㄳ慡㍥攳㜳ぢ㔶晣搵㡡捦㑡㉡㘲㜲慡㌷㠹㐵ㅤ㔹攵戱ㄳ㡡㘷昹〷㝤㌳挵〵〹ㅤ㐶㝣㤴捣戰㤲敦愲搶㜰㙢愰㈱㑥㉦ㅤ搷㍦㉦戶戵㜱㍤㥥㡤㤱㠸挳㠵㉡㜰㌴㐹㍦㈰㉢愰ㅤ㠱ㄶ㉥〱扤〴扢㈴㐸攸㐴攲攳㘴捡慡攸㙣つ〸㡣攰昹㤴㈶改㠷挰愳敤攴㕤〲㝡㐶㡥〵ㅤ㐷㝣㤲㑣ㄹ㑢愸㔵ㄵ昴ㄲ㤶㕤〴ㄲ搰㕥ち㉣㥢㘹㤰㘳搹㐴㘷攲㙥㌲㘵㉣㘱㘲㔹㔶挲戲㠷㐰〲摡㐸㠱〵㍤㈰挷㠲づ㈲敥㈵㔳挶㠲㕡敥㈹㘱搹㑦㈰〱敤愲挰㠲㝢㍤挷㠲㑥㈱ㅥ㈰㔳挶搲㐹㉣ぢ㑡㔸㥥㈵㤰㠰戶㔰㘰挱㍤㥤㘳㐱㐷㄰て㤱㈹㘳〹搱敡捥㈹㘱昹〹㠱〴摣晥〵ㄶ摣㥦㌹ㄶ摣昹攲㜳㘴捡㔸戰㉥㌳㑢㔸㥥㈷㤰㠰摢㍣捦㔲㡦扤扦㤶ㄶ昱扡搳㤸㡣攸昸愱挹㤵㡣㈴㔸㙡㘵㜶㔵攱挷㈵㝡㔱㜳搱慦㑢㍦㈵㤰搳晥ㄳ愰〳戰㑡挷㡡扤扢昲摥ㄷ㡡扤搸㈷㡥㝤戱搸㡢㜵攷摥攳挵㕥慣㈳昷㥥㈸昶㘲㕤戸昷㘴戱ㄷ搷挹扤㍦㉢昲づ㐵㤹戸〷㕣戸愸愱㈸㙦㜰㠴戲〶㐷㉦㤶㡣㔰挶㘰っ搳て㡥㌰敤攰〸搳ㄵ㐶捤晦〳㉣㠷敡㐰</t>
  </si>
  <si>
    <t>㜸〱敤㝤㜹㥣ㄴ挵搹晦搴ㅥ挳搶戰戰㈳㈸〲ㅥ㉣〸昱〰搷㤹㥤㍤㔵㕣㘱戹〵ㄶ〱㡦㜸㉤戳㍢㍤㌰戲扢〳㌳戳〸㐶㠳户㐶㘳㔴攲㠵户挶晢扥㉦㍣搰㘸㌴㙡㌴摥挶攸㉢愲㈶ㅥ㘸㠸搱晣㌴㕥敦昷晢㜴昷㙣㑦㑦捦慥愰昹晣晣攳敤㥤㜹戶敡㜹㥥㝡慡㥥愷㡥慥慥㝡扡挶愷㝣㍥摦㜷戸昸㥦㔷〹〳摢捥㕢㤱捥ㄸ㥤㔵捤挹㡥づ愳㍤㤳㐸㜶愵慢㈶愴㔲搱ㄵ㌳ㄳ改㑣㌱ㄸ晣慤〹搰搳愵慤改挴㤱㐶㔹敢㌲㈳㤵〶㔳愹捦㔷㔶愶㡢㐰ㅦ㘶㝤㠳㜶㐴㌳㤵㉥㈱〰㤷㑦晢〹晡ㄱ㤴ㄱ㘸㠲〰㐱㝦㠲㜲㠲〱〴〳〹㉡〸㠲〴㕢㄰っ㈲ㄸ㑣戰㈵挱㔶〴㐳〸戶㈶ㄸ㑡挰晣昵㜰㠲㙤〰捡户〵㤸摦㍣戱愵敤㜰㘸㌳㉦㤳㑣ㄹ攳㉡昷㌷换㍣㍥ㅣ慥ち㔷搵搴㠷敢慡㐲攳㉡㥢扢㍢㌲摤㈹㘳㝣㤷搱㥤㐹㐵㍢挶㔵捥改㙥敢㐸戴敦㘳慣㤸㥦㕣㙣㜴㡤㌷摡㐲㤱戶㘸㑤㐳戸愶戶㌶摥搸搸㔰扥ㅤ㈴捦㙥㥥㌸㈷㘵挴搳㍦㤶捣敤㈹戳愵㜹㘲搵㙣㈳昳㘳挹ㅣ〱㤹㄰㌹㈹搹ㄹ㑤㜴晤㐸㐲㑢㔹愷戵㤳㡣昶〴㉢摦㌰㔲㠹慥㠵㔵㈸㜶㡥愱ㄱ慢慦㥡㤰㑥㜷㜷㉥㘱㍢㙡㌶㍡㍡收ㅡ㜱愹昴捥㐹改捣㥣㘸慡㌳㕤摥㐹晢ㄹ㈹愳慢摤㐸て散㥣扣扣摤攸戰ㄸ搳㘵㥤晢㐷㔳戳愳㥤㐶〹〳ㄵ㥤㘶ㅤ㑥㡦ㄹ㕤㤹㐴㘶挵㠰捥晤搲挶摣㘸搷㐲㠳㉣愵㥤㔳扢ㄳ㌱㔵㔲㠲㡦慦㜸㐷慦㤲㐹㐵愱㍣㥤捤㡢愲愹㡣挴㔸㠵㘱㉦㕥㐷㜳ㄱ㉤㜲捡挵㈶㔵改㑡挵㍡㥢㤷攸摣挷㐸㜵ㄹㅤ捣㠴㌵㌹搶挵㈴〶㌲敢㈱㙢㈹㕢ㅤ搶㤲敡㙦㜵㍥敡挲㕣晣㤵〰㑤昳㔳〹愸搹摤ㄱ㑤㡤㥢㤵攸ㅡㅦ慡慡慤㡦㌴㐴ㅡ㝢慥昰戸㤹㠹挵㐶㐷挲㐸㘷㐰慤㡢搴搷㡤㥢ㄵ㕤㡥㘰㝤㈸ㅣ愹搳㈳㈱㐴㡦愲戸ㅤ〰慡㥢㤳改㑣㘵㌲㕥㌹㌵㤹㡣愵㉢攷㈵㍢㘲㤵㍢㑤㐸㔷㐶㉢㤷ㄸ愹㜶搸㌶扡搰㈰㜹㕥戴挳㐸敦㕣昹攸㍤㤵㌵㝡㌴㈵㡣〱㔰㈵慦㘳挰㜰ㄶ㤳㥤戶愸㌵㕡搴摡㔶搴摡㕥搴ㅡ㉢㙡㌵㡡㕡攳㐵慤ぢ㡢㕡ㄷㄵ戵㈶㡡㕡て㉦㙡㕤っㅥ晢㉡敢搷慦挸扡摥晥㘴㕡收愴㑢搶戶摣摡㕣晢换ぢ㔶摥㜸扢攲ㄸ挱㠶攵摦ㄱ攰搰㤹挹㠵戳㤳愹㑥㜴挵㔹㐶㤴㙡㠷敡慢慢挳㌵ㄱ㈸ㄵ㙡㠸㠴㙡挳攱摡㜱昳㌲戱㐹挶㌲搲㙡敢㙡敡㈲愱晡晡㔰㠸㤶愹慤慢ㅤ㌷㌳搹ㅥ㘵扢㈳㌵㕣㕢㔳摢㔰ㅤ慡づ㌷搶㠶㤱㍣㔴慤㜷㐲ㄶ㝡㘷㘶戶ぢ挰愰㜹挹敥捣愲捡〹㥤㘸挹敤㔱㉡㕤慤挷㤲㘳ㅣ㠰㔲㉦㐲㘹㉡ㅥ扤攵戳㐳挳㉤户戵㥣㕤㝢㡢㝦攰慢㙢㕦㉤攵㠰ㄶ昱慡㘵㜷〳㥡㠲㠱愷㍤㥡捥㔸㙤㥢挳摦㡦摢昴晢㙥昹㔳㔲敤晦晤㤶㡦㑣㝥㤴㤶慦慢㘸晤摤〰晣㈱㠰攰攴慥㡣㤱㕡㤲㑡愴㡤捡晤愳ㅤ摤㠶づ㤳㕥つ愰搴㥦慣摡㌹愳扥㍣㜴㔷慡㜵摡攵㙢㉢ㅦ㝣攳昸㡤㔳ㄴ敦㌴搲㥥㙡㄰㌸㉣扦㍤㐵㐲つ㜵攱挶㜰戸ㄱ捤愶戱慥愶㍡攲㘸㑦攱扡㕡愰ㅢ挲愱㍡㜴愱扡敡㔰愴愷㍤敤㡡〶搵㔸㔷ㅦ㘶〷〴戵〶㡣つ㌵扡㤶〵慡〳昰搷〳昴㥦摣㥤㑡㉥㌱搸㤲挲扡㠱愴㐶〰愵晥㘰㤵昵愰㌷㌶㍣㕦㌲㜳搰攴㉢愶㙤晤敡晡㌵换㠷㈹戶〸㈹敢ㅥ〸晣户换扡㈷ぢ㌴ㅥ挰扦ㄷ㠰愳慣ㄱ摤㐴搲摥〰㑡㍤㙣㤵昵㡤㉢㍦㍡晥㠶㍦摣㍤晢㥡㥢摦愹㍢㈹昵晢ぢ㑢㌹㠴㔷㝦㥦㔶摦㥣㑣愵㡣づ改㠵ㄸ昹㜹愷ㅦ搶搹㜳㐳〸ㅦ㤰㑣㉤㑥㉦㌲㡣っ挷扢愰㤳㐲㠴㤳戵扡㈰㙢㌵㔹换㍢㥢㤳㐶㍣㥥㘸㑦㘰晣摡捡㡡攰收㠴ㄸ昲挵摤㝥㝥搲㜵㙦昱扡㝢ㄴ攳挲〸攷㉢捥ㄹ摦ㅣ㐳㜲㈱扣㝦昳敥㈱㜹挳扤㝡挸戲㜸搷㝥㐶㝡晢搳扥㥢㜸晦愷搷ㄵ㝦㝥捣敡㔵敡㐱㡢搰晡捣㡤㐳㉦昸摢慤㤳ㅦ㌸捦ㄸ昶昶ㄳ㉢㉦㔲てㄴ㑡戱挶㈲ㅣ㌵㜲挶攰ㅤ收ㅣ㌷昳扡ㄳ㑦〹㕣昷㤲晦㤰㈷㘷ㅥ㝣攴㉥扢扥搹攴㥦㠲摡愸ㄸ敦愸愱㤱㤳敢昴㔴㈰㝤敡㕥㉢敤昱㙦敤昴搶挳户搶戶摣㌳昹㌸摦㠳ㅢづ㝤㔷戱〶愵㤱㑥㐷攰扦摤㐸㘷㈰て扤て㠰㝦㈶㠰愳㤱㔶敢㔹㈴捤〶㔰敡㌶慢慣㜷ㅥ㝢昲㥢㕦㝤㔱㌵昳扥ぢ扦〹㙤晣攲敡敤ㄴ愷㤴㔲搶㌹〸散㠵捥㡦昹㙢愲㍤㝢㉦愹慥〹㐷㐲㜵昵㌵昵㡤㡤㌵㜵戵搵㌵搵攳收戵攳㡥挷㥢㐵愸㉥搲㔸㔳ㅢ㙡㘸慣㙤㠸㌴㌴㔴搷㔵㠷昵扥捣㜰㉥㠰㝦ㅥ挰㈰摣㤷摣㜷㡢昹攴搸て㐰愹敢慤㈲㐵戶摤改㥤摢㙥㝢愸攵愶〳扥㍥散攰扤晥戱愳敡て㌲晢㡥扡捥攲挸慢攷㙢㉤挲搳〳摦㙤ㄹ㜴㑤慡攵㠲㔸昱捦ㄷ㉦㕥㍢㑦㕤㔳㈸挵搵ㄶ挱摤㌲戲昵㝣㌰㌲捣慢攷㐳㠰昴愹摦㔹㘹挷扣扤捦摣㔱㐳づ㥥㜱昱ㄶ㈷昸㑦㍥晢㤳㜳ㄵ㈷攱㘲扢挳㄰昸㉦摦㠸㕢㤱㠵㕥〰攰㡦〲攴摦㠸㈳扡㡤ㅣ敤〰㑡㕤㘴㤵昸扤㘳㔶ㅦ戴捤㠱〳㘶㥤慡慥㕢㜳挶摣㥢㍥㔱㝣㘲㤰ㄲㅢ〸㜸㤴戸㈶搴搰㔰㕢摤㔸ㅦ慡つ㌵搶搶㌷㔴愳扡戳㔳〷っ敥つつ㤱㥡㥡㐸㐳㕤㝤㝤㙤㜵㜵㘳敥㔰ㅦ慥慦慥挳㕣愳㥡㜷㠸㔰愴愶㔱挷㔹㥥㠵〰晥㐵〰㠳㈶愴ㄳ搱捡㥦捤㠹戶㈷㌰〰㤹㔳㠷〴㌹づ〷㔰敡㥣〲昵愳昸㜸㈳㈵敥㐰攰扦㕣攲㑥㤶愷ぢ挰㥦〴挸㉦㜱㔸㉦㈱挷㔲〰愵㝥㘳㤵㌸慦つ昲㔹㑣㥡敦改ㄶ㐷㕥昳晤戵㐵昰捦ㅡ搴㌱敥㤷㡦㑣扤晢摢㤶捦㍥扥昲愶户搵㘹㠵㔲㥣㙡ㄱ㔶㌵晥昳慤挸㙤㡤戳ㅦ㝥㘱昱㌶捦慤㥤㝦摢ㄹ慢攲慦㥦㤸昹㐷㤳晦〸㘴ㅡ捣ㄹ愶㈶㠶挳㝡㌹戰㍥㜵戲㤵昸挶㈱て㙥㥣扦㌸㌶敢捥㔵㠳挷㉤扣晡摦搷㉢㍥㌰㑡㐹㑦㉡㤴敦㠹ㄶ㈱㑦挹ㄳち愵㌸摥㈲戸〷搴昶㐳慦㍣㜰㐸搹扡㈶晦㉦㤱愹慢愳搵敢㤵㔲搰㘳慣戴㑢㉢㝦㜱散㈹㙦摣㍣敢昸㘱昷晣昵慡㤴㉥㔱㝣愸㤵㐶㜰㉣〲ㅥ㡤攰挷㥣昱ㅥ㠷㉣昴昱〰晥ㄳ〰昲㍢㕡㔸㥦㐸㡥㤳〰㤴㕡㘱㤵昸㡡挳攷摣㜲搸ぢ㘵捤搷慥摡攳改㝢㌶ㅣ㜰慡攲ㄳ戸㤸㜶㜹㈱㐳ㅤ㘱ㄱ昲ㅡ挱戲㐲㈹扡㉤挲㤲㠶搳晦㌱㜷慣戱昷晤挹挴挴晤搶ㄴ敦昷㑤昴搲㤱慢晦昱㐹㤳晦搷挸搴摤〸慡昵改挰晡㔴捡㑡㍣昲攵つ〷扥ㄸ晣㜲攲敤㔷慤晣㘶捤㠰㡦㡡ㄴ㤷〹愴愴㑢ぢ攵扢挴㈲攴摤㍢㤲㠵㔲㜴㔹〴昷㤴攸摦户ㅦ扢攰愶㜳㍥㘸昲晦ㄶ㤹收㌶㠲㐹㜵晡㙣㈹攸㘲㉢敤摦㑥㑢ㅤ昳捡挰戱㝢摦昶㥦㘷㙦昸㙣挸㕦て㔶㕣捡㤰㐶㜰㉥〲ㅥ㡤攰挷ㅣ扢捥㐳ㄶ晡㝣〰晦㙡㠰晣㤱㈰愲㉦㈰挷㠵〰㑡挵慣ㄲ扢㥢扣攲扡㡢㤴昸㘲〴㝥昰昳改㈵捣昱㔲〰晦㘵〰㥢晥㝣㕡慤㉦愷㠴㉢〰㤴㍡搴㉡戳㝢㐰㔱㕣㈶㤲㌲㕦㠹挰て㥤て㕣挵っ慦〶昰㕦〳㌰㈰㘷㍥愰慦㈵昱㍡〰愵昶户㑡昳戳㔵户慤摢㜱㥢㍢㘶㥦扤攷挷敤㈷扦㝢㔵㥤攲㝡㤵㤴收〶〴㝥戰〵㙦㘴㡥㌷〱昸㙦〶搸㜴ぢ㠶昵㉤㤴㜰㉢㠰㔲㉤㔶㤹昳晡㉦㤷搷愴㐳捤戶㌸昲挶晦㔹㠵㡣㍦戳㔰㡡㝤㉣㠲扢敢㘷挷晦扢㤱愹扢敢㠷昵㍤挰晡搴㌴㉢昱昵ㄷ㉥㍣㘰扦昰㐳㉤㜷戴㥥㕢㝥㔰昱攵㍥挵㌵㐰戱敥㝤〸晣㘰敢摥て㈱㝡つ㠰晦〱㠰㑤户㙥㐴㍦㐸〹て〱㈸㌵愱㠰挲㡡㑢㤶㔲收戵〸㐴昲搶㝣㐲搵㤱〶慣㘹㌸搶㜹㐲搵㔸攴㌰搷㜹㐲搵㡤攱㕡晤〸ㄲ敡㐷〱晣扦〷㈸㥥ㅣ㡥攸挷㠸㝡ㅣ㐰愹摤慤㡣慦㠸㕦晤㥦㝡㜵捡戴昳摦づ捤㕣ㅦ戹慣㔸㙤㐳㘶㝣晤㑦〰晣搰㡥昱㈴㘴攸㍦㔲摡㔳〰昹ㄳ攵㠸㝥㥡ㅣ捦〰㈸ㄵ戱㡡昴攱㝤愷敤㜳昳㍢摢戵㥣晥㕤昹〵㝢㙦晤昲戵攵捦㠲扣慦昵攰㌵㈹ㄵ㍤〲慢㡢㍤ぢ㤷搵㔵㤸愳㝦㥦ㄵ㕢㉣搸挶㙢攳昵昱㜰㌸㔶ㅢ㡡㐶愲愵㈳㈱昶晢㉥つ㜲ち㔱ㅥ㍦㈰搱ㄵ㑢ㅥ㈱㙢㠵摢㑥㡣愶㡤㥥〵㤴戱ㄶ㙤㘲戲扢㉢㤶摥挶㥢㌸㉦ㄳ捤ㄸ挳摤戴ㅥ㈱㜹挹收㘱晤挹㐸㑢㝥摢扢㤳挹扡挷㠴攵〹㤳扣㥤㡢㡣㜵搴㘴㕢㘱敡㤴㤴戱㌴㑢捤㉢搱〴㉣昴㉦㌳㐸捦搳搲㈴㤹攵慡㙣㕥㤴㑣ㅢ㕤㔲扣戱㥤㜳ㄲ敤㡢㡤搴㍣㠳摢〴㐶㑣㔴摤㡡㈴㙢㌱㜷㙣㑢ㄷㄴ挵昲㙣㙣㤴ㄳㅢ㥦扣㍣㘳㜴挵㡣ㄸ捡㡢〵挷捣㡡昹搱戶づ㘳㐸づ㡢㤹㈷〸挳㜲搰㔳㤲敤摤改收㘴㔷㈶㤵散挸愵㑣㠸㉤㡢㘲〱㌹㌶㉢ㄹ㌳戰晥㕢挲换愷㝣挵挵㑡昹㜶昱㕡愸愰摣㜴㤵㔴㠴愳㡡戹ㅣ㍣㌴户搹㔵捤㠵㜶搰愲挳㘰㥢㉣ㅡ摤㠷㌰㤱㑢㌱㍢ㄷ㘶㜴攸挴㍤ㄵ㜲敦㔴㤸㕢捡㤸慤戹晦㉥㜳㔱搱㘰㑢晢挹换戰㜴㌲㉤摡ㄵ敢㌰㔲扤敥〸㈹㤶㐸㍦〷㔰ㅡ㐲㙦㉥㘸㍤㉥敤慡攵㙡㐵改ㄱ㠹㔸㘶㤱㝦㤱㤱㔸戸㈸〳ㅣ㜶㡤捡捡㘸摡扣㑢㍦て㤴㝥㠱攰㐵㠰㐰挰攷㝦㠹㑣晥㠰㝥搹㡣㤷㡥挲晦㑤㕦㝡㈹㐲㉡㉤摢〵搸摢㐹㤷㜶㘲㘹㌶㕤㕣散愵攵戴㘸㝡㔱㠶捤戳㜷㈲攵扤㐲昰㉡㐰改㘸㠰㍥㜷〷昸㈸㔵挲㑤㤰〱㥤㤳㡣㜸ㄴ㕢㑦搲扢㔵戴戴搳摣捤㤸㘴愴摢㌵户㍤愶愳慦㉣昷㈳㠴㐵㑦㉥㜳㘱ㅤ㜴㜹㘶㔲㌴ㄳ敤搷㠹つㄴ搴㤲〶搳㔸㐹㘵㠶㤸㜲㠰攰散搴〱㉢〶〹㐱〹㍡愴昴ㄷ㠴㈹〹ㅤ〷晤挵㔷㙣挱摥㤵㐰搹户㠷ㄲ㝥㜷㐳捦摤〸挱晥㑣㙣慡搱㌵㝦挵ㄲ㉣㘸㠱扤捣摦慢㈹摤摤㡢挲㕡摡摢昶换㈴㍡搲㔵㈸改搴㔴戲㝢挹㡦㈹㠷戲昴㙢〰昶㔵扡㈳㕡昱昷搷〹收昲昵㕢挶扡㘹㙤昵㤵㔱ㅡ㌱㝡〷〲戶㔶〸晢づ晦攴搲㙦攰㕦愰㌷㕡改ㄸ㜰㙣捡愶㔱㈹昸换㍢㘱愱昹㈹㐳戶挱捡㈴〲㙢て攸攴㡡㘹㕢㌲戹㤸敤㘹愰挴戲㑢慤晤慤慤㌴㉥㥤㉡愵㡡ぢ㉥㜸㡥㠰㝣晦㍡㠰㙤收㜷㘷㌲㐶㘵㠷㔱搹㡥扤㌳㙣攴ㄹ㤵戱㐴㘵㐷㜴㔹㌲㤵昴扦つ㠶㘲㙣㜹昹搷㈳㔰㍦㜳挲晥㉤㜳㕢㉡㥢㕢收捥㘹㤹㍢㘱晥攴捡㐹ㄳ㉡愷㑣㥦㍤㝤敥㘴㙣㌳㉤㕣㤸㐸愶扡愲㤹㘴攵搴㐴昷挲慥㘴㈵昶㘴㐲㔵换㍢搲换搵㜶㌰ㄵ昷㔸昲㈶㤵摢㕡㠴扣敤愲㥤㤰摤㐸㝣昵㝢〰㙡㌸搸㌸〴㈱㥣㝢改扦㈳慥摦㈷昸〰〰〳㠹㔴つ挶㤱㡦捣愸摡ㄹ晦㌹㤶攸つ〴ㅦ〳愸戱〰散挹晡ㄳ〰晢㔲㕢㐰㍥ㅢ㠸㔴昲㉥㐰攷㔷昲愷挰〶㜴㉦㌴㌵づㅣ慣㘸扤㡥㠰挶搳㌴㥣敡〷挱㥥〶昰㕢㠴扣摤愷㉡㈴敢㘵㍥㤳戳攱挳㠷捣㥣昹㑣㜹㝣㑡愲〳㥢㉡㜲换慡㠸攳㥦戹㤹㉢昱〱扣㑤愷愲敤收㌶改㤶昱㘶摣愹戱㝢㥣㔹搱㌳㜷挹㥢㈹㤸㌷搲晦㥢て晤攴收㐳㌲ㅢ捡㤹ㄳ昵㌲摦㐰愳㜱捤㠸㝡㘷㜶㌴㈲㑥〵㍣㐷㉦㘹㔲㔵㤰㥣摢挸挸敦ㅥ㙡㘵㡢㍣换敦㙣㠴攴づㄵ㥥㈷戱戱攷㌷㔲㈶㉡㌸㈷攱戴攳晦㘶㜴㙥ㅦㅦ㜳㐶昷ㄵ㙣愳扦㈶昸㠶攰㕢〲づ慤㡡户㌴づ戳㔳㌱㡤攲㝡昱㘳昸晦慥㡣㠷㥣㍢攸㈲㠲㘲〰挷㌰㕢㡡愸摦て㌰㜸㑡愲ぢ㍥ち㈹戸ㅡ愴㡣㘵愶敢㐸㐰愹摤㈰㐶㠶摦㝥㑣㕣〶㔰慥〱㘶㑦㌳㍡昰㠴昰㘳昹搶㤴㠶㤱㑤敦㜳ㅡ戴㈱㉥㙦づ改㥣户愲慢㝤㔱㉡搹〵て㈷㑥戵㈶戴挳㌹㈵慤愲晥捥㤹挹收敥㡣扦㜳㕡〲晦捡㍢攷ㅡ㑢㡣㘸愶ㄹ㑦㠰㤸挷捤挴敥扥捣搲愶挷㤶晦晦㥣挵昹㌸搵挶挳㜵捦㐴㑥戹㝢戰㌹㥦戲捣㕢㌵㈹〹㐷㈷㐳㝣扣㘸㜶扦ㅦ㌳昲㥦攰㌴つ㑥㘲㈸摤愵晦扣㝥㡦㌱ㄷ摦昲㥤昵㝦㈵㕡愲㕣㍡〴愵昳敦挶〳㤰㈴搰ㅢ㑤㔵㈳㕤昶㙥散ㅦ㐴戳愱ㄹ㤸㜷攴つ摦ㄶ戸㈳㝦㘴ㄱ昲㍣づ攸〴㌰㤲㈵ㄹ〲㐱敡〳戰㜹㑦㐹㠶㠲慣㠷ㄱっ〷㜰昴㤵㙤捤愸慡㠳㄰改ㄳ摢㤱㘹㝢〰搵〰㤴㑣㐹㐶㈰㘶㕦㙡ㅤ昲挸㑥㐹敡㠱捥㌷挲づ㤴愹㝢愱㈹晡㈶㘴㡤攰㤸㤲扣㔲挸〰㉦㕢㠴㍣㌷㠶㍤㈱㘹㈴㑢㌱㡥㐵㝥戱愰〱慡㐰搶扢ㄱ㠴〰ㅣ〶愸㌶愳㙡㍣㠴㠸〱㈲㘴慡〱㔰㑤㐰㠹〱㙡ㄱ戳㉦昵㤴搳〰㝢〱㥤㙦㠰㐶捡搴扤搰搴摥㐸攷㘵㠰戵㠵っ昰戰㐵㜰㙦〴愸愹㤰㈴攵㥥挸㜲㌷戳摣㌳㠰ㅡ㠹慦㥥挴搸㥡㠲㌶㤹挲ㄴ㔳〹愶〱㌸㙣㌲挳㡣慡㝤㙣搹晢㤰㘹㈶㠰㥡〵㤴搸㘴ㄶ㘲昶愵㙥㜷摡㘴㈶搰昹㌶搹㤷㌲㜵㉦㌴㌵ㅢ改扣㙣㜲㙤㈱㥢㕣㘳ㄱ昲戶㔳昶㠵愴㤱㉣挵㐱㉣昲㔵〵つ㜰〸挸晡㔰㠲挳〰ㅣ〶㔸㘰㐶搵㕣〸ㄱ攳㐶挹搴〶愰收〳㈵〶㘸㐷捣扥搴㐵㑥〳㜰换㍥摦〰ぢ㈹㔳昷㐲㔳摣捤昷㌲挰慡㐲〶㌸换㈲攴㙤晣ㅦ〲㐹㔲敥㈵㉣昷㔲㤶扢ㄵ愸㤱㉣㔸㡡戱搳ぢ摡㈴挳ㄴ摤〴换〰ㅣ㌶㔹㙥㐶搵〲㕢昶ち㌲ㅤ〹愰摡㠰ㄲ㥢晣〲㌱晢㔲㈷㌸㙤ㄲ〵㍡摦㈶㉢挱ㅦ搰扤搰㔴㍢搲㜹搹攴挸㐲㌶㔹㘱ㄱ昲㜶散戹㡢㍥㤲愵㌸〵㤹慡㈳ちㅡ攰㔴㤰昵㘹〴扦〶㜰ㄸ攰㌷㘶㔴㉤㠴㄰㌱敥ㄹ㘴㍡ㄳ㐰㈵㠰ㄲ〳㥣㠵㤸㝤愹㉥愷〱ㄶ〱㥤㙦㠰㜳㈸㔳昷㐲㔳㠷㈳㥤㤷〱㘲㠵っ搰㙥ㄱ摣づㅡ慡ㄳ㤲㐶戲ㄴ㤷戰挸搱㠲〶戸っ㘴㝤㌹挱ㄵ〰づ〳㕣㘹㐶㔵ㄷ㠴㠸〱慥㈲搳搵〰㙡〹㔰㘲㠰㙢㄰戳㉦㜵愰搳〰㐹愰昳つ㜰〳㘵敡㕥㘸㡡㤳㍥㉦〳捣㉥㘴㠰㔹ㄶ㈱㙦慢㝤㌹㈴㐹戹敦㘴戹敦㘲戹㔷摡愸扢㠹扡㠷愸攳㠰ㅡ㠹慦扥㤷戱愹〵捤㜴㍦㔳慣㈱㜸〰挰㘱愶㠷捣愸㍡摥㤶晤㌰㤹搶〲愸ㄳ㠱ㄲ㌳㍤㠲㤸㝤愹扤㥣㘶㍡〱攸㝣㌳㍤㑥㤹扡ㄷ㥡攲㌶扡㤷㤹㙡ち㤹㈹㘲ㄱ昲㜶摣㑦㠷㈴㌱搳戳㉣昷㜳㉣昷搹㌶敡捦㐴㍤㑦搴㜹㐰㡤挴㔷扦挰搸慥〵捤昴ㄲ㔳扣㑣昰ち㠰挳㑣慦㤹㔱㜵扥㉤晢㉦㘴㝡ㅤ㐰㜱㑢㔸捣昴㔷挴散㑢㡤㜶㥡㠹扢挹昹㘶㝡㡢㌲㜵㉦㌴挵㡤㘶㉦㌳つ㉦㘴愶㘱ㄶ㈱㙦㑦晡ㄲ㐸ㅡ挹㔲扣捦㈲㙦㕤搰〰ㅦ㠲慣㍦㈲搸〰攰㌰挰㈷㘶㔴㕤ち㈱㘲敦㝦㤰㘹㈳㠰扡ㅣ㈸㌱挰㍦ㄱ戳㉦㌵搰㘹㠰换㠰捥㌷挰攷攰て攸㕥㘸敡ち愴昳㌲㐰㐹㈱〳ㄴ㕢㠴扣つ敥慢㈰㘹㈴㑢昱㉤㌲㔵慡愰〱㝣㐵攰㔱〴㐵〰づ〳㤴㤸㔱挵㝤敤㔱ㄴ㔴㑡㈶㍦㠰扡ㄶ㔱㌱㐰㍦挴散㑢㝤昱㡤㘳敥㜹つ搰昹〶攸て晥㠰敥㠵愶慥㐳㍡㉦〳㝣〲攱㥥换㘱ㅦ㕢㠴扣㍤昵ㅢ㈱㐹っ戰㈵㡢晣ㄱ搸扣㈷摦㐳㐰搶㕢ㄳっ㘵改㝡搶〳㠷㥢㔱㜵ㄳ〴㡤愲㍡摢㤰㘹㕢〰㜵ぢ愲㘲㠰敤㄰戳㉦戵摥㘹㠰㥢㠱捥㌷挰㐸昰〷㜴㉦㌴挵㕤㜷㉦〳扣㔶挸〰慦㕡㠴扣つ晡㝢㈰㘹ㄴ㑢戱ぢ㌲搵㘳〱ㄴ昷慥挵㈶攳ㄸ㝢戱愰㑤慡㤸㘲㌷㠲㄰㠰挳㈶搵㘶㔴㜱晦㝢ㄴ㘵㐷挸㔴〳愰ㅥ㐴㔴㙣㔲㡢㤸㝤愹愷㥣㌶㜹〰攸㝣㥢㌴㠲㍦愰㝢愱愹㠷㤰捥换㈶㙢ぢ搹攴㘱㡢攰昶㈳㔰㡦㐰㤲ㄸ㘰愲ㄴ戹愰〱㈶㠱慣㈷ㄳ㑣㘱改㝡ㅡ挵㌴㌳慡ㅥ㠵愰㔱㔴㘷㍡㄰㝡〶㠰㝡っ㔱㌱挰㍥㠸搹㤷扡搳㘹㠰摦〳㥤㙦㠰ㄶ昰〷㜴㉦㌴昵㌸搲㜹ㄹ攰晡㐲〶戸捥㈲攴㙤敦㍦〹㐹㘲㠰〳㔹攴㙢ちㅡ攰㈰㤰昵挱〴㠷戰㜴㍤〶㌸捣㡣慡㍦㐲搰㈸慡搳㑡愶〵〰㡡㝢昹㘲㠰㈸㘲昶愵㉥㜱ㅡ攰㈹愰昳つ㘰㠰㍦愰㝢愱愹㘷㤰捥换〰㘷ㄷ㌲挰㙦㉤㠲摢㤹愰昴㌹㐸摡㠴㑤攰晥㉣㜰㝣晦㠴㜱〴㜷慤〶挶昱㤶㔱㜳㜷㍡㤳㤴㉤戶〱昱㐹挹搹挹捣愴㐴㝡㐹㐷㜴挵攰戸ㄵ㌸㘰㤱搱㠵つ㜰散㡣挴㕣戸攴㤲㈵㐶㑣挷昱㝡〹摥慤㤹㍥改愷戰㐱づ晤㔰㜵戲㌷㕥㠴摤ㅦ戵㜹㝢扥㍥愴昴昹扢㔰㡦㕢搲ㄳ愱㜲愷㠹㍢㔷㤹㑥㉢㐹扣愸㘴〴㜰昹㑡㥦㐷㑥敥㍤㍤挷ち㙦捦㘶〲扤㉤㉡㝡㑣㍤㍦㤱改㌰晡挷㠵㉥攱戲㌸捣ぢ㜷㠳㔸扦昸晣㐵搸敢㥡㌴㈰㍥㌵㤵㠸㜵㘰㍤㤱戵㠴つち扥搳㌵搳㔸〸搷㠲㌹挹㜴㠲敦晤っ㠸捦㑦㐵扢搲㑢戸㑢摡扥㘲㔰㑥㑣ㄶ敡㑡攳ㄳㄳ㕤㘹㘴㈳搵换㜰㐵㝣摥愲攴ㄱ㜸昵戱扢戳㙢㙡㜴㐹晡㈷㔱㕤㡡昵㈵㤷搴㤹㉡㔲㐵㐵慡慣愸㙣㜳㉢捥㥦㐴愵つ㐳换捤愴ㄲ㙤摤㐷挲㔲㐶愵愳收㈴㈷慥㡡㤵㄰㘰㈰㘰㐵扥㠰㔰㉦㑢昵㕣戰户摣㍥攸搲挰ㄲ攷扣摤攴戹扢㥥㝤慢㤴㡢昴㝡〹ち㔵扥ㄴ㘰挶搴晤愶昷㌸晢晣愰㔷㌴㑢改㌸攰㕥晣㜴户扦慣㙦〵㥤ㅡ〷㥡つ㠹㌸戶㉢㜴㕣戴〷挶摣㡤㌳㄰ㄷㅥ戶搳㠱㍤挱㈹搸㥥㉦㡦捦㡣戶ㄹㅤ昰㉡攸㡣㘶〶㥡ㄱ㙥㕢攰㐵戶戴㐵㙢㑥㜶㜶㐶搹昰搸㘸攵戵㠳戲昸㠴敥㑣ㄲ㙦昷改㌸㠰戴㑥ぢㄵ㕤づ㔴㜴戹愰捡攳㜳改㙤㈴㘱捡㑡㉥㡣愶ㄲ㤹㐵㥤㠹昶㌲㐶搸て㝦ㄲ㉤ㄶ挳㑢〹㡣㘹㕦昶㔰攳㕥㝣㌷㤷愱㔱摤㔵搸㜱愲改㔸晤㘸搷㐵捡㡦㍦戵㤹捥㈸ㄸ㤸攴㝥愳搳㤰挶ㄹ慣㡣㔴㔲㤶㡤摦㔹㝤㘹愳㉣㜴戰㘵㉢晡㤲㄰慢㌳㘰㘵㠰摦ㄲ扡㜳昴敡愹搰てっ㠱㤹挹㘸㙣ち㌶㐹㤳愹㝥搶㉢挵㘵愸㕡づ㌸愹㈰㝤㐷㥡攱㡥〴㌷愷㘵㠹㤸㤱㉡㈳㘲ㅥ㌶ㄴ㑡攸㜵攲㌷敢㄰㡢捤挵扥搲搲晥㘵㕥㜹㑤户㘵㡤戶㥣㜲㥣慦㘴㑦捦㤳扦㘱摦〶㉥㤰愲挳ㄶ〳敡㙥愸愳㤷㔱愷㔷ㄱ愵㍥㉥㠶㈳挸戰ㅣ愰㤴晥て敥扡挹㜵攳㠰戳㠷〶㔳㠹扣㡣㑢〷㤳㌲㌸㘳㠸㘷㑡愹㈸搲摦攱㔱攲㌷㥤㐹捡散㌷㝣晤昳搰捡㡤㔸挰ㅣ㘵戹㥤㠲ㅢ㠷慦愸愸〴㔵敤㜷敦㕥攷㘵ぢ㘱㥤昳っ㜱㌵㔱摢愳〸晥ㄵ㈸昱敥散㉣㤰摦扡ㄹ慦戲扡扤㌲〲〱晤ぢ㠸昴〵搴ㅢ㠰戶㥤〶ㄳㄳ㘰㈵敢愳㘸愷愳〱搴㝢㠸㜲㌲㈱つ㡡攳㈲㥡捦摦ㄱ攵㕤捥攷晦㈵㔸㠶收㡥慡攸㤳㕤昲〶慢㐱づ㥦㙢㔰㔵敦〳挷㠱㔵慦愴昴て㄰攲㜸㤵㙤扦挷〲摢㜷晢晤㠸㈹昰搵挷㔱㠸ㄵ㔱ㅢ㄰戰㜵㐱搰㙥ㄴ挷㠳㐷㥦㐰挶㡦扤ㄹ㑥㈴挳㐹㘴昸〴っ㙣ㄸ晥㤳ㄱㅢ㙥ㅢ摣攳㌵㔹て㠳晥ち㐹㘰搰㑦ㅤ㜹㌸っ㝡㉡昳㌸つ愰㤴㥢㡣扤っ捦搸㠷㜱㙣㐵て㘴㘱攲晢㜵㈵㌲ㄸ㌹㔹㥥㈹㠹っ摡㐰㜹ㅣ〰㐱搹㌳ㅥ㉥㈳慡㈳搱搸散㐴㙥㐴㍥㈹㘷㘶户㝤㍥摤㌹搵ㅢ敤㐱㌶㈷㠱㡥戹㕦㕦㑣㌲ㄹ昴㈸攳㑦㘹㜶愸捣晤㐳㙢㠲愸挶ㄴ摥㜱㜷搸㥤㜷昰ㅦ㌰㤷㤴昱㕡改搳搹㙣ㄴ晥搰㈷㝦㠳㌰㈷ㅥ㕦昷搹㐴ㅣづ〸㥣扡〷㌸㡢㌴㜱〳㉣て㤷改㕤㘹㡣挰〱㉢㠶晢敢㐰㉢搸搲㥤挹愱㐴㤷て戶㈸ㄳ㍡㍡㕡扡搰㤹攱敤ㄴ晢㠹摣㔲愱㥢㌹晦㤳扢攳㘶㑥摡㈱㠴㤷攳㐶㠸挷戰㌳㉣㕢㝦〳捡愶昸㙦㔴㠰㝦〰捤㡤扥㘷晡づ㤵㌱挶户昵愵ㄶ捣㌷散攴〹㙡㡥㜹戴㐰愲挳ㄸ㉣〹戲㔱戹㝤攸昸㠴戶㌴㈶摤ㄹ捥愵慣㤰㜴㜴ㅤ㥦㉢慦て㉦㌳㌰昵戱㐲㜳摡㌳昰㔶捡ち愰摦昱㑦愷㠶㘰㤱ㄲ慢㤶㤴搴㤳扦㤷昱㉤㔷〹昶愱捤慣㔵っ晢㜱戹㍥㘹㔲ㄷ慣收㜵㕤㤳捦づ㤸㌷慡搲㙦㈱扥㤷ㄹ㍣挶㕡愷戳つ㝢搲㘰摢〷捣ㅣ攱㘴昰㉡户㜱㥣收て攰㐳㔹㉡〳攷㝣㥥㙡㔰挱慥搳㠱㜹㄰摥戲㡤㜶㜴慣ㄸㄸ㥦摥搵摥搱ㅤ㌳㘴㍡㙣㡦搹㌲㉢晥㐹搴㔷〹㙦㤶㘶㕤昵㘲ㄷ换㈸搳㜱攴㡤敤慣扤昹㡦捣晡㑣昴㌴㜳戰㔳㉡愰㔷㔹晤敥㍢ㄴ㘴㤳㍤㥢〲㐸㌴愸挷㉦㑦づ㐲挱搰㤶㠷攲㤸㐶搷㤴慣㜳㤴昴㌸〷摢捣㈴づ捡挰㤳戵〳㌵㉤㘱愲㝥ㄲ昵〴㍤捤㙡昲挳㠷㘸㜳㥦㜹㈹〴愳㥥晣昳㙤㕣㘹晤挷㝣搹㥣挵㜱㐶㉡戳㌸㜱ㄵ挱㑤愸㔸㈶㙢㐵㥣戱㔹㉣㜴㙣㤲挹摡搹愸㌵㐵て㈷㜳戲㘶搶愷㍥ㄷ搸扥㈷㙢昴㠴挲挷愷捦愳㄰〴攴摢て搰㥥慣〱㡦っ㘵〶㝦㍥挲㝡㌵ㄹ改ㄲ攵挱㜰〱ㄹ㉥〴㈸つ㠰挱㍤搰ㄴ㜴昲愱昰搲㑥㑥挴换㍡昹㐰㠲㙥敡㠷㘳㌹㥣㤸㌰摦昵昷㉦愳ㄳ㤰扥〸㘲晦昴捣㌳攳挱敢㔳昴愲戱昳㉦㤷〲捡捣昸㘲收㝦〹㠰愲户㡢㝢㘶㑣ㄷㄷ㜳㘶㝣㈹㔸㌶㙤㘶㑣捦ㄸ㌱昶㘵㤴㍥ㅣ戱㥣㤹昱ㄵ挰昶㙤㙣扡搲攰攳搳扦愳㄰敡挱㉦晤㘹㙣㕤㠰户㡤㝤㈵挲晡㉡㌲㙥敦捤㜰㌵ㄹ慥㈱挳〸㌰挸捣昸㕡挴〶摢㌳㘳攷㜹ㅦㅥ㔳攲敢挱㡢㈹㌱㕤㜱散摣㜷㤲摣户〰搴㌷㔰昸㡤ㄴ㑥户ㄹ户㈵改㉢㘳戶㑥㕡㔲㉥㌶㑣挷晡㡣愲㈷㡤ㄸ散㘶ち〹㈱㤶㘳戰㕢㠱敤摢㘰㜴扤挱挷愷㙦愳㄰〴攴㑢晦ㅢ扢挸捣摢㙡㥤户㠳㐷摦㐱挶ㅡ㙦㠶㍢挹㜰ㄷㄹ㙡挱㈰〶扢ㅢ㌱て㠳㐵昲搶㠷㌱〱扣ㄷ扣㌰ㄸ㕤㜷散摣ㅤ捦㄰昷㔱昸晤ㄴ㑥㌷ㅢ㥢〱㐱扢㜸㙢挸昰〰ㄹ攸㠲攳挱昰㈰ㄹㅥ㈲〳扤㜲摣㈶愷㉢㑥ㅦ㈶㥦ちㄶ㌱昹㕡ち愱挷㑥㡥挹ㅦ〵戶㙦㤳捦㐰㌲㝣㝣晡昷ㄴ㠲㠰㝣改摥㘳ㄷㄹ㌸㕢愷挷挰愳ㅦ㈷㈳㕤㝦㍣ㄸ晥㐰㠶㈷挸㐰㙦㈰㌱昹㤳㠸㜹㤸扣摡换攴㑦㠱ㄷ㈶摦搷㈱㥣慤搳㝡づ㝥㥡挲㥦愱昰㠳挰攰㌶ㄸ㕤㜷挴㘰晥㍦㠱㘵敢扣攷㘰㑣ㄷ㌰㉤愰㌲㜹㡦挱㜴昸ㄱ㐳㍥㑢攱㠷㈱㤶㘳挸㍦〳摢户㈱ㄷ㈰ㄹ㍥搸っ愷㄰〴攴ㅢ〵昴戰搳ぢ攰搱㉦㤲㤱㉥㐴ㅥっ㉦㤱攱㘵㌲搰慢㐸っ昹ち㘲搹挷攰㥣昷㝤捤㈳ㅦ㍣晡晣㙢㐸〲㝢㉥㜴攴攱戰攷㕦㤸挷敢捣㘳㠹㠳〱㐱扢扡晦㑡㠶㌷挸戰搴㥢攱㑤㌲晣てㄹ攸㐳攴慥ㄱ慥挲㥡㑤㤸㉢ㄳ㜲戹㐷㡤㙥戰㠸攵搷㔱〸晤㡢㜲㉣扦ㅥ搸扥㉤㑦㍦㈴㝣㝣晡ㅤち㐱㐰扥㜴㐶昲㌰散扢攰搱敦㤱昱㐸㙦㠶扦㤱攱敦㘴愰敦㤲㔸晥㝤挴戲㤶捦㕢㠰昰ㅣ㍣㍥㐴ㄲ㔸㥥慢㝣㜶㈱戸扡㙢戵攴㡦㤸挷〶收㐱搷㈳户摤攸㙦㘴戶攴㡦挱戲㘹昷㉤扡㈹㠹㐱㍦愱㜴晡㉢攵ㄸ㜴㈳戰㝤ㅢ㤴㝥㑤昸昸昴㍦㈹挴㌶㈸㥤㥢㙣㕤㠰戳ㅢ挹愷攰搱晦㈲攳㤹摥っ㥦㤱攱㜳㌲㥣〵〶㌱攸扦ㄱ换ㅡ搴攳昴ㄲ㡦愶晣〵㤲挰愰攷㌸昲搸㔲ち㈱ㄳ㠱㉦㤹挷㝦㤸挷㈵㘰㜰ㅢ昴㌲攰捣㠶㐸㠳捡攵㙥㠸㤷㠳㐵散昶㌵㠵搰捤㈹挷㙥摦〲摢户摤攸づ㠵て晣搴㈹〴〱昹搲㈷捡挳㙥㝣攳㔹㘳㥡攷㔳昴㤷昲㘰㈸㈲〳㔶㘷戱㘵ち〶戱㕢〹㘲㠵敤ㄶ昶ㅡ㔲晤㐸〲扢搱慢捡捥㘳㌷㘲〲ㅣ〸㜴㍦收㔱挶㍣敥㜴㌰㈰㘸搷㉥㡦捥搴㥣つ慡扢扣ㄹ晡㤳愱㥣っ㜴㤸戲戳㜰㐸ㄸ㐰㠶㠱㘴愰㌳㤵〷㐳〵ㄹ㠲㘴愰㝦㤵扢敥敥〷慥㡦㐱㠴㉥㔷㔲㜷㠳㈸㠴扥㔷㌹㜵户㈵戰㝤搷摤㐳㐸㠶て㑥昴愴㄰〴攴晢㌰愰㕤㘴攰㙣慢っ〱㡦摥㥡㡣㙢扤ㄹ㠶㤲㘱ㄸㄹㅥ〱㠳搴摤㜰挴戲㜵㤷㌷㠸㜸搶摤戶㐸㠲扡愳慢㤷㕤㠸㠸ㄴ㐲敡㙥㍢收戱㍤昳愰㕢㤶捤㠰愰㕤捡ㄱ㘴愸㈴〳㕤戶㍣ㄸ㐶㤲㘱ㄴㄹ晥散捤戰〳ㄹ㐶㤳攱㜹㙦㠶㌱㘴昸ㄹㄹ攸昴攵慥扢㤷㠰敢愳摦扤っㄶ愹扢㥤㈸㠴づ㘱㌹㜵户ぢ戰㝤搷ㅤㅤ挷昰㠱挳〹㠵㈰㈰㕦㝡㡦搹㑡〳㘷㕢㘵ㅣ㜸昴慥㘴㝣摤㥢愱㡡っ扢㤱㠱捥㘶㔲㜷㈱挴戲㜵㤷㌷㕥㜹摥〰慡㤱〴㜵昷㤶㈳て挷つ㈰挲㍣㙡㤸〷㝤挵戲㜶搳㕤ㄸ㌸捣〷㐲㍡㠹㤹戶攳㘶愹㕣敥㌱㡢㉥㘴㘲扢㝡ち愲㉦㔹㡥敤ㅡ㠱敤摢㜶昴㌹挳挷愷㜷愷㄰〴攴㑢挷㌳て摢敤〱ㅥ扤㈷ㄹ㌷㝡㌳㡣㈷挳㕥㘴昸㈷ㄸ挴㜶㑤㠸敤㙥㍦愳㙣昲㜶㠹攷㌴㜱〲㐴挲戶㥦㍢捡㌰㠴ㄸ㜳扢㘴㈲换搰捣㌲㝣ぢ㠶慣㙤捤㔵㈸攵㠳㌵㑤扢㜲㥡㈸㤷摢慥ち〴戱敢㘴ち㈹㐲㉣挷慥㔳㠱敤摢慥㈵㐸㠶散攱㐹㑦㈱〸挸㤷改㍣散㍡ㅤ㍣㝡〶ㄹ晤摥っ晢㤰㘱㈶ㄹ晡㠱㐱散㍡ぢ戱慤㙣扢收㑣〷扤㙥〳㉤攰㠶挹晡㍢挴㌷㄰㘳摥〶收㔰晣扥ㄴ扦㈵ㄸ戲㈶㜳㌴挷㈱挰昷搱ㅣ改捦㈶㘶㥢㑦㐱㐳ㄱ换㌱摢晥挰昶㙤戶攱㐸㈶㘶㍢㠰㐲㙣戳㙤〳慣㠷搹づ〴㡦晥㌹ㄹ户昵㘶㌸㠸っ〷㤳㘱㍢㌰㠸搹づ㐱㙣昳㥢愳攷㌰㝤ㄸ㐴挲戶㈳ㅤ㘵ㄸ搱㘳摢㔶㤶㘱〱换戰㡢㠳㠱慡㔹捦戱㔱㌲戴㤱㘱慣㌷㐳㍢ㄹ㘲㘴愰ぢ㥤㔷敤㔴〱摦㐷敤散〶ㄶ愹㥤㠵ㄴㄴ㐲㉣愷㜶ㄲ挰昶㕤㍢搵㐸㈶戵㜳㌸㠵搸戵ㄳ〱搶愳㜶ㄶ㠳㐷㜷㤰戱挶㥢愱㤳っ㕤㘴愸〵㠳搴㑥ㄲ戱捤慦ㅤ捦㠱㜸㈹㐴愲㜶ㅡㅤ㘵ㄸ㉡挶㤷㠹㘳㡡㘵㐸戳っㄳ挱㈰戶挵昶愷捦捦㠳挶ぢ扢ㄵ愹㐹㘰ㄶ㠳晢扢挱戸㘹慥㉣㙡㌲ㄲ㑢㔵㉣㘳扥㔳㄰换愹㡡攵挰昶㕤ㄵ㜴ち㤴慡㔸㐱㈱㜶㔵搰㌳搰愳㉡㡥〴㡦晥〵ㄹ㘷㜸㌳ㅣ㐵㠶愳挹戰てㄸ愴㉡㝥㠹㔸㝦㝢㝣攱㐹㍥ㅥ㤳昲㘳挰〳摢戶㌸㠴づ敡戱敤戱ㄴ㝡ㅣ㠵ㅥ〸㠶㙣扢戵〶攲㠳㠰敢㘳㈰㍥ㄸ㉣㘲愸ㄳ㈸攴㄰挴㜲っ㜵ㄲ戰㝤ㅢ敡㌰㈴ㄳ㐳㥤㑣㈱戶愱㕡㠱昵㌰搴㈹攰搱扦㈲攳〲㙦㠶㔳挹㜰ㅡㄹ攸㜰㈸㠶晡㌵㘲搹挹㐱捥㐰捣攷㜲㑦扢晤〶㐹㘰㌷挳㤱挷攰ㅥ扢㥤挱㍣捥㘴ㅥ㑢挰㈰㘵㍦㡢㌱慢散愵㘹㘰摤摥ㄲ㜹㥥㉣㜴㝦挱㠶㈳㝣㕡收㘵㔶㜴挰㡦㠸㐱㝡㑦㤸㈱㉥扢㥡㘴昸㜴㈴㔳搸㡡㈸㜱扦愵㥣㑤晢㉣㐴昵摦搲㜵㉡㡤㈴㈳㠵㉥㌳愵㕤㕦攷㥦扣㤲㑤捦㠲昷ㅣ㔱挱㌴扣晣扦㠵㑥㕢捥㑡戴愷㤲改㘴㍣㠳搳扥扢㜰ㄶ㌸㑥ㅦ挲㙢㌹愱〹愵ㅤ㤰攸㤹㈷ㄵ㉢改攲㠱敢换㜸敡㐵㘰㜱㔷昲㠸㉥㈹㑤㘹㥡㠷ㅤ㠹扤晡昵㘳㌶摣愱㤰㙢〷ㄸ㉦㤸㐱㐱㤹㔸㥦㠳㡣〷ㄴ〷扢ㄱ攷ㄵ㕣㘶〷攸㤰㈲㤸攵㔶愰昴ㄷ〸㝣㕦てㄱ捡挶㜲㑥扢㡡㈹愳愴㕦扦扣㡤敢㍣捦㤲散㤹㈴㝥㍦ㅤ㑢㑡て㠷捡敥摤㙥敦㐴戹ㄶ㘵㘲ㄶ㔸㥦〷挵昴昹〰㠱攰㔱㐰戰㐰晥搵㠸づ㙣㥥搸敡㜰㤰昳㕦〰㕣㌹㜰戲ㄱ㠳攳㠹搳晥ぢ㠱搹〲㤸摣〳敥晤ㄷ〱㍤〸㘸ㅣ慤攱㍣捣㈳㜸戴㈵㕤㡦㘴戶愳〸㉥〵慢㕥㡦㤰㕡〹愲㔴挲攵㐰㌱㈰㕦晡㤲戰攱慡挳愰㈵㥢ぢ〸㍥捤㌶挰敡㔶㠷〰挳㉡捦慤戲攳㤰㐰慡散㉡昰愱捡攸㍤挲㉢㜸㠲ㅤ㌸搱づ㥣㘴〵ㄴ㕤㍦㔸㙤敡㈰㠸愳㐹㐵挰㌵㉣摥戵〰㠱攰愹㈰㡡㘹慥㐳搴㙤㥡敢㠱换㌵捤つ挰㜸㤸收㐶愰扤㑣㜳㥡㈵扤攷㜸㜷㝤ぢ㔸挵㌴愵愷㠳攸慥㘱㠷㌷愰挳㥦㠱㌷愷愰挳挹㐴摡捡ㄶ昱㝤扢愳ㅤ昸攵㠱ㄶ散㜴㘶㠸晡㈹散㡦㤵㤸晢捤㝤㜶ㄳ㔱攱攰㐳搹㕡摤㌶挸㙤攵㤶㙥㜲㕣捦收敤㐷〷㑡㕢㔰昱摦㉦ㄷ戶捥㥥搱㠹愵㐳㜵挱㈷攱㜶晣愳㝦搵㙦搸㤶㠰搱㜷㄰㙦㕤㡡ㅥぢ㜹搸搲㌳㠱晤晥㕢戹㑣㍦ㄸ㈳㤷昵㉢㈷㜴㥥ㅣ摢㠱㘵敡敦攱慢㝡㈷捡愲㔶㜹㤵㐱㥤㙤㘳敦〶て挲㍥㍦扥敡㕣㠴愴晢㑤㠷㘱散敥攷扦ㄷ㉣〵㠷㘰㌵ㄵ慣昹㝤㤲ㅢ㠷搲愵敥㐷㘲昴挹昳㤹〷慥攰㙡㍢㜰㠱ㅤ戸搰ち㔴㕣㠴〰㝢㌶㡢昲愳㕥挱㡢㈱ㄹ攵昰昹搷〰扡㍢昳〳挰攵㜶收〷㠱挹敦捣挱㑢㉣㈹㍤㘷晥敢戵攰㔴㤷〱㉦戵晣〸㘳挸㐶扥㔷〰㉢戶摣换㘱换㥥愱㙣㑦㑦戳㜱ぢ㔰捣昶㌸㐴挱㙣㔷㈲捥㉢㜸㤵ㅤ戸摡づ㜰㡦㡦㤷扡ㅥ〱ㄹ捡㜶㠷挸散㔰昶〴〴攸㈷〱〲挱ㅢ挰㈰㐲㌹㔰㙢づ敢㥡攳扤收㜰ㅥ攴㙥㥥㄰搷㐳㤶晣㉥㠰昹ぢ〱㝦〶㔱摤っ愲㘸昶㍣㘳捣㡣摦㕢㠱ㄵ捤慡㍣㌵ㅢ攷愹ㄹ昷敡㈴㥦㤷㈱ち㥡摤㡥㌸慦攰ㅤ㜶攰㑥㍢㜰㤷ㄵ㔰昷㈲㈰㥡敤攲搴散㔵〸搰慦〱〴㠲昷㠱㐱㠴㜲㤰搶ㅣ㤵㌵〷㘲捤㘱㌷㜸扦㑤摣ㄳ搹挸慦〸攸户㐸㕣捦㕣搷㠰㐸㘵晣㙦〳㌵愶㜹㘲昳摣搶㐸愴慤戶㉤摡㘰㐴挳搱㥡㥡㔰㌴摡搸ㄶ㡡㌷攲㠷㜴㘲㡤攱㠶㜰㈴ㅡて㍥㘰愵搱敢㈹晥㐱㍢昶づ㘳て搹㌱搲搴㕡㍢昶ㅥ㘳挸㐶扥㡦〲㉢㜶ㅢ敥㘹户愱㥥㜶攳㠶㥢愸昸〱㐴挱㙥㡦㈱捥㉢昸戸ㅤ昸㠳ㅤ攰㡥ㅡ㉦昵ㄴ〲㘲户㈱㑥扢㝤〴〱㝡〳㐰㈰昸㌴ㄸち摡㡤㝢㘷㐲㥣〱㔹㜲戰扤晥ㄷ㤳慥愷攸㘷㐱愴㌲晡㜳愰戲㥡晤ㄹ㔸搱㉣攰搰捣晦晦挰㔲㜸摣㈸昳㔴㤷摢㘲㤲昹㤷㐸っ㜵㕦㐰㥣㔷昰㐵㍢昰㤲ㅤ㜸搹ち愸搷㄰㄰㜵晤㤶扡昴〱搶㕦戱捣㕦〳〴㠲㝦〱㐳㐱㜵㕦户㠹晢㌲搵㕣㠲㘲㌰㥢捤攴慦㈰㔲㑢㝦㈹㔰㘶㌳愹慤㌳慡㘳つ㜵戱戶㜸愸扥愶〱㘷戴㌷㌴㌶㠴慢㈳㙤㌵戱㥡㘸愴戱慤㈱昸㠶㤵㐶晢㤱㈶昸愶ㅤ敢挷搸晦搸㌱搲搴㍡㍢挶㕦㥤捡ㅡ㜳㍤戰㘲捣㝦㝦搵㌳〸昷っㅣ㥦〱㥢㍦摥㜲㔳ぢ㐲昰㤳㔴㠰戰摢扢㠸昳ち扥㘷〷晥㘶〷戸㙢挵㑢㝤㠸㠰搸敤㔳㠸捣づㅣㄵ㄰愰㠳〰㠱攰㐷㘰㄰愱㕥摤㡢ㅢ㔳㐲㙣㠵㉣扤㠰㘰㙢㈶㕤㑦搱㥦㠰㈸捤㘴ㄸ㔰㔹捤㌶〲㉢㥡晤捤㔳戳㜷㍤㌵攳敥㤲攴戳ㅤ㈰㌴晢ㄴ㜱㕥挱㝦搹㠱捦散挰攷㔶㐰㝤㠱㠰㘸戶摥愹搹〸ㄶ慦ㄲ㈰㄰晣ㄲっ㈲搴㑢戳晦搸㐴㍣㘳㤸〷攸敢ㅤ㤹㜴㍤愲敡㙢㄰㐵戳㥤㠱㘲〰㉤っ㙢㠸挰㡡㘶慦㜸㙡昶㤲愷㘶摣晦㤱㐲散ち〸捤㐴ㄴ愴〵ㄵ㘵㌲㔰㘴〷㡡慤㠰攲㐶㡤㘸昶㠲㔳戳摤㔸扣㄰㐰㈰搸てっ㈲搴㙢戰㉦戳㠹㔴㐵づ摡搷㝣扢㕦㌷㈰㐵㔰㠳㐸㠵晣㡤㠸㤹㙤㍤摣搰㕥ㄷ慡㙤㙦㡣搴㔶㐷㙢㈲戵つ搱㘸㝢愸捥㠸㔵㠷ㅢ㙡㡣㘸慣戶㌱ㄸ戰搲攸摤㈹愱扦ㅤ摢㠳戱㜲㍢㈶㌴㙥昰㠸昴昱㔹改つ㤱㜶晣戸㐵㉣㔴ㅦ〹户搷搴㐵㡤挶㠶挶㔰㕢㝤㈸ㅥ慥慥㘹愸㡢挷㡤愰散〷戱㝣㝢㔱㕥㠵㉤慦㠹戱愰ㅤ㈳㑤挹㥥づ㌹㈷㌰㠶〰愸㔸愶〴㤴㕡㜹挸戳㔶ㅥ昰慣㤵慤㤰〸㐲昰㤲㈵㈰㙡㠵扢㌸扣㠲㕢摢㠱愱㜶㘰㤸ㄵ㔰摢㈲㈰戵㜲扦戳㔶愶㐲㠰㥥〶㄰〸㜲ㄷ㐶㠴㝡搵ち㜷㘷㠴㈸戵㜲㍣昲搲挷ㄱ捣〱㌲㌸〲㐴戱摢扥㠸㤹戵㔲㕦摤ㄶ㙦慣㘹㙣㌳㘲㠶㔱㠳㔳㌹ㅢ昱搳㍥㤱㍡摣愷㐲昵戱昶戶㍡㈳㔸㘹愵搱㜳㈹㘱愴ㅤ㥢挷搸㈸㍢㈶戴ㅤ㙣改晢㘵愵ㅢつ愱昶挶㜰慣戱扥慥㍤㔴ㄳ㡦愰㐶㡣敡昶挶敡㐸㑤扢㔱ㅦ㐱㝥㐱搹改㘱昹昶愷扣㌱戶扣〳ㄸ㤳㑤ㅥ㥢愶㜶戲㘹㍦〷㡤㑡挸㜷ㄷ㘰愵㔶慥昶慣㤵㉢㍤㙢㘵㉣ㄲ㐱〸㡥㕤〱㐴慤㡣㐳㥣㔷㤰㝢㌴ㄲ攰㠶㡣〴㜶戳〲㡡㥢㉢㔲㉢㔷㌸㙢愵ㄵ〲昴〲㠰㐰㌰〲〶ㄱ敡㌵ち搴搸㐴㥥㔸㈰㐷搱敢㠵㑣捡㑡㔲昵㈰㔲ㄹ㥤〰㉡慢㔹㈳戰愲搹戹㥥㥡㥤敤愹搹敥㜶㍥㥤㄰〵捤昶㐰㥣㔷㜰㑦㍢挰敤ㄲ挱㜰换㠴㤷㥡㠰㠰㘸戶捡搲慣〸㔸㥤㘴昱㤶〰〴㠲ㄳ挱㠰㠰㌵搱㤳㈹ㅦ㘷㝢㥡捤㉦搸㙣ㄳ㉦㈱挷愵〴㐷㌰愹㘸㌶ㄹ㐴搱㙣〵㔰っ㈰㡥攳㉣〰㐵戳㤳㥣㥡昱〶㉦捦攵㈷㜸㙡㌶つ㘴㈹挴搱㠰搰㙣扡戰愳〰㌳散挰㍥㜶㘰愶ㄵ㔰㉤〸㠸㘶挷㔹㥡挹扤㝣㈵㡢㜷っ㐰㈰挸㑤〸ち昵ㅦぢ攸昱㘸敤㍦づ昸摣改晣昱挰戸㈷晤㈷〰攷㌱挵攷敥〶㈸愶㉤攴攰㝣㝤ㄵ愳愷〰愹收㠳㈸愶昹ㄵ㘳㐰㈳敥㔳摣戱㄰搳㉣㜳㥡㈶扢㘴㤱昱㌴捤〱㜶㍥愷㐳ㄴ㑣㜳㈰㐵攱ち晥摣づㅣ㘴〷づ戶〲㡡ㅢ〸㘲㥡㤴㘵ㅡ愹昴㌳㈰㐰㥦〹㄰〸㜲て〱〱戳㤶摤昳晣〵㌶㤱戵㉣㘷昰㙢㥥㐳愰捦㐷㡡㘰ㄴ㐴㉡攴㕦㡤㤸㌹挸攰㐷㠵攲㐶㑤㝢㜵㉣ㅣ慢慢愹㡦搵戵挵愳㤱晡㔸㙤捣㠸挴ㅢㅢ攲㙤昵挱㌶㉢㡤扥㠰ㄲ摡敤搸㠵㡣挹㌶〴愵㤳愶ㄶ摡戴㡢ㄹ〳㕡扥〹㘰挵㙥㙤㥥㜶㕢攰㘹户挳㤱〸㐲㜰捥っ㈰散戶ㄸ㜱㕥挱づ㍢挰敤〲挱㜰换㠰㤷攲搲扥搸敤㌰愷摤㝥〷〱晡㑡㠰㐰㤰慢晢㈲㜴㌵〲愶摤㝡㍡㑢摡㈶㘶㑦搷搷㌷㌰愹㜴ㄶ㔹㥡㐷ㅥ晡㈶愰戲㉤㘲㌹㤲㠸㘶㜳㍤㌵㥢攳愹搹ち㍢㥦摢㈰ち㥡ㅤ㠹㌸慦攰㉦散挰㔱㜶㠰㉢昰扣搴㌱〸㠸㘶戳㥤㥡摤挱攲摤〹㄰〸ㅥぢ〶〴扣㠷㠱攳㙣攲㈳攴㜸㤴㘰つ㤳㡡㘶戲㤶㑥搴㠳㐰㘵敢㡣㙢改愲搹㐴愷㘶搹㘱㘰㙦㑦捤㑥捥收〳㔱搰散ㄴ挴㜹〵㝦㘵〷㑥戵〳愷㔹〱挵愵㙦搱㙣㉦㑢㌳ㄹ〶㝥捦攲㍤〶㄰〸㥥〱〶〴昰晢ㄵ〸戸㥦晣戸㉡㉥㐴㥥㈹㈰愷晣敢愷㤹㤴㥡〵戹㐸㉥挴㍦〱づ㈸㉥攵㍡敦ㅥ㠵摦ㅥ㜲慣㠸㡥㠵㤳㝤捥㤱昰㤳㜱挴晢㡡㈲〸㉤挶扢㤲收ㅢ㠶㈵㐵扢㙦㥥㉣慥㝢昱搵ち㝥㑢慢愱昵て㤰挳晡敡㔹慣愲㐴敥㌴敡攷愰㜰挵㜹㔰㤷ぢ㉣慥㐵㤶㡤㑤挰昱摡㕢愰慦捣晡ㅦ戴晥㙦戹㜷挵昹㜶捡㐳搵挸㔵ㄳ㑡搷慤㜴㥦㜱㜸㔰敢攸㍢摦㍢㘴㝤搳戴㠷㡦摥慥㘱攱扢㑤㜵㈳㕥㍤改搴愵㝦㙢㔲㕣昵昵㍡㈳㘱㔷愸改㜹㜴捡㌸㡢攰㍥㑡㌹㜸㌹㈴㐹攵扤㉣㤵愷慥㐲㥣ㄵ愸㜶㐱ち㕡㑤ㄴ㝤㤵㡡㕥〳昴昷㔰㜴㑢㑢挱愱搶晦㔱㝢㔷㕣㙢愷㉣愴攸扡搵ㅦ㙥㜵攵㔱户㌷ㅤ昷晣扣㈳敦㝦晦挶愶昹戵挱㈷㝥㝤敤ㄹ㑤敡ㄶ愴昴㔲㜴㑣㈱㐵㐷㕢〴昷㤱挹㡡敢㡡慣㐶晤㈶㜴㐱㔸扥挱㍢ㄸ挲愵㘴㘵て㠱散㜲㈳㌵つ㜲㉤㑦慣昳ㄶ愰㕥〷㌰愰㐸摤て愴㤸㘸㠴搳㐴敢㐱㔴㙢㐱敡㈹敥㈰攴㘷㜶晥攱㠵㡡㍢捣㈲戸捦㤳っ㍥㘲攷晣㍥㌳㉤㔶㡦摢㤹㙥敤捣昴㐳㄰㉢㥥〰㘹昳敡攵㐹㍢㘵愱㝡愹晣㥦㔳㕥㙦扥攰搲愶㈳㡢愲㝢ㄴ㝤㜷㘶搳摥㐷搷捥扢昲搱㝢ㅦ㔶㕣捣敡㔱昴㙤ㅡ㑥㐶戹㐱㠵ㄴ摤挲㈲戸捦㡤っ㜲㈱っ㕡攰扣㈵㔳搱㤷ㄱㄷ敢㔶㌸ㄵ晤㤴㡡扥㙡ㄷㄷ散㡥换摤搳㍣ㅡ攰㙢㜶捡㑤㔶㤴ぢ㕣㕥㡡〶ち㈹慡㉤㠲晢㝣挸搲昵㤰攴昹戲㡦晢ㄷ㘳㥤㍦㌹捣㝡摤慡㜳㝡ㅡ扢㐵昲㘳㤶ㄳ戲扦㝢扣㠵扤㡢㌴搶晥㐵㠳㌱㍤ㄸ晢㕤㍡㍢㔹㑢㉡㥢づ扦㄰㠰敤㍢㄰挶昲昷て戶敡㠹㌹摥攴摥愶〷㡢㔷㈸昱㘲㤷ㄱ戳㈵愶戱㑤㕦㔲㔴慣㍣㝦㝤挱晥㠵攳㥥ㅦ晦攴慦㜳㈲慦挹㕤摤㥤ㅣ㐸戶昱㜸愱㝤㘲㈲㈳〷㐲㙣ぢ扡搲㙦戳愶扥㐴㙤㙦㤱昳搳㙦愳㈷㡦慥㉢昵挳戴㥢㥥㙦敥搸捤㔲昰ち攸慦㤰㠹㝡㠷搹㐱㉣㔱挱昷㄰〱ㄲ㡢㕣㠰攸㜳ㅦ㈰㉥㑤戱ㄸㅣ搹戱昰㕢㄰㉢㍥㘲㍡戰昲敢戸扥㐷㔳摣㘰愷摣攴愶昸㉦愴昴㙡㡡摦晥愷挰愰晦㡤㐵㜰ㅦ换ㄹ晣ㅣ㤲㐴搱㤲㔲㔱昴㑢挴㐵搱慦㤰㈲慢愸ㅦ挴㡡慦㐰挲晦扥ㄴ敤戹扢㔵㝣敤㑥攱扥慢慤㙡㕤㌰敥敥扢捥㙦扡改敡ぢ㍥慥っㅦ搹愴戸㍡攸愵搸扦ぢ㈹昶戹㐵挸㍢㙥㤳㡢㠰散㘷㑡㜳㜹搱㍦〰㈵捦㙦㐷敡㔳㈴户㉢㍤愰㉢挰愴戸㤶㘸愳㠲㕣㍣挴〷㡢㜶㈰愱ㅤっ㐰㐴捣昳て愷㜹〶㠱㔸㔱挱㜴㝤㥢挷㘳㐸ち摡㈹ぢ戵㠳㠲昷㐴㉥ち㡥㘱昱搶ㄱ昴㡣扤ㅦㄶ㌲搷〷ㄶ挱㝤ㄲ㘷㜰ㄸ㈴攱㠳攳搰㑣㐵户㐳㐴ㄴ晤扢㔳搱攱㔴㜴〴㐸㥢愷㘸愵㥤戲㤰愲㜵戵㑢㍦晡昰㤳㉢㥢捥㕡扡昴昲㥢搷㥤摤昴敤㙢敦ㅣ晡晥㡤㘷㍤慣戸㐶攸愵攸晡㐲㡡扥㙤ㄱ摣㈷㙥〶戹戴㠸てㄶ㉢㑤㐵㜷㐵㐴ㄴ㝤换愹攸㈸㉡扡ㅢ㐸㥢愷㘸挸㑥戹挹㡡㜲戵搰㑢搱搷ぢ㈹晡ㄷ㡢㤰㜷戲㈶㔷〶捤づ搰挸搲散っ㡤〶攵づ愴ㄳ㐷㠷挳敡ㄵ愴户㥢㝢㐰㡦〵㤷攲ち愳㡤㔲㕣〲㌴挵㡣㈷㝡㔷㌰攴昵愳㝡昵㐲㡥㤴摤㈸愵挹㈱㈵挸愵㐳㝣戰㤰ちㄲ晡ㄱ搷晦挴敡捦㈱㘱㜶㤸愹〶戱㠲㉢㝢㥢㘷㜵㉥〷㑡捡㐲㔶㉦搸㡦收㈰攵ㄸㄶ㙦ㅤ㐱㑦㍦㝡捡㌲㙥摥敦㤱晣搱㈲攴ㅤ搴挹㤵㍦搳㕣㕣㔳昴㌷㐲愳㝣慢㔷慢㍦攴搸㙢て㜰㈹慥㈰㘶慤捥攵㍦㔳っㄷて晤攳挱攰戲晡愴搱㜵敡搱ㅣ㈹㑤㤴挲㤵㐲㕢㑡昰攷㠸攰㠳摦昲〶〹㔶㍦ㄴㄱ戱晡挳㐸㤸戵晡㐴㄰㉢㕡㤹づ慣晣㍡慥敦㜱ㄷ㕢㘰愷㉣㘴昵㠲㥤㥡㑢㝥㘳㤰㤹摢敡昷㕢挶捤戳晡㝤ㄶ挱㝤敥㘷㤰㉢㠵昸㘰㐵搸㔴戴ㄳㄱ㔱昴ㅥ愷愲㌳愸㘸ㄲ愴敦愱㘸捦㕤捣戴〶㥥搱㤶搸㈹ぢ㈹㕡昰ㄹ㡤㉢㠰㕥㡡摥㕥㐸搱摢㉣㠲晢㝣捦攰ち㐸挲〷敢搷愶愲㐷㈳㈲㡡摥攲㔴㜴㉥ㄵ㕤〹ㄲ晥昷㔵愳㍤㡡㔶ㅣ攳㑥搱攷敤㥡㑢㜷㕥㡡㕤㕦㐸戱敢㉣㠲晢摣捥㈰㤷晤昰昱改〳㑤挵㑥㐷㐴ㄴ扢挶愹搸㐱㔴散っ㤰㌶慦〶捦戴㔳㙥㜲つ㜲㈵捦㑢搱㉢ち㈹㝡戹㐵挸㍢㥦㤳慢㜶㘶捦㕥捤搲㐴愱㔱晥〰ㄱ㔶㤷㈰扤摤㡦〳扡ㅤ㕣㡡慢㝦㌶㉡㜸㌱㈲昸挰㉢ㄹ㈴㜴㙤慥搹㠹扤㉥㜴摡㉢づ㘲〵㔷攳㌶捦㕥㕣挲㤳㤴㥢㙣㉦㉥攳㡤㘱昱搶ㄱ昴っ愸攷ㄶ戲搷㌹ㄶ挱㝤㜶㘷昰㈶㐸挲〷㝥捣愶愲㕣挲ㄳ㐵㝦敢㔴戴㡢㡡㜲㜱㙥昳ㄴ攵㡡㕥慦㡡㥥昳㤲㕥㌴慡攳晣愶㕦㑤㔸昰摥㥦㐷㕤搸㜴昴捤㜷户慤晣换挵㑤㡡慢㝡㕥㡡晥愶㤰愲愷㕢〴昷ㄹ㥤挱〷㈱〹ㅦㅣ㐲㘶㉡晡〸㈲愲攸㘹㑥㐵㤷㔱㔱慥搵攱扦ㄴㄹ晦散换㍤㔸㍢扡㌶ㄷ昶㜲㔲昴搹戵戹愸㌷〶㤲摤㌵㜸㔲㈱挵㑥戴〸㜹㘷㙦晥〹㤲晡㍡㝢搳昱㥢㤷ㄵ挸戴㌴㑥㍦搹晥㜱ㄳ捤攵㍢㌹戹愷㐳㥣㑣换㜱ㄶ㕥ち扦㍡㌹㤳㍦㈴㔳ㅥ㥦㤷戰㝥挹㙣㍡づ㠴攴㠹〶昶㘹㙢㕡㘲㑣散㡦户愴㜰晣㕡扦昸昴㌴捥愶㠹㤵攱㔷昳昰㑢㘶愹慥㥦㠲敦ㅥ摣㝥㑢戸捣㠹㔵㈸晥㔲㘵㤱愷挷敤戳㈰扢捦㜶㜰㜸㉤昶搸挳㍥㥦愴㠸㐷攸㙤㥥攷㥥晦㈸㌴㤴挲晥昴㈵敡㜸㔴戴改㈴㜱㡣㑦㥥㤶改攴愶㝦㠹㔴晥㤵〰挵㜰㔵㤵攵㌵㠰㠰㍥〶ㄸ昱㕢ㄷ攰㉢㝤づ㡤挱慤㈲㍤愱愷搰〶慥ㅦ㠶散摦㥦㝡摢㤷攲戲㈴摢㤲晦㌸挸㉣昸㑥㙥㠹㍡摡戳㝣㈷戰㝣㈷收㤵敦愴摣昲㈹㉥㙦戲㡣昶ㄵ㝣ㄳㄱ挶昵㈹攴晣ㄵ挱愹〰㜸慦っ㔸㈹捥㘹㠸づ㥥戰㘴〹扣愸搳㌸攱㜱昷㑡㜸愰攳愰㐷㐳愹㡣㘷㐹㑥愷っ㉥〸愲扡㜱搱㑡㘷㄰㐵敦㝥搳㑡㙡㥤㉤晢㉣㄰戸扣㤳㑣㈵ㅣ扦㤷㔴愴扡㙣挹ㅦ㔵て敢愹㠳摦㘶㈵昳愴ㄲ㤱㝣㡥㑢㌲搷㈶愹摦晣搵昷敦晤㑤攴搰〹㡡㡢㡡愲挶㜹攰散挵慡㡢散ㅣ㝤捥㕡㕦㑤昱戴㙡㑦㡤㕦攸捡㤱ぢ㤳㑥㡢慡㡤㔶㡥㥡㌹㤶愸㌶㑦挱㤷收ぢ扥摣㈵㤸ぢ㠱㑥挱㈵㕣挶改㙤㔹〹慢〱扥㝥㥤慤搱㔴㉡扡愲慣戳戵挳攸㕡㤸㔹㔴搶扡っ换㘹㌸〰ㄵ晥扥昸搱㈳晤㍢攴挲戶挸慦攲敡て㡤㘳ㄵ昵㘰捦愲㕥㥤㕦搴㙢㕤㐵攵㐲㤱戳愸㡡慢㉤㘲昵敢ㄱ㈸㜴㔲㐲㠹摡捦㌳挳ㅢ昳㌳扣搹㤵㈱ㄷ㙣㜲㌲攴搲〶敤愳㙦㐵㈰慢ㅦ㔷㌵㐴㍦㜶愹ㄲ㌵摢㌳扢㍢㐰㜳搵昱㕤㐴㌹摡㉢ㄷ㐰㜲戲攳㉡㠲攸㜷て〲扤戴慡㘹㥥㌹摥㐷昱戹慤㙡つ㔱㡥ㅣ戹ㄲ㤱㤳㘳㈵㄰愲ち㜳㉣㔱ㄳ㍤〵㍦㑣㈹戹㠲ㅦ㈱捡㈱㤸㑦晥㌹㠲昹㐸㉣㤶晢㍤〲㔹换昱ㄱ㔷戰㡦㌹戱㝣扡㜵搸㜳㜷捦㐲㍣〱㈶㔷㈱晥㐸㤴愳㄰㝣㄰捥㈹〴㥦㄰㈵扢愷ㄱ挸ㄶ㠲㑦㝣㠲㝤挶㠹摤ㅢㄱ㠷㈵慡㍤ぢ昱ㅣ㤸㕣㠵㜸㥥㈸㐷㈱昸㕣㤸㔳〸㍥㕣㠹㘰摥㈱㑡搴㌸㑦挱㉦㔳ち敦〳㍤㈳挲慢㐴㌹〴昳㌹㉣㐷㌰ㅦ㘶㐴㌰㝢㐳㠹晡㤹愷攰扦㔲㑡㙥摤扤㐹㤴㐳㌰㥦㝢㜲〴昳㘱挲㔱攲㑡㑦挱㙦㔳㑡㙥㠹摦㜱〹收㜳㐷㡥㘰㑥挸挵昲敦㈱㤰慤て捥挵ㅤ搹つ昳捣敥㝤㌰戹戲晢㤰㈸㠷ㅥ㥣戶攷㘴挷戹㉦〵晢㌷㈰搰摢扤㜹戰㘷㤶㥦㔰㝥慥㠶ㅢ㠹㜲㘴挹〹㜴㑥㤶㥣㠵㍡敡㘴㠰愷攰捦㈸㈵户㑥晥敤ㄲ捣〹慢㔳㜰㈹㈷ち摦㝢㉥挳摢搸㘶㍡攸㝦㠱㝣ㄴ愷ㅦ㤴愱扦戴〲㜲㕦攴㕣㠰挵搰晦㈱㤶㔳〰攱昹捡ち〸て㙦昷㌲晤㉥㠱收㕣㉢愱愷㜳㔹㤱㕦㜱ち㈰㠴㘲㡢挰昳戱捡㜰昲攵愹㌶愱挸㈲㌴㌱攳敦㈸㤴户㝣挹㤰㔳㜶挵扢扤㘴愸ㄸ〳㤳㝣㜹昳ㄶ㥥㈲㘲㜹摦ㄶ㥥㘲㈷て㙦户挲㔳㐲散㠵㌶㑦愹㤳攷㔲㥢挷㑦㉣㙦㥡㈲愷㥦㠳愷㠲㌷㌹㘲换㜸㑢㔴扣㠱㠹搴㌲昲昰摥㈵㈹戴㈳㠵攲㍤㐷㜸〲挴昲㜶㈳㍣晤ㅤ㍣ㄵ户㕡㔸㔳㉡㙦ㅢ㤲愲㥣㍣扣㘳㐸㡡〱㡥ㄴ㡡〳扤昰っ㈴㜶㡤捤㔳攱攴㜹搸收〹ㄲ换攱㕡攴㙣攱攰愹攰搰㑣慣攴㕣挱㈱㌹ㅢ㔳ㅣ㙥㈵㡦㐱㑣挱㤱㔶搲て㜶愶攷愸㥡㑤㔱挱搱㌴ㅢ㔳ㅣ㈹㈵晤㤶㑣挱㐱㔲搲㙦攵㐸慦㌸攸〹捦㄰㘲㌹摥〹捦搶㑥ㅥ㡥㕦挲㌳㤴㔸づ㕤挲㌳捣挹挳愱㐸㜸㠶ㄳ换㔱㐸㜸戶㜱昰㔴㜰挴㈱搶戴㌲㐷ㄳ㐹戱㉤㜹㌸㤰㐸㡡敤ㅣ㈹ㄴ扢扦昰㙣㑦㉣㝢扥昰㡣㜰昲戰㈷ぢ㑦㈵戱散挴挲㌳搲挹㈳㍤ち㌹敢㔱挰摡㔷㤰㍤ぢ㐳㤳㑦敦〰㉣㔶㈲愴㑦㌱㍥摡挹挵扥㈵㕣㘳㠴慢㠲摤攲〰㜰ㄵ㉤㔷敤ぢ㘲ぢㄶ㝣㔱㔱㔲㌹扣攴挰扤换㔷慦㝢㙡晤慡㤷づㄹ晦昷慦㉦扡攸愵㜷㔷㍤昳昵〳㙤攳㥦戸攲㡡挷㘶㕣晡捣晡㐱昱换㡡敥晥㘲收㘵㐷㠵ㄷㅦ戵㌴扥摦㉥㔳㡦晡昹攱晢㠶攷㙣㌱戶戸戸㕦扦ㅤ〷㍦㌹㜴愷攰㌱㑢敦㔵㡦晣㘵敢㉥扣㐰㙣愹昰㌳㘷㌱搸攳愴ㄸ㍢㑡㌱㤴昴㌵ㄶ搶摥晤㐷搸ㄷ㘴㥦ㄳ慥㥤㑤㉥改㙤攴捡㔱㥣扤㑥戸挶㥡㕣搲摦挸㤵愳㌸晢㥤㜰敤㙡㜲㐹ㅦ换攳㘲㕦ㄳ慥摤㑣㉥改㘵㜹㕣散㙤挲ㄵ㌶戹愴㘷攵㜱戱㠷〹㔷挴攴㤲扥㤵挷挵㍥㈶㕣戵㈶㤷昴㉥㜲攵攸挸㕥㈶㕣昵㈶㤷昴愱㍣㉥昶㈵攱㙡㌴戹愴愷攴攵挸ㅥ㈳㕣㝢㤸㕣搲㔷昲㘴戱捦〸搷㜸㤳㑢㝡ぢ戹昶㐲摣扥㠲散㌵挲搵㘴㜲㐹㝦㈱㔷㑥改搹㙦㠴㙢㠲挹㈵㝤㈴㡦㡢㝤㐵戸㥡㑤㉥改㈵㜹㕣散㉤挲㌵搹攴㤲㝥㐲慥㥣摡㘶㝦ㄱ慥愹挲ㄵ戴㡢愳搸㌹攴慥㜱敦㤷收敤㘴㈲搲㤶攱㥤㔸㍢戹㘲挷㄰㡥㝢㕣ㅣ㜶〳㔶㙣戳挲㜱㜷㉥㠷㘲㌳ㄵ挲㕤㉥〲㕢愶㄰敥㜴ㄱ搸ㄸ㠵㜰㠷㡢挰昶㈷㠴摢㕤〴㌶㌹㈱摣收㈲戰㤵〹攱㔶ㄷ㠱つ㑢〸户戸〸㙣㑢㐲戸搹㐵㘰昳ㄱ挲㑤㉥〲㕢㡣㄰㙥㜴ㄱ搸㐸㠴㜰㐳㉥㈱㘸户ㄶ挵〶㈲ㅣ搷攷㜲㈸戶〹㈱㕣攷㈲戰ㄹ〸攱㕡ㄷ㠱㌵㉦㠴㙢㕣〴㔶戶㄰慥捥㈵昴晦㕦晥㙦攱〶</t>
  </si>
  <si>
    <t>Balance Sheet - As Reported</t>
  </si>
  <si>
    <t>Income Statement - As Reported</t>
  </si>
  <si>
    <t>Cash Flow Statement - As Reported</t>
  </si>
  <si>
    <t>Balance Sheet - Restated</t>
  </si>
  <si>
    <t>Income Statement - Restated</t>
  </si>
  <si>
    <t>Average Tax Rate</t>
  </si>
  <si>
    <t>DCF - Asset Side</t>
  </si>
  <si>
    <t>Output Variables</t>
  </si>
  <si>
    <t>Low</t>
  </si>
  <si>
    <t>High</t>
  </si>
  <si>
    <t>Worst Scenario</t>
  </si>
  <si>
    <t>Best Scenario</t>
  </si>
  <si>
    <t>Multiplier factor</t>
  </si>
  <si>
    <t>Base Scenario</t>
  </si>
  <si>
    <t>Growth Rate</t>
  </si>
  <si>
    <t>Spread</t>
  </si>
  <si>
    <t>FY 2022</t>
  </si>
  <si>
    <t>FY 2023</t>
  </si>
  <si>
    <t>FY 2024</t>
  </si>
  <si>
    <t>CAPEX 2021</t>
  </si>
  <si>
    <t>CAPEX 2022</t>
  </si>
  <si>
    <t>CAPEX 2023</t>
  </si>
  <si>
    <t>In Millions of USD except Per Share</t>
  </si>
  <si>
    <t>Net Sales - Growth Rate (%)</t>
  </si>
  <si>
    <t>CAPEX - As a Percentage of Sales</t>
  </si>
  <si>
    <t>Long_Term_Growth</t>
  </si>
  <si>
    <t>COGS_Percentage_of_Sales</t>
  </si>
  <si>
    <t>Risk_Free_Rate</t>
  </si>
  <si>
    <t>CAPEX_Sales_Percentage</t>
  </si>
  <si>
    <t>Enterprise_Value</t>
  </si>
  <si>
    <t>Equity_Value</t>
  </si>
  <si>
    <t>Creato da: Luigi D'Amato il 29/06/2020</t>
  </si>
  <si>
    <t>High COGS</t>
  </si>
  <si>
    <t>Low COGS</t>
  </si>
  <si>
    <t>Low Risk</t>
  </si>
  <si>
    <t>High Risk</t>
  </si>
  <si>
    <t>High Investments</t>
  </si>
  <si>
    <t>Creato da: Luigi D'Amato il 30/06/2020</t>
  </si>
  <si>
    <t>High Long Term Growth</t>
  </si>
  <si>
    <t>Creato da: D'Amato, Luigi il 02/03/2020
Modificato da: Luigi D'Amato il 27/06/2020
Modificato da: Luigi D'Amato il 28/06/2020
Modificato da: Luigi D'Amato il 29/06/2020
Modificato da: Luigi D'Amato il 30/06/2020</t>
  </si>
  <si>
    <t>Low Long Term Growth</t>
  </si>
  <si>
    <t>Creato da: Luigi D'Amato il 29/06/2020
Modificato da: Luigi D'Amato il 30/06/2020</t>
  </si>
  <si>
    <t>Creato da: Luigi D'Amato il 29/06/2020
Modificato da: Luigi D'Amato il 29/06/2020
Modificato da: Luigi D'Amato il 30/06/2020</t>
  </si>
  <si>
    <t>Creato da: Luigi D'Amato il 30/06/2020
Modificato da: Luigi D'Amato il 30/06/2020</t>
  </si>
  <si>
    <t>Leverage</t>
  </si>
  <si>
    <t>Debt To Equity Ratio</t>
  </si>
  <si>
    <t>Initial_Leverage</t>
  </si>
  <si>
    <t>Low Investments</t>
  </si>
  <si>
    <t>High Leverage</t>
  </si>
  <si>
    <t>Low Leverage</t>
  </si>
  <si>
    <t>Current Values:</t>
  </si>
  <si>
    <t>Changing Cells:</t>
  </si>
  <si>
    <t>Result Cells:</t>
  </si>
  <si>
    <t>Margin</t>
  </si>
  <si>
    <t>Closing Price 31/12/2017</t>
  </si>
  <si>
    <t>Closing Price 31/12/2018</t>
  </si>
  <si>
    <t>Closing Price - Year End</t>
  </si>
  <si>
    <t>Outstanding Shares Year End (Thousands)</t>
  </si>
  <si>
    <t>Market Capitalizaiton</t>
  </si>
  <si>
    <t>USD (Millions)</t>
  </si>
  <si>
    <t>Additional Paid in Capital</t>
  </si>
  <si>
    <t>Other Comprehensive Income</t>
  </si>
  <si>
    <t>Treasury Stock</t>
  </si>
  <si>
    <t>P/E Model</t>
  </si>
  <si>
    <t>Other Items Forecasts</t>
  </si>
  <si>
    <t>Other Operating Items Forecasts</t>
  </si>
  <si>
    <t>Other Current Assets and Liabilities, starting from 2019, are assumed to be equal to the average of the values of the three preceding years, up until 2024.</t>
  </si>
  <si>
    <t>Other Non Operating Assets</t>
  </si>
  <si>
    <t>Other Non Operating Liabilities</t>
  </si>
  <si>
    <t>Accounts Receivables (Gross)</t>
  </si>
  <si>
    <t>Accounts Payables</t>
  </si>
  <si>
    <t>Long term Financial Debt</t>
  </si>
  <si>
    <t>Short term Financial Debt</t>
  </si>
  <si>
    <t>Shareholders' Equity - Parent</t>
  </si>
  <si>
    <t>Other Non-Current Assets</t>
  </si>
  <si>
    <t>Other Non-Current Liabilities</t>
  </si>
  <si>
    <t>Provisions are assumed to be constant overtime, taking the value of 2018 as the value of reference.</t>
  </si>
  <si>
    <t>SGAs</t>
  </si>
  <si>
    <t>Other Operating Expenses</t>
  </si>
  <si>
    <t>Net Sales</t>
  </si>
  <si>
    <t>Other Operating Expenses, starting from 2019, are assumed to be equal to the average of the values of the three preceding years, up until 2024.</t>
  </si>
  <si>
    <t>Operating and Non-Operating Forecasts - Assumptions</t>
  </si>
  <si>
    <t>Other Non-Operating Income is assumed to be constant overtime, taking the value of 2018 as the value of reference.</t>
  </si>
  <si>
    <t>Intangible Assets are assumed to be slightly decreasing over time.</t>
  </si>
  <si>
    <t>Tangible Assets are calculated by taking the beginning of the period tangible assets, plus the capital expenditure for the year and minus the depreciation and amortization allowance for the year.</t>
  </si>
  <si>
    <t>Depreciation and Amoritzation</t>
  </si>
  <si>
    <t>Depreciation and Amortization is calculated using a clear-cut approach.</t>
  </si>
  <si>
    <t>Income Statement and Cash-Flow Statement</t>
  </si>
  <si>
    <t>LT Financial Debt</t>
  </si>
  <si>
    <t>Derivatives &amp; Hedging (ST - Net) are assumed to be constant and equal to zero starting from 2019.</t>
  </si>
  <si>
    <t>Derivatives &amp; Hedging (LT - Net) are assumed to be constant and equal to zero starting from 2019.</t>
  </si>
  <si>
    <t>LT Financial Debt, starting from 2019, is assumed to be equal to the average of the values of the three preceding years, up until 2024.</t>
  </si>
  <si>
    <t>Treasury Stock, starting from 2019, is assumed to be equal to the average of the values of the three preceding years, up until 2024.</t>
  </si>
  <si>
    <t>Shareholders' Equity</t>
  </si>
  <si>
    <t>Shareholder's Equity is calculated as the sum of the previous component, with due consideration to differences in sign.</t>
  </si>
  <si>
    <t>Other Comprehensive Income is assumed to be constant overtime, taking the value as of 2018 as the reference value.</t>
  </si>
  <si>
    <t>Additional Paid in Capital is assumed to be constant overtime, taking the value as of 2018 as the reference value.</t>
  </si>
  <si>
    <t>Share Capital is assumed to be constant overtime, taking the value as of 2018 as the reference value.</t>
  </si>
  <si>
    <t>Minority Interest is assumed to be constant overtime, taking the value as of 2018 as the reference value.</t>
  </si>
  <si>
    <t>Other Items Forecasts - Assumptions</t>
  </si>
  <si>
    <t>Investments in Affiliates/Joint Ventures, starting from 2019, are assumed to be equal to the average of the values of the three preceding years, up until 2024.</t>
  </si>
  <si>
    <t>Other Non Operating Assets, starting from 2019, are assumed to be equal to the average of the values of the three preceding years, up until 2024.</t>
  </si>
  <si>
    <t>Other Non Operating Liabilities, starting from 2019, are assumed to be equal to the average of the values of the three preceding years, up until 2024.</t>
  </si>
  <si>
    <t>Exceptional Items [Earnings (Loss) from Unconsolidated Entities)] are assumed to be constant and equal to zero.</t>
  </si>
  <si>
    <t>Minority is assumed to be constant and equal to zero.</t>
  </si>
  <si>
    <t>Source(s): Bloomberg, Compustat, Kellogg's Investor Relations</t>
  </si>
  <si>
    <t>+ Total Net Income</t>
  </si>
  <si>
    <t>BOP Retained Earnings</t>
  </si>
  <si>
    <t>Terminal Payout</t>
  </si>
  <si>
    <t>Total Net Income</t>
  </si>
  <si>
    <t>Terminal Growth</t>
  </si>
  <si>
    <t>Evolution of Retained Earnings</t>
  </si>
  <si>
    <t>EOP Retained Earnings</t>
  </si>
  <si>
    <t>Share Capital</t>
  </si>
  <si>
    <t>Size Discount</t>
  </si>
  <si>
    <t>Kellogg's Corresponding Metric</t>
  </si>
  <si>
    <t>(Net Debt)</t>
  </si>
  <si>
    <t xml:space="preserve">Surplus Assets </t>
  </si>
  <si>
    <t>Surplus Assets</t>
  </si>
  <si>
    <t>Implicit Multiples - DCF Asset Side</t>
  </si>
  <si>
    <t>Regression Slope</t>
  </si>
  <si>
    <t>Regression Intercept</t>
  </si>
  <si>
    <t>Fundamental Multiple</t>
  </si>
  <si>
    <t>D/E - Market Equilibrium (industry) Leverage</t>
  </si>
  <si>
    <t>Chosen Leverage D/E:</t>
  </si>
  <si>
    <t>Sales Growth</t>
  </si>
  <si>
    <t>EBITDA Margin</t>
  </si>
  <si>
    <t>EBIT Margin</t>
  </si>
  <si>
    <t>Net Income Margin</t>
  </si>
  <si>
    <t>Expanding or Downsizing?</t>
  </si>
  <si>
    <t>Is the Company Divesting?</t>
  </si>
  <si>
    <t>Clients Are Paying</t>
  </si>
  <si>
    <t>Kellogg's Is Paying Suppliers</t>
  </si>
  <si>
    <t>Products Stay in the Warehouse</t>
  </si>
  <si>
    <t>Debt Coverage</t>
  </si>
  <si>
    <t>Interest Coverage</t>
  </si>
  <si>
    <t>Current Ratio</t>
  </si>
  <si>
    <t>Acid Test</t>
  </si>
  <si>
    <t>Gross Cash Flows</t>
  </si>
  <si>
    <t>Change in Surplus Assets</t>
  </si>
  <si>
    <t>Other Movements in Group Equity</t>
  </si>
  <si>
    <t>Tax Rate</t>
  </si>
  <si>
    <t>Change in Non-Cash WC</t>
  </si>
  <si>
    <t>Operating Items Forecasts - Balance Sheet</t>
  </si>
  <si>
    <t>Operating Items Forecasts - Income Statement</t>
  </si>
  <si>
    <t xml:space="preserve">Investment Forecasts </t>
  </si>
  <si>
    <t>Debt Forecasts</t>
  </si>
  <si>
    <t>Income Forecasts</t>
  </si>
  <si>
    <t>Other Items Forecasts - Balance Sheet</t>
  </si>
  <si>
    <t>Other Items Forecasts - Income Statement</t>
  </si>
  <si>
    <t>Alternative to Mean or Median: Regression Fundamental Multiple</t>
  </si>
  <si>
    <t>VAT (Michigan)</t>
  </si>
  <si>
    <t>Scenario Sumamry</t>
  </si>
  <si>
    <t>Creato da: Luigi D'Amato il 30/06/2021</t>
  </si>
  <si>
    <t>Creato da: Luigi D'Amato il 30/06/2022</t>
  </si>
  <si>
    <t>Creato da: Luigi D'Amato il 30/06/2023</t>
  </si>
  <si>
    <t>Weighted Scenario</t>
  </si>
  <si>
    <t xml:space="preserve">DCF </t>
  </si>
  <si>
    <t>Valuation Date</t>
  </si>
  <si>
    <t>12/31/2018</t>
  </si>
  <si>
    <t>Year</t>
  </si>
  <si>
    <t>DCF - ASSET SIDE</t>
  </si>
  <si>
    <t>Discount Factor (WACC)</t>
  </si>
  <si>
    <t>Present Value of FCFO</t>
  </si>
  <si>
    <t>Terminal Value</t>
  </si>
  <si>
    <t>PV of FCFO</t>
  </si>
  <si>
    <t>PV of TV</t>
  </si>
  <si>
    <t>SUMMARY</t>
  </si>
  <si>
    <t>Analyst s' consensus 1 - Y</t>
  </si>
  <si>
    <t>Deferred Tax Assets, starting from 2019, are assumed to be equal to the average of the values of the three preceding years, up until 2024.</t>
  </si>
  <si>
    <t>Prepaid Liabilities are assumed to be constant overtime, taking the value of 2018 as the value of reference.</t>
  </si>
  <si>
    <t xml:space="preserve">Working Capital Forecasts </t>
  </si>
  <si>
    <t>Tangible CAPEX (% of Net Sales)</t>
  </si>
  <si>
    <t>Revolver Forecast</t>
  </si>
  <si>
    <t>BOP Cash</t>
  </si>
  <si>
    <t>= EOP Cash / Overdraft</t>
  </si>
  <si>
    <t>Cash / Bank Overdraft Evolution</t>
  </si>
  <si>
    <t>Gross Financial Debt</t>
  </si>
  <si>
    <t>Number of Shares  (mln)</t>
  </si>
  <si>
    <t>Equity Value per Share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</si>
</sst>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5">
    <numFmt numFmtId="43" formatCode="_-* #,##0.00_-;\-* #,##0.00_-;_-* &quot;-&quot;??_-;_-@_-"/>
    <numFmt numFmtId="164" formatCode="0.0"/>
    <numFmt numFmtId="165" formatCode="_-* #,##0.0_-;\-* #,##0.0_-;_-* &quot;-&quot;??_-;_-@_-"/>
    <numFmt numFmtId="166" formatCode="#,##0.0_)_);\(#,##0.0\)_);@_)_)"/>
    <numFmt numFmtId="167" formatCode="yyyy"/>
    <numFmt numFmtId="168" formatCode="#,##0.0_)_);\(#,##0.0\)_);\-_)_);@_)_)"/>
    <numFmt numFmtId="169" formatCode="0.00%;\(0.00%\)"/>
    <numFmt numFmtId="170" formatCode="#,##0.0%_)_);\(#,##0.0%\)_);\-_)_);@_)_)"/>
    <numFmt numFmtId="171" formatCode="#,##0.000;\(#,##0.000\)"/>
    <numFmt numFmtId="172" formatCode="0.0&quot;x&quot;_)_);\(0.0&quot;x&quot;\)_);\-_)_);@_)_)"/>
    <numFmt numFmtId="173" formatCode="#,##0.0&quot;x&quot;_)_);\(#,##0.0&quot;x&quot;\)_);\-_)_);@_)_)"/>
    <numFmt numFmtId="174" formatCode="#,##0.000_)_);\(#,##0.000\)_);\-_)_);@_)_)"/>
    <numFmt numFmtId="175" formatCode="0.0%"/>
    <numFmt numFmtId="176" formatCode="#,###,###.000"/>
    <numFmt numFmtId="177" formatCode="0.0&quot;x&quot;_)_);\(0.0\)"/>
    <numFmt numFmtId="178" formatCode="#,##0.00;\(###0.0\)"/>
    <numFmt numFmtId="179" formatCode="#,##0.0_)_);\(###0.0\)_);\-_)_);@_)_)"/>
    <numFmt numFmtId="180" formatCode="#,##0.0_)_);\(###0.0\)_);@_)_)"/>
    <numFmt numFmtId="181" formatCode="#,##0.0"/>
    <numFmt numFmtId="182" formatCode="0.0%;\(0.0%\)"/>
    <numFmt numFmtId="183" formatCode="0%_)_);\(0%\)_);\-_)_);@_)_)"/>
    <numFmt numFmtId="184" formatCode="###0.0_)_);\(###0.0\)_);@_)_)"/>
    <numFmt numFmtId="185" formatCode="###0.0_)_);\(#,##0.0\)_);\-_)_);@_)_)"/>
    <numFmt numFmtId="186" formatCode="00000"/>
    <numFmt numFmtId="187" formatCode="0.0%;\(0%\)"/>
  </numFmts>
  <fonts count="65">
    <font>
      <sz val="10"/>
      <color rgb="FF000000"/>
      <name val="Times New Roman"/>
      <charset val="204"/>
    </font>
    <font>
      <sz val="11"/>
      <color theme="1"/>
      <name val="Calibri"/>
      <family val="2"/>
      <scheme val="minor"/>
    </font>
    <font>
      <sz val="11"/>
      <color theme="1"/>
      <name val="Calibri"/>
      <family val="2"/>
      <scheme val="minor"/>
    </font>
    <font>
      <b/>
      <sz val="16"/>
      <name val="Arial"/>
      <family val="2"/>
    </font>
    <font>
      <b/>
      <sz val="10"/>
      <name val="Arial"/>
      <family val="2"/>
    </font>
    <font>
      <b/>
      <sz val="10"/>
      <color rgb="FFFFFFFF"/>
      <name val="Arial"/>
      <family val="2"/>
    </font>
    <font>
      <sz val="10"/>
      <name val="Arial"/>
      <family val="2"/>
    </font>
    <font>
      <sz val="10"/>
      <color rgb="FF000000"/>
      <name val="Arial"/>
      <family val="2"/>
    </font>
    <font>
      <b/>
      <sz val="10"/>
      <color rgb="FF000000"/>
      <name val="Arial"/>
      <family val="2"/>
    </font>
    <font>
      <b/>
      <sz val="16"/>
      <color rgb="FFFFFFFF"/>
      <name val="Arial"/>
      <family val="2"/>
    </font>
    <font>
      <sz val="10"/>
      <color rgb="FF303030"/>
      <name val="Arial"/>
      <family val="2"/>
    </font>
    <font>
      <sz val="10"/>
      <color rgb="FF000000"/>
      <name val="Times New Roman"/>
      <family val="1"/>
    </font>
    <font>
      <b/>
      <sz val="10"/>
      <color theme="0"/>
      <name val="Arial"/>
      <family val="2"/>
    </font>
    <font>
      <b/>
      <sz val="10"/>
      <color theme="1"/>
      <name val="Arial"/>
      <family val="2"/>
    </font>
    <font>
      <sz val="9"/>
      <color indexed="81"/>
      <name val="Tahoma"/>
      <family val="2"/>
    </font>
    <font>
      <b/>
      <sz val="10"/>
      <color indexed="81"/>
      <name val="Arial"/>
      <family val="2"/>
    </font>
    <font>
      <sz val="10"/>
      <color indexed="81"/>
      <name val="Arial"/>
      <family val="2"/>
    </font>
    <font>
      <i/>
      <sz val="10"/>
      <color rgb="FF000000"/>
      <name val="Arial"/>
      <family val="2"/>
    </font>
    <font>
      <b/>
      <sz val="11"/>
      <color indexed="9"/>
      <name val="Calibri"/>
      <family val="2"/>
    </font>
    <font>
      <b/>
      <sz val="10"/>
      <color indexed="9"/>
      <name val="Arial"/>
      <family val="2"/>
    </font>
    <font>
      <b/>
      <sz val="16"/>
      <color theme="0"/>
      <name val="Arial"/>
      <family val="2"/>
    </font>
    <font>
      <sz val="10"/>
      <color rgb="FF000000"/>
      <name val="Arial "/>
    </font>
    <font>
      <b/>
      <sz val="10"/>
      <color rgb="FF000000"/>
      <name val="Arial "/>
    </font>
    <font>
      <sz val="10"/>
      <color rgb="FF000000"/>
      <name val="Times New Roman"/>
      <family val="1"/>
    </font>
    <font>
      <sz val="8"/>
      <name val="Arial"/>
      <family val="2"/>
    </font>
    <font>
      <sz val="8"/>
      <color rgb="FF3333CC"/>
      <name val="Arial"/>
      <family val="2"/>
    </font>
    <font>
      <b/>
      <i/>
      <sz val="10"/>
      <color rgb="FF000000"/>
      <name val="Arial"/>
      <family val="2"/>
    </font>
    <font>
      <b/>
      <i/>
      <sz val="10"/>
      <color theme="3" tint="0.39997558519241921"/>
      <name val="Arial"/>
      <family val="2"/>
    </font>
    <font>
      <b/>
      <sz val="11"/>
      <color theme="0"/>
      <name val="Arial"/>
      <family val="2"/>
    </font>
    <font>
      <b/>
      <i/>
      <sz val="10"/>
      <color theme="5"/>
      <name val="Arial"/>
      <family val="2"/>
    </font>
    <font>
      <sz val="10"/>
      <color theme="5"/>
      <name val="Arial"/>
      <family val="2"/>
    </font>
    <font>
      <b/>
      <sz val="10"/>
      <color rgb="FF002776"/>
      <name val="Arial"/>
      <family val="2"/>
    </font>
    <font>
      <b/>
      <sz val="11"/>
      <color rgb="FF000000"/>
      <name val="Times New Roman"/>
      <family val="1"/>
    </font>
    <font>
      <sz val="11"/>
      <color rgb="FF000000"/>
      <name val="Times New Roman"/>
      <family val="1"/>
    </font>
    <font>
      <b/>
      <sz val="11"/>
      <name val="Arial"/>
      <family val="2"/>
    </font>
    <font>
      <b/>
      <sz val="11"/>
      <color rgb="FFFFFFFF"/>
      <name val="Arial"/>
      <family val="2"/>
    </font>
    <font>
      <i/>
      <sz val="10"/>
      <name val="Arial"/>
      <family val="2"/>
    </font>
    <font>
      <u/>
      <sz val="10"/>
      <color rgb="FF000000"/>
      <name val="Arial"/>
      <family val="2"/>
    </font>
    <font>
      <b/>
      <sz val="12"/>
      <color rgb="FF000000"/>
      <name val="Arial"/>
      <family val="2"/>
    </font>
    <font>
      <sz val="11"/>
      <color rgb="FF000000"/>
      <name val="Arial"/>
      <family val="2"/>
    </font>
    <font>
      <sz val="8"/>
      <name val="Times New Roman"/>
      <family val="1"/>
    </font>
    <font>
      <b/>
      <sz val="10"/>
      <color rgb="FF000000"/>
      <name val="Times New Roman"/>
      <family val="1"/>
    </font>
    <font>
      <b/>
      <sz val="11"/>
      <color rgb="FF000000"/>
      <name val="Arial"/>
      <family val="2"/>
    </font>
    <font>
      <sz val="10"/>
      <color theme="1"/>
      <name val="Arial"/>
      <family val="2"/>
    </font>
    <font>
      <b/>
      <sz val="9"/>
      <color indexed="81"/>
      <name val="Tahoma"/>
      <family val="2"/>
    </font>
    <font>
      <sz val="11"/>
      <color theme="1"/>
      <name val="Arial "/>
    </font>
    <font>
      <b/>
      <sz val="22"/>
      <color theme="1"/>
      <name val="Arial "/>
    </font>
    <font>
      <i/>
      <sz val="10"/>
      <color theme="1"/>
      <name val="Arial "/>
    </font>
    <font>
      <sz val="10"/>
      <color theme="1"/>
      <name val="Arial "/>
    </font>
    <font>
      <b/>
      <sz val="10"/>
      <color theme="1"/>
      <name val="Arial "/>
    </font>
    <font>
      <b/>
      <sz val="11"/>
      <color theme="1"/>
      <name val="Arial "/>
    </font>
    <font>
      <b/>
      <sz val="12"/>
      <color theme="1"/>
      <name val="Arial "/>
    </font>
    <font>
      <b/>
      <i/>
      <sz val="10"/>
      <color rgb="FF0070C0"/>
      <name val="Arial"/>
      <family val="2"/>
    </font>
    <font>
      <sz val="11"/>
      <color rgb="FF000000"/>
      <name val="Calibri"/>
      <family val="2"/>
    </font>
    <font>
      <sz val="10"/>
      <color rgb="FF333333"/>
      <name val="Arial"/>
      <family val="2"/>
    </font>
    <font>
      <sz val="11"/>
      <color rgb="FF000000"/>
      <name val="Calibri"/>
      <family val="2"/>
    </font>
    <font>
      <sz val="9"/>
      <color indexed="9"/>
      <name val="Arial"/>
      <family val="2"/>
    </font>
    <font>
      <sz val="8"/>
      <color rgb="FF000000"/>
      <name val="Arial"/>
      <family val="2"/>
    </font>
    <font>
      <b/>
      <sz val="10"/>
      <color rgb="FFD31245"/>
      <name val="Arial"/>
      <family val="2"/>
    </font>
    <font>
      <b/>
      <i/>
      <sz val="10"/>
      <color rgb="FFD31245"/>
      <name val="Arial"/>
      <family val="2"/>
    </font>
    <font>
      <sz val="10"/>
      <color rgb="FFD31245"/>
      <name val="Arial"/>
      <family val="2"/>
    </font>
    <font>
      <b/>
      <sz val="11"/>
      <color indexed="9"/>
      <name val="Arial"/>
      <family val="2"/>
    </font>
    <font>
      <b/>
      <sz val="10"/>
      <color indexed="8"/>
      <name val="Arial"/>
      <family val="2"/>
    </font>
    <font>
      <b/>
      <sz val="10"/>
      <color indexed="18"/>
      <name val="Arial"/>
      <family val="2"/>
    </font>
    <font>
      <sz val="8"/>
      <name val="Times New Roman"/>
      <charset val="204"/>
    </font>
  </fonts>
  <fills count="14">
    <fill>
      <patternFill patternType="none"/>
    </fill>
    <fill>
      <patternFill patternType="gray125"/>
    </fill>
    <fill>
      <patternFill patternType="solid">
        <fgColor rgb="FF4F81BD"/>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theme="5"/>
      </patternFill>
    </fill>
    <fill>
      <patternFill patternType="solid">
        <fgColor theme="5"/>
        <bgColor indexed="64"/>
      </patternFill>
    </fill>
    <fill>
      <patternFill patternType="solid">
        <fgColor rgb="FFC0C0C0"/>
        <bgColor indexed="64"/>
      </patternFill>
    </fill>
    <fill>
      <patternFill patternType="solid">
        <fgColor rgb="FF00FFFF"/>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2"/>
        <bgColor indexed="64"/>
      </patternFill>
    </fill>
    <fill>
      <patternFill patternType="solid">
        <fgColor rgb="FFD31245"/>
        <bgColor indexed="64"/>
      </patternFill>
    </fill>
  </fills>
  <borders count="38">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rgb="FF000000"/>
      </top>
      <bottom/>
      <diagonal/>
    </border>
    <border>
      <left style="thin">
        <color indexed="64"/>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right/>
      <top/>
      <bottom style="double">
        <color indexed="64"/>
      </bottom>
      <diagonal/>
    </border>
    <border>
      <left/>
      <right/>
      <top/>
      <bottom style="medium">
        <color indexed="64"/>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style="thin">
        <color rgb="FF000000"/>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double">
        <color theme="1"/>
      </bottom>
      <diagonal/>
    </border>
    <border>
      <left/>
      <right/>
      <top/>
      <bottom style="thin">
        <color theme="1"/>
      </bottom>
      <diagonal/>
    </border>
    <border>
      <left style="thin">
        <color indexed="64"/>
      </left>
      <right/>
      <top/>
      <bottom style="thin">
        <color indexed="64"/>
      </bottom>
      <diagonal/>
    </border>
    <border>
      <left/>
      <right/>
      <top style="medium">
        <color indexed="64"/>
      </top>
      <bottom/>
      <diagonal/>
    </border>
    <border>
      <left/>
      <right/>
      <top style="thin">
        <color indexed="64"/>
      </top>
      <bottom style="thin">
        <color rgb="FF000000"/>
      </bottom>
      <diagonal/>
    </border>
    <border>
      <left style="thin">
        <color rgb="FFD6DDE4"/>
      </left>
      <right/>
      <top/>
      <bottom/>
      <diagonal/>
    </border>
    <border>
      <left/>
      <right style="thin">
        <color indexed="64"/>
      </right>
      <top style="thin">
        <color indexed="64"/>
      </top>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s>
  <cellStyleXfs count="12">
    <xf numFmtId="0" fontId="0" fillId="0" borderId="0"/>
    <xf numFmtId="43" fontId="11" fillId="0" borderId="0" applyFont="0" applyFill="0" applyBorder="0" applyAlignment="0" applyProtection="0"/>
    <xf numFmtId="0" fontId="18" fillId="2" borderId="0"/>
    <xf numFmtId="0" fontId="19" fillId="2" borderId="9">
      <alignment horizontal="right"/>
    </xf>
    <xf numFmtId="9" fontId="23" fillId="0" borderId="0" applyFont="0" applyFill="0" applyBorder="0" applyAlignment="0" applyProtection="0"/>
    <xf numFmtId="0" fontId="2" fillId="0" borderId="0"/>
    <xf numFmtId="0" fontId="12" fillId="4" borderId="20">
      <alignment horizontal="left" indent="2"/>
    </xf>
    <xf numFmtId="0" fontId="28" fillId="5" borderId="21">
      <alignment horizontal="right"/>
    </xf>
    <xf numFmtId="0" fontId="1" fillId="0" borderId="0"/>
    <xf numFmtId="9" fontId="11" fillId="0" borderId="0" applyFont="0" applyFill="0" applyBorder="0" applyAlignment="0" applyProtection="0"/>
    <xf numFmtId="0" fontId="53" fillId="0" borderId="0"/>
    <xf numFmtId="0" fontId="55" fillId="0" borderId="0"/>
  </cellStyleXfs>
  <cellXfs count="571">
    <xf numFmtId="0" fontId="0" fillId="0" borderId="0" xfId="0" applyFill="1" applyBorder="1" applyAlignment="1">
      <alignment horizontal="left" vertical="top"/>
    </xf>
    <xf numFmtId="0" fontId="0" fillId="0" borderId="0" xfId="0" applyFill="1" applyBorder="1" applyAlignment="1">
      <alignment vertical="top"/>
    </xf>
    <xf numFmtId="164" fontId="0" fillId="0" borderId="0" xfId="0" applyNumberFormat="1"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2" fontId="0" fillId="0" borderId="4" xfId="0" applyNumberFormat="1" applyFill="1" applyBorder="1" applyAlignment="1">
      <alignment horizontal="right" wrapText="1"/>
    </xf>
    <xf numFmtId="2" fontId="8" fillId="0" borderId="4" xfId="0" applyNumberFormat="1" applyFont="1" applyFill="1" applyBorder="1" applyAlignment="1">
      <alignment horizontal="right" shrinkToFit="1"/>
    </xf>
    <xf numFmtId="0" fontId="0" fillId="0" borderId="11" xfId="0" applyFill="1" applyBorder="1" applyAlignment="1">
      <alignment horizontal="right"/>
    </xf>
    <xf numFmtId="0" fontId="0" fillId="0" borderId="10" xfId="0" applyFill="1" applyBorder="1" applyAlignment="1">
      <alignment horizontal="left"/>
    </xf>
    <xf numFmtId="0" fontId="4" fillId="0" borderId="4" xfId="0" applyFont="1" applyFill="1" applyBorder="1" applyAlignment="1">
      <alignment horizontal="left" wrapText="1"/>
    </xf>
    <xf numFmtId="0" fontId="6" fillId="0" borderId="4" xfId="0" applyFont="1" applyFill="1" applyBorder="1" applyAlignment="1">
      <alignment horizontal="left" wrapText="1"/>
    </xf>
    <xf numFmtId="0" fontId="4" fillId="0" borderId="3" xfId="0" applyFont="1" applyFill="1" applyBorder="1" applyAlignment="1">
      <alignment horizontal="left" wrapText="1"/>
    </xf>
    <xf numFmtId="0" fontId="4" fillId="0" borderId="0" xfId="0" applyFont="1" applyFill="1" applyBorder="1" applyAlignment="1">
      <alignment horizontal="left" wrapText="1"/>
    </xf>
    <xf numFmtId="0" fontId="6" fillId="0" borderId="4" xfId="0" applyFont="1" applyFill="1" applyBorder="1" applyAlignment="1">
      <alignment horizontal="left" wrapText="1" indent="1"/>
    </xf>
    <xf numFmtId="0" fontId="7" fillId="0" borderId="0" xfId="0" applyFont="1" applyAlignment="1">
      <alignment horizontal="left"/>
    </xf>
    <xf numFmtId="0" fontId="12" fillId="0" borderId="4" xfId="0" applyFont="1" applyFill="1" applyBorder="1" applyAlignment="1">
      <alignment horizontal="left" wrapText="1"/>
    </xf>
    <xf numFmtId="0" fontId="0" fillId="0" borderId="0" xfId="0" applyFill="1" applyBorder="1" applyAlignment="1">
      <alignment horizontal="left"/>
    </xf>
    <xf numFmtId="0" fontId="0" fillId="0" borderId="5" xfId="0" applyFill="1" applyBorder="1" applyAlignment="1">
      <alignment horizontal="right" wrapText="1"/>
    </xf>
    <xf numFmtId="0" fontId="0" fillId="0" borderId="6" xfId="0" applyFill="1" applyBorder="1" applyAlignment="1">
      <alignment horizontal="right" wrapText="1"/>
    </xf>
    <xf numFmtId="0" fontId="0" fillId="0" borderId="4" xfId="0" applyFill="1" applyBorder="1" applyAlignment="1">
      <alignment horizontal="right" wrapText="1"/>
    </xf>
    <xf numFmtId="165" fontId="7" fillId="0" borderId="4" xfId="1" applyNumberFormat="1" applyFont="1" applyFill="1" applyBorder="1" applyAlignment="1">
      <alignment horizontal="right" wrapText="1"/>
    </xf>
    <xf numFmtId="2" fontId="7" fillId="0" borderId="0" xfId="0" applyNumberFormat="1" applyFont="1" applyFill="1" applyBorder="1" applyAlignment="1">
      <alignment horizontal="right"/>
    </xf>
    <xf numFmtId="0" fontId="4" fillId="0" borderId="7" xfId="0" applyFont="1" applyFill="1" applyBorder="1" applyAlignment="1">
      <alignment horizontal="left" wrapText="1"/>
    </xf>
    <xf numFmtId="2" fontId="0" fillId="0" borderId="5" xfId="0" applyNumberFormat="1" applyFill="1" applyBorder="1" applyAlignment="1">
      <alignment horizontal="right" wrapText="1"/>
    </xf>
    <xf numFmtId="2" fontId="0" fillId="0" borderId="6" xfId="0" applyNumberFormat="1" applyFill="1" applyBorder="1" applyAlignment="1">
      <alignment horizontal="right" wrapText="1"/>
    </xf>
    <xf numFmtId="2" fontId="6" fillId="0" borderId="4" xfId="0" applyNumberFormat="1" applyFont="1" applyFill="1" applyBorder="1" applyAlignment="1">
      <alignment horizontal="right" wrapText="1"/>
    </xf>
    <xf numFmtId="2" fontId="5" fillId="0" borderId="4" xfId="0" applyNumberFormat="1" applyFont="1" applyFill="1" applyBorder="1" applyAlignment="1">
      <alignment horizontal="right" shrinkToFit="1"/>
    </xf>
    <xf numFmtId="0" fontId="21" fillId="0" borderId="0" xfId="0" applyFont="1" applyFill="1" applyBorder="1" applyAlignment="1">
      <alignment horizontal="left" vertical="top"/>
    </xf>
    <xf numFmtId="0" fontId="22" fillId="0" borderId="0" xfId="0" applyFont="1" applyFill="1" applyBorder="1" applyAlignment="1">
      <alignment horizontal="left"/>
    </xf>
    <xf numFmtId="0" fontId="21" fillId="0" borderId="0" xfId="0" applyFont="1" applyFill="1" applyBorder="1" applyAlignment="1">
      <alignment horizontal="left"/>
    </xf>
    <xf numFmtId="0" fontId="6" fillId="0" borderId="4" xfId="0" applyFont="1" applyFill="1" applyBorder="1" applyAlignment="1">
      <alignment horizontal="left" wrapText="1" indent="2"/>
    </xf>
    <xf numFmtId="0" fontId="4" fillId="0" borderId="4" xfId="0" applyFont="1" applyFill="1" applyBorder="1" applyAlignment="1">
      <alignment wrapText="1"/>
    </xf>
    <xf numFmtId="0" fontId="4" fillId="0" borderId="14" xfId="0" applyFont="1" applyFill="1" applyBorder="1" applyAlignment="1">
      <alignment horizontal="left" wrapText="1"/>
    </xf>
    <xf numFmtId="0" fontId="22" fillId="0" borderId="16" xfId="0" applyFont="1" applyFill="1" applyBorder="1" applyAlignment="1">
      <alignment horizontal="left"/>
    </xf>
    <xf numFmtId="0" fontId="8" fillId="0" borderId="0" xfId="0" applyFont="1" applyFill="1" applyBorder="1" applyAlignment="1">
      <alignment horizontal="left"/>
    </xf>
    <xf numFmtId="2" fontId="0" fillId="0" borderId="0" xfId="0" applyNumberFormat="1" applyFill="1" applyBorder="1" applyAlignment="1">
      <alignment horizontal="left" vertical="top"/>
    </xf>
    <xf numFmtId="0" fontId="8" fillId="0" borderId="17" xfId="0" applyFont="1" applyFill="1" applyBorder="1" applyAlignment="1">
      <alignment horizontal="left"/>
    </xf>
    <xf numFmtId="0" fontId="7" fillId="0" borderId="17" xfId="0" applyFont="1" applyFill="1" applyBorder="1" applyAlignment="1">
      <alignment horizontal="left"/>
    </xf>
    <xf numFmtId="2" fontId="7" fillId="0" borderId="6" xfId="0" applyNumberFormat="1" applyFont="1" applyFill="1" applyBorder="1" applyAlignment="1">
      <alignment horizontal="right"/>
    </xf>
    <xf numFmtId="0" fontId="7" fillId="0" borderId="0" xfId="0" applyFont="1" applyFill="1" applyBorder="1" applyAlignment="1">
      <alignment horizontal="left" vertical="top"/>
    </xf>
    <xf numFmtId="0" fontId="0" fillId="0" borderId="0" xfId="0"/>
    <xf numFmtId="0" fontId="0" fillId="0" borderId="0" xfId="0" applyAlignment="1">
      <alignment vertical="center"/>
    </xf>
    <xf numFmtId="49" fontId="0" fillId="0" borderId="0" xfId="0" applyNumberFormat="1"/>
    <xf numFmtId="166" fontId="24" fillId="0" borderId="0" xfId="0" applyNumberFormat="1" applyFont="1" applyAlignment="1">
      <alignment horizontal="right"/>
    </xf>
    <xf numFmtId="170" fontId="25" fillId="0" borderId="0" xfId="0" applyNumberFormat="1" applyFont="1"/>
    <xf numFmtId="170" fontId="0" fillId="0" borderId="0" xfId="0" applyNumberFormat="1"/>
    <xf numFmtId="0" fontId="6" fillId="0" borderId="0" xfId="0" applyFont="1"/>
    <xf numFmtId="0" fontId="4" fillId="0" borderId="18" xfId="0" applyFont="1" applyBorder="1" applyAlignment="1">
      <alignment horizontal="left" indent="1"/>
    </xf>
    <xf numFmtId="0" fontId="4" fillId="0" borderId="18" xfId="0" applyFont="1" applyBorder="1"/>
    <xf numFmtId="2" fontId="0" fillId="0" borderId="0" xfId="0" applyNumberFormat="1"/>
    <xf numFmtId="0" fontId="7" fillId="0" borderId="0" xfId="0" applyFont="1"/>
    <xf numFmtId="0" fontId="8" fillId="0" borderId="0" xfId="0" applyFont="1" applyFill="1" applyBorder="1" applyAlignment="1">
      <alignment horizontal="right"/>
    </xf>
    <xf numFmtId="10" fontId="26" fillId="0" borderId="0" xfId="4" applyNumberFormat="1" applyFont="1" applyFill="1" applyBorder="1" applyAlignment="1">
      <alignment horizontal="right"/>
    </xf>
    <xf numFmtId="0" fontId="7" fillId="3" borderId="0" xfId="0" applyFont="1" applyFill="1" applyAlignment="1">
      <alignment horizontal="left" indent="1"/>
    </xf>
    <xf numFmtId="0" fontId="6" fillId="3" borderId="0" xfId="0" applyFont="1" applyFill="1" applyAlignment="1">
      <alignment horizontal="left" indent="1"/>
    </xf>
    <xf numFmtId="0" fontId="11" fillId="0" borderId="0" xfId="0" applyFont="1"/>
    <xf numFmtId="169" fontId="6" fillId="0" borderId="0" xfId="0" applyNumberFormat="1" applyFont="1" applyAlignment="1">
      <alignment horizontal="right" vertical="center" indent="1"/>
    </xf>
    <xf numFmtId="169" fontId="4" fillId="0" borderId="0" xfId="0" applyNumberFormat="1" applyFont="1" applyAlignment="1">
      <alignment horizontal="right" vertical="center" indent="1"/>
    </xf>
    <xf numFmtId="171" fontId="6" fillId="0" borderId="0" xfId="0" applyNumberFormat="1" applyFont="1" applyAlignment="1">
      <alignment horizontal="right" vertical="center" indent="1"/>
    </xf>
    <xf numFmtId="2" fontId="7" fillId="0" borderId="0" xfId="0" applyNumberFormat="1" applyFont="1" applyFill="1" applyBorder="1" applyAlignment="1">
      <alignment horizontal="left" vertical="top"/>
    </xf>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20" xfId="0" applyFont="1" applyFill="1" applyBorder="1" applyAlignment="1">
      <alignment horizontal="left"/>
    </xf>
    <xf numFmtId="0" fontId="7" fillId="0" borderId="0" xfId="0" applyFont="1" applyFill="1" applyBorder="1" applyAlignment="1">
      <alignment horizontal="left" wrapText="1"/>
    </xf>
    <xf numFmtId="0" fontId="7" fillId="0" borderId="20" xfId="0" applyFont="1" applyFill="1" applyBorder="1" applyAlignment="1">
      <alignment horizontal="left" wrapText="1"/>
    </xf>
    <xf numFmtId="0" fontId="7" fillId="0" borderId="21" xfId="0" applyFont="1" applyFill="1" applyBorder="1" applyAlignment="1">
      <alignment horizontal="left" vertical="top"/>
    </xf>
    <xf numFmtId="0" fontId="7" fillId="0" borderId="21" xfId="0" applyFont="1" applyFill="1" applyBorder="1" applyAlignment="1">
      <alignment horizontal="left" wrapText="1"/>
    </xf>
    <xf numFmtId="169" fontId="4" fillId="0" borderId="0" xfId="0" applyNumberFormat="1" applyFont="1" applyBorder="1" applyAlignment="1">
      <alignment horizontal="right" vertical="center" indent="1"/>
    </xf>
    <xf numFmtId="169" fontId="6" fillId="0" borderId="0" xfId="0" applyNumberFormat="1" applyFont="1" applyBorder="1" applyAlignment="1">
      <alignment horizontal="right" vertical="center" indent="1"/>
    </xf>
    <xf numFmtId="0" fontId="17" fillId="0" borderId="0" xfId="0" applyFont="1" applyAlignment="1">
      <alignment horizontal="left"/>
    </xf>
    <xf numFmtId="0" fontId="11" fillId="0" borderId="0" xfId="0" applyFont="1" applyBorder="1"/>
    <xf numFmtId="2" fontId="6" fillId="0" borderId="0" xfId="0" applyNumberFormat="1" applyFont="1" applyAlignment="1">
      <alignment horizontal="right" vertical="center" indent="1"/>
    </xf>
    <xf numFmtId="0" fontId="8" fillId="0" borderId="0" xfId="0" applyFont="1" applyFill="1" applyBorder="1" applyAlignment="1">
      <alignment horizontal="left" vertical="top"/>
    </xf>
    <xf numFmtId="0" fontId="7" fillId="0" borderId="0" xfId="0" applyFont="1" applyFill="1" applyBorder="1" applyAlignment="1">
      <alignment horizontal="left" wrapText="1" indent="2"/>
    </xf>
    <xf numFmtId="0" fontId="7" fillId="0" borderId="0" xfId="0" applyFont="1" applyFill="1" applyBorder="1" applyAlignment="1">
      <alignment horizontal="left" indent="2"/>
    </xf>
    <xf numFmtId="169" fontId="6" fillId="0" borderId="0" xfId="0" applyNumberFormat="1" applyFont="1" applyFill="1" applyBorder="1" applyAlignment="1">
      <alignment horizontal="right" vertical="center" indent="1"/>
    </xf>
    <xf numFmtId="168" fontId="4" fillId="0" borderId="0" xfId="0" applyNumberFormat="1" applyFont="1" applyFill="1" applyBorder="1"/>
    <xf numFmtId="0" fontId="11" fillId="0" borderId="0" xfId="0" applyFont="1" applyFill="1" applyBorder="1"/>
    <xf numFmtId="0" fontId="0" fillId="0" borderId="0" xfId="0" applyFill="1" applyBorder="1"/>
    <xf numFmtId="169" fontId="4" fillId="0" borderId="0" xfId="0" applyNumberFormat="1" applyFont="1" applyFill="1" applyBorder="1" applyAlignment="1">
      <alignment horizontal="right" vertical="center" indent="1"/>
    </xf>
    <xf numFmtId="0" fontId="0" fillId="0" borderId="0" xfId="0" applyFill="1" applyBorder="1" applyAlignment="1">
      <alignment vertical="center"/>
    </xf>
    <xf numFmtId="171" fontId="6" fillId="0" borderId="0" xfId="0" applyNumberFormat="1" applyFont="1" applyBorder="1" applyAlignment="1">
      <alignment horizontal="right" vertical="center" indent="1"/>
    </xf>
    <xf numFmtId="0" fontId="8" fillId="0" borderId="20" xfId="0" applyFont="1" applyFill="1" applyBorder="1" applyAlignment="1">
      <alignment horizontal="left"/>
    </xf>
    <xf numFmtId="2" fontId="8" fillId="0" borderId="0" xfId="0" applyNumberFormat="1" applyFont="1" applyFill="1" applyBorder="1" applyAlignment="1">
      <alignment horizontal="right"/>
    </xf>
    <xf numFmtId="0" fontId="6" fillId="0" borderId="0" xfId="0" applyFont="1" applyFill="1" applyBorder="1" applyAlignment="1">
      <alignment horizontal="left" wrapText="1" indent="2"/>
    </xf>
    <xf numFmtId="2" fontId="7" fillId="0" borderId="0" xfId="0" applyNumberFormat="1" applyFont="1" applyFill="1" applyBorder="1" applyAlignment="1">
      <alignment horizontal="right" shrinkToFit="1"/>
    </xf>
    <xf numFmtId="0" fontId="17" fillId="0" borderId="0" xfId="0" applyFont="1" applyFill="1" applyBorder="1" applyAlignment="1">
      <alignment horizontal="left" vertical="top"/>
    </xf>
    <xf numFmtId="0" fontId="17" fillId="0" borderId="0" xfId="0" applyFont="1" applyFill="1" applyBorder="1" applyAlignment="1">
      <alignment horizontal="left"/>
    </xf>
    <xf numFmtId="0" fontId="4" fillId="0" borderId="4" xfId="0" applyFont="1" applyFill="1" applyBorder="1" applyAlignment="1">
      <alignment horizontal="left"/>
    </xf>
    <xf numFmtId="0" fontId="6" fillId="0" borderId="17" xfId="0" applyFont="1" applyFill="1" applyBorder="1" applyAlignment="1">
      <alignment horizontal="left" wrapText="1" indent="2"/>
    </xf>
    <xf numFmtId="0" fontId="7" fillId="0" borderId="17" xfId="0" applyFont="1" applyFill="1" applyBorder="1" applyAlignment="1">
      <alignment horizontal="left" indent="2"/>
    </xf>
    <xf numFmtId="0" fontId="8" fillId="0" borderId="17" xfId="0" applyFont="1" applyFill="1" applyBorder="1" applyAlignment="1">
      <alignment horizontal="left" wrapText="1"/>
    </xf>
    <xf numFmtId="0" fontId="7" fillId="0" borderId="19" xfId="0" applyFont="1" applyFill="1" applyBorder="1" applyAlignment="1">
      <alignment horizontal="left"/>
    </xf>
    <xf numFmtId="2" fontId="7" fillId="0" borderId="19" xfId="0" applyNumberFormat="1" applyFont="1" applyFill="1" applyBorder="1" applyAlignment="1">
      <alignment horizontal="right"/>
    </xf>
    <xf numFmtId="0" fontId="8" fillId="0" borderId="19" xfId="0" applyFont="1" applyFill="1" applyBorder="1" applyAlignment="1">
      <alignment horizontal="left"/>
    </xf>
    <xf numFmtId="0" fontId="7" fillId="0" borderId="19" xfId="0" applyFont="1" applyFill="1" applyBorder="1" applyAlignment="1">
      <alignment horizontal="left" vertical="top"/>
    </xf>
    <xf numFmtId="0" fontId="7" fillId="0" borderId="0" xfId="0" applyFont="1" applyFill="1" applyBorder="1" applyAlignment="1">
      <alignment horizontal="left" indent="1"/>
    </xf>
    <xf numFmtId="2" fontId="8" fillId="0" borderId="0" xfId="0" applyNumberFormat="1" applyFont="1" applyFill="1" applyBorder="1" applyAlignment="1">
      <alignment horizontal="left" vertical="top"/>
    </xf>
    <xf numFmtId="2" fontId="6" fillId="0" borderId="0" xfId="0" applyNumberFormat="1" applyFont="1" applyFill="1" applyBorder="1" applyAlignment="1">
      <alignment horizontal="right"/>
    </xf>
    <xf numFmtId="0" fontId="4" fillId="0" borderId="0" xfId="0" applyFont="1" applyFill="1" applyBorder="1" applyAlignment="1">
      <alignment horizontal="left"/>
    </xf>
    <xf numFmtId="0" fontId="27" fillId="0" borderId="0" xfId="0" applyFont="1" applyFill="1" applyBorder="1" applyAlignment="1">
      <alignment horizontal="left" vertical="top"/>
    </xf>
    <xf numFmtId="0" fontId="27" fillId="0" borderId="0" xfId="0" applyFont="1" applyFill="1" applyBorder="1" applyAlignment="1">
      <alignment horizontal="right"/>
    </xf>
    <xf numFmtId="0" fontId="6" fillId="0" borderId="0" xfId="0" applyFont="1" applyFill="1" applyBorder="1" applyAlignment="1">
      <alignment horizontal="left" wrapText="1"/>
    </xf>
    <xf numFmtId="0" fontId="7" fillId="0" borderId="0" xfId="0" applyFont="1" applyBorder="1" applyAlignment="1">
      <alignment horizontal="left"/>
    </xf>
    <xf numFmtId="0" fontId="13" fillId="0" borderId="0" xfId="0" applyFont="1" applyBorder="1" applyAlignment="1">
      <alignment horizontal="left"/>
    </xf>
    <xf numFmtId="2" fontId="17" fillId="0" borderId="0" xfId="0" applyNumberFormat="1" applyFont="1" applyFill="1" applyBorder="1" applyAlignment="1">
      <alignment horizontal="right"/>
    </xf>
    <xf numFmtId="0" fontId="29" fillId="0" borderId="0" xfId="0" applyFont="1" applyFill="1" applyBorder="1" applyAlignment="1">
      <alignment horizontal="left" wrapText="1" indent="2"/>
    </xf>
    <xf numFmtId="0" fontId="29" fillId="0" borderId="0" xfId="0" applyFont="1" applyFill="1" applyBorder="1" applyAlignment="1">
      <alignment horizontal="right"/>
    </xf>
    <xf numFmtId="10" fontId="29" fillId="0" borderId="0" xfId="4" applyNumberFormat="1" applyFont="1" applyFill="1" applyBorder="1" applyAlignment="1">
      <alignment horizontal="right"/>
    </xf>
    <xf numFmtId="0" fontId="29" fillId="0" borderId="0" xfId="0" applyFont="1" applyFill="1" applyBorder="1" applyAlignment="1">
      <alignment horizontal="left" vertical="top"/>
    </xf>
    <xf numFmtId="0" fontId="29" fillId="0" borderId="0" xfId="0" applyFont="1" applyFill="1" applyBorder="1" applyAlignment="1">
      <alignment horizontal="left" indent="1"/>
    </xf>
    <xf numFmtId="2" fontId="29" fillId="0" borderId="0" xfId="0" applyNumberFormat="1" applyFont="1" applyFill="1" applyBorder="1" applyAlignment="1">
      <alignment horizontal="right"/>
    </xf>
    <xf numFmtId="0" fontId="29" fillId="0" borderId="0" xfId="0" applyFont="1" applyFill="1" applyBorder="1" applyAlignment="1">
      <alignment horizontal="left" indent="2"/>
    </xf>
    <xf numFmtId="10" fontId="29" fillId="0" borderId="0" xfId="4" applyNumberFormat="1" applyFont="1" applyFill="1" applyBorder="1" applyAlignment="1">
      <alignment horizontal="right" vertical="top"/>
    </xf>
    <xf numFmtId="0" fontId="29" fillId="0" borderId="0" xfId="0" applyFont="1" applyFill="1" applyBorder="1" applyAlignment="1">
      <alignment horizontal="left"/>
    </xf>
    <xf numFmtId="0" fontId="30" fillId="0" borderId="0" xfId="0" applyFont="1" applyFill="1" applyBorder="1" applyAlignment="1">
      <alignment horizontal="left" vertical="top"/>
    </xf>
    <xf numFmtId="0" fontId="29" fillId="0" borderId="0" xfId="0" applyFont="1" applyFill="1" applyBorder="1" applyAlignment="1">
      <alignment horizontal="right" vertical="top"/>
    </xf>
    <xf numFmtId="0" fontId="28" fillId="5" borderId="0" xfId="7" applyBorder="1">
      <alignment horizontal="right"/>
    </xf>
    <xf numFmtId="0" fontId="12" fillId="6" borderId="0" xfId="0" applyFont="1" applyFill="1" applyBorder="1" applyAlignment="1">
      <alignment horizontal="left"/>
    </xf>
    <xf numFmtId="0" fontId="7" fillId="0" borderId="0" xfId="0" applyFont="1" applyFill="1" applyAlignment="1">
      <alignment horizontal="left"/>
    </xf>
    <xf numFmtId="0" fontId="4" fillId="0" borderId="0" xfId="0" applyFont="1" applyFill="1" applyAlignment="1">
      <alignment horizontal="left"/>
    </xf>
    <xf numFmtId="0" fontId="13" fillId="0" borderId="18" xfId="0" applyFont="1" applyBorder="1" applyAlignment="1">
      <alignment horizontal="left"/>
    </xf>
    <xf numFmtId="2" fontId="11" fillId="0" borderId="0" xfId="0" applyNumberFormat="1" applyFont="1"/>
    <xf numFmtId="2" fontId="4" fillId="0" borderId="0" xfId="0" applyNumberFormat="1" applyFont="1" applyAlignment="1">
      <alignment horizontal="right" vertical="center" indent="1"/>
    </xf>
    <xf numFmtId="0" fontId="7" fillId="3" borderId="0" xfId="0" applyFont="1" applyFill="1" applyBorder="1" applyAlignment="1">
      <alignment horizontal="left"/>
    </xf>
    <xf numFmtId="0" fontId="11" fillId="0" borderId="0" xfId="0" applyFont="1" applyFill="1" applyBorder="1" applyAlignment="1">
      <alignment horizontal="left" vertical="top"/>
    </xf>
    <xf numFmtId="0" fontId="31" fillId="0" borderId="0" xfId="0" applyFont="1" applyAlignment="1">
      <alignment horizontal="left" indent="1"/>
    </xf>
    <xf numFmtId="0" fontId="13" fillId="0" borderId="0" xfId="0" applyFont="1" applyAlignment="1">
      <alignment horizontal="left" indent="1"/>
    </xf>
    <xf numFmtId="0" fontId="13" fillId="0" borderId="18" xfId="0" applyFont="1" applyBorder="1" applyAlignment="1">
      <alignment horizontal="left" indent="1"/>
    </xf>
    <xf numFmtId="0" fontId="13" fillId="0" borderId="18" xfId="0" applyFont="1" applyBorder="1"/>
    <xf numFmtId="173" fontId="13" fillId="0" borderId="18" xfId="0" applyNumberFormat="1" applyFont="1" applyBorder="1"/>
    <xf numFmtId="0" fontId="13" fillId="0" borderId="0" xfId="0" applyFont="1" applyBorder="1" applyAlignment="1">
      <alignment horizontal="left" indent="1"/>
    </xf>
    <xf numFmtId="0" fontId="13" fillId="0" borderId="0" xfId="0" applyFont="1" applyBorder="1"/>
    <xf numFmtId="0" fontId="7" fillId="0" borderId="0" xfId="0" applyFont="1" applyBorder="1"/>
    <xf numFmtId="0" fontId="7" fillId="0" borderId="19" xfId="0" applyFont="1" applyBorder="1" applyAlignment="1">
      <alignment horizontal="left" indent="1"/>
    </xf>
    <xf numFmtId="0" fontId="7" fillId="0" borderId="19" xfId="0" applyFont="1" applyBorder="1"/>
    <xf numFmtId="0" fontId="7" fillId="0" borderId="0" xfId="0" applyFont="1" applyAlignment="1">
      <alignment horizontal="left" indent="1"/>
    </xf>
    <xf numFmtId="168" fontId="7" fillId="0" borderId="0" xfId="0" applyNumberFormat="1" applyFont="1"/>
    <xf numFmtId="172" fontId="7" fillId="0" borderId="0" xfId="0" applyNumberFormat="1" applyFont="1"/>
    <xf numFmtId="0" fontId="7" fillId="0" borderId="0" xfId="0" applyFont="1" applyFill="1" applyAlignment="1">
      <alignment horizontal="left" vertical="center" indent="1"/>
    </xf>
    <xf numFmtId="166" fontId="7" fillId="0" borderId="0" xfId="0" applyNumberFormat="1" applyFont="1" applyFill="1" applyAlignment="1">
      <alignment vertical="center"/>
    </xf>
    <xf numFmtId="174" fontId="7" fillId="0" borderId="0" xfId="0" applyNumberFormat="1" applyFont="1"/>
    <xf numFmtId="170" fontId="7" fillId="0" borderId="0" xfId="0" applyNumberFormat="1" applyFont="1" applyBorder="1"/>
    <xf numFmtId="10" fontId="7" fillId="0" borderId="0" xfId="4" applyNumberFormat="1" applyFont="1" applyFill="1" applyBorder="1" applyAlignment="1">
      <alignment horizontal="right"/>
    </xf>
    <xf numFmtId="166" fontId="13" fillId="3" borderId="0" xfId="0" applyNumberFormat="1" applyFont="1" applyFill="1" applyAlignment="1">
      <alignment vertical="center"/>
    </xf>
    <xf numFmtId="0" fontId="13" fillId="3" borderId="0" xfId="0" applyFont="1" applyFill="1" applyAlignment="1">
      <alignment horizontal="left" indent="1"/>
    </xf>
    <xf numFmtId="0" fontId="7" fillId="0" borderId="0" xfId="0" applyFont="1" applyBorder="1" applyAlignment="1">
      <alignment horizontal="left" vertical="center" indent="1"/>
    </xf>
    <xf numFmtId="0" fontId="7" fillId="0" borderId="0" xfId="0" applyFont="1" applyAlignment="1">
      <alignment horizontal="left" vertical="center" indent="1"/>
    </xf>
    <xf numFmtId="0" fontId="7" fillId="0" borderId="0" xfId="0" applyFont="1" applyFill="1" applyBorder="1" applyAlignment="1">
      <alignment horizontal="left" vertical="center" indent="1"/>
    </xf>
    <xf numFmtId="0" fontId="8" fillId="3" borderId="0" xfId="0" applyFont="1" applyFill="1" applyBorder="1" applyAlignment="1">
      <alignment horizontal="center" vertical="center"/>
    </xf>
    <xf numFmtId="0" fontId="28" fillId="6" borderId="0" xfId="0" applyFont="1" applyFill="1" applyBorder="1" applyAlignment="1">
      <alignment horizontal="center" vertical="center"/>
    </xf>
    <xf numFmtId="10" fontId="7" fillId="0" borderId="0" xfId="0" applyNumberFormat="1" applyFont="1" applyFill="1" applyBorder="1" applyAlignment="1">
      <alignment horizontal="right"/>
    </xf>
    <xf numFmtId="0" fontId="32" fillId="0" borderId="0" xfId="0" applyFont="1" applyFill="1" applyAlignment="1">
      <alignment horizontal="center" vertical="center"/>
    </xf>
    <xf numFmtId="0" fontId="0" fillId="0" borderId="25" xfId="0" applyFill="1" applyBorder="1" applyAlignment="1">
      <alignment wrapText="1"/>
    </xf>
    <xf numFmtId="9" fontId="7" fillId="0" borderId="0" xfId="0" applyNumberFormat="1" applyFont="1" applyFill="1" applyBorder="1" applyAlignment="1">
      <alignment horizontal="left" vertical="top"/>
    </xf>
    <xf numFmtId="0" fontId="7" fillId="0" borderId="19" xfId="0" applyFont="1" applyFill="1" applyBorder="1" applyAlignment="1">
      <alignment horizontal="right"/>
    </xf>
    <xf numFmtId="0" fontId="26" fillId="0" borderId="0" xfId="0" applyFont="1" applyFill="1" applyBorder="1" applyAlignment="1">
      <alignment horizontal="left" wrapText="1"/>
    </xf>
    <xf numFmtId="0" fontId="20" fillId="0" borderId="0" xfId="0" applyFont="1" applyFill="1" applyBorder="1" applyAlignment="1">
      <alignment horizontal="center" vertical="center"/>
    </xf>
    <xf numFmtId="0" fontId="36" fillId="0" borderId="0" xfId="0" applyFont="1" applyFill="1" applyBorder="1" applyAlignment="1">
      <alignment horizontal="left"/>
    </xf>
    <xf numFmtId="0" fontId="7" fillId="6" borderId="0" xfId="0" applyFont="1" applyFill="1" applyBorder="1" applyAlignment="1">
      <alignment horizontal="left" vertical="top"/>
    </xf>
    <xf numFmtId="0" fontId="7" fillId="0" borderId="17" xfId="0" applyFont="1" applyFill="1" applyBorder="1" applyAlignment="1">
      <alignment horizontal="left" wrapText="1"/>
    </xf>
    <xf numFmtId="0" fontId="7" fillId="0" borderId="8" xfId="0" applyFont="1" applyFill="1" applyBorder="1" applyAlignment="1">
      <alignment horizontal="left" wrapText="1"/>
    </xf>
    <xf numFmtId="0" fontId="37" fillId="0" borderId="19" xfId="0" applyFont="1" applyFill="1" applyBorder="1" applyAlignment="1">
      <alignment horizontal="right"/>
    </xf>
    <xf numFmtId="0" fontId="28" fillId="0" borderId="0" xfId="0" applyFont="1" applyFill="1" applyBorder="1" applyAlignment="1">
      <alignment horizontal="center" vertical="center" wrapText="1"/>
    </xf>
    <xf numFmtId="0" fontId="38" fillId="0" borderId="0" xfId="0" applyFont="1" applyFill="1" applyBorder="1" applyAlignment="1">
      <alignment horizontal="left"/>
    </xf>
    <xf numFmtId="9" fontId="7" fillId="0" borderId="0" xfId="4" applyFont="1" applyFill="1" applyBorder="1" applyAlignment="1">
      <alignment horizontal="left" vertical="top"/>
    </xf>
    <xf numFmtId="175" fontId="7" fillId="0" borderId="0" xfId="4" applyNumberFormat="1" applyFont="1" applyFill="1" applyBorder="1" applyAlignment="1">
      <alignment horizontal="right"/>
    </xf>
    <xf numFmtId="2" fontId="6" fillId="0" borderId="0" xfId="4" applyNumberFormat="1" applyFont="1" applyFill="1" applyBorder="1" applyAlignment="1">
      <alignment horizontal="right"/>
    </xf>
    <xf numFmtId="0" fontId="7" fillId="0" borderId="0" xfId="0" applyFont="1" applyFill="1" applyBorder="1" applyAlignment="1">
      <alignment horizontal="right" wrapText="1"/>
    </xf>
    <xf numFmtId="10" fontId="8" fillId="0" borderId="0" xfId="0" applyNumberFormat="1" applyFont="1" applyFill="1" applyBorder="1" applyAlignment="1">
      <alignment horizontal="right" wrapText="1"/>
    </xf>
    <xf numFmtId="0" fontId="28" fillId="5" borderId="0" xfId="7" applyFont="1" applyBorder="1" applyAlignment="1">
      <alignment horizontal="center" vertical="center"/>
    </xf>
    <xf numFmtId="0" fontId="39" fillId="0" borderId="0" xfId="0" applyFont="1" applyFill="1" applyBorder="1" applyAlignment="1">
      <alignment horizontal="center" vertical="center"/>
    </xf>
    <xf numFmtId="0" fontId="38" fillId="0" borderId="0" xfId="0" applyFont="1" applyFill="1" applyBorder="1" applyAlignment="1">
      <alignment horizontal="center" vertical="center"/>
    </xf>
    <xf numFmtId="0" fontId="0" fillId="0" borderId="0" xfId="0" applyAlignment="1">
      <alignment horizontal="left" vertical="top"/>
    </xf>
    <xf numFmtId="2" fontId="0" fillId="0" borderId="0" xfId="0" applyNumberFormat="1" applyAlignment="1">
      <alignment horizontal="left" vertical="top"/>
    </xf>
    <xf numFmtId="0" fontId="7" fillId="0" borderId="0" xfId="0" applyFont="1" applyAlignment="1">
      <alignment horizontal="left" vertical="top"/>
    </xf>
    <xf numFmtId="2" fontId="7" fillId="0" borderId="0" xfId="0" applyNumberFormat="1" applyFont="1" applyAlignment="1">
      <alignment horizontal="left" vertical="top"/>
    </xf>
    <xf numFmtId="2" fontId="7" fillId="0" borderId="0" xfId="0" applyNumberFormat="1" applyFont="1" applyFill="1" applyBorder="1" applyAlignment="1">
      <alignment horizontal="left"/>
    </xf>
    <xf numFmtId="0" fontId="28" fillId="0" borderId="0" xfId="0" applyFont="1" applyFill="1" applyAlignment="1">
      <alignment horizontal="center" vertical="center"/>
    </xf>
    <xf numFmtId="0" fontId="28" fillId="0" borderId="0" xfId="0" applyFont="1" applyFill="1" applyAlignment="1">
      <alignment horizontal="left" vertical="center" indent="1"/>
    </xf>
    <xf numFmtId="0" fontId="28" fillId="0" borderId="0" xfId="0" applyFont="1" applyFill="1" applyBorder="1" applyAlignment="1">
      <alignment horizontal="left" vertical="center" indent="1"/>
    </xf>
    <xf numFmtId="0" fontId="33" fillId="0" borderId="0" xfId="0" applyFont="1" applyFill="1"/>
    <xf numFmtId="0" fontId="0" fillId="0" borderId="0" xfId="0" applyFill="1"/>
    <xf numFmtId="0" fontId="7" fillId="0" borderId="19" xfId="0" applyFont="1" applyFill="1" applyBorder="1" applyAlignment="1">
      <alignment horizontal="left" wrapText="1"/>
    </xf>
    <xf numFmtId="0" fontId="41" fillId="0" borderId="0" xfId="0" applyFont="1" applyFill="1" applyBorder="1" applyAlignment="1">
      <alignment horizontal="left" vertical="top"/>
    </xf>
    <xf numFmtId="0" fontId="0" fillId="0" borderId="0" xfId="0" quotePrefix="1" applyFill="1" applyBorder="1" applyAlignment="1">
      <alignment horizontal="left" vertical="top"/>
    </xf>
    <xf numFmtId="0" fontId="13" fillId="3" borderId="0" xfId="0" applyFont="1" applyFill="1" applyAlignment="1">
      <alignment horizontal="left" vertical="center" indent="1"/>
    </xf>
    <xf numFmtId="0" fontId="7"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6" fillId="0" borderId="20" xfId="0" applyFont="1" applyFill="1" applyBorder="1" applyAlignment="1">
      <alignment horizontal="left" wrapText="1"/>
    </xf>
    <xf numFmtId="0" fontId="7" fillId="0" borderId="29" xfId="0" applyFont="1" applyFill="1" applyBorder="1" applyAlignment="1">
      <alignment horizontal="left" wrapText="1"/>
    </xf>
    <xf numFmtId="0" fontId="42" fillId="3" borderId="0" xfId="0" applyFont="1" applyFill="1" applyBorder="1" applyAlignment="1">
      <alignment horizontal="center" vertical="center"/>
    </xf>
    <xf numFmtId="0" fontId="8" fillId="0" borderId="0" xfId="0" applyFont="1" applyFill="1" applyBorder="1" applyAlignment="1">
      <alignment horizontal="left" wrapText="1"/>
    </xf>
    <xf numFmtId="1" fontId="7" fillId="0" borderId="0" xfId="0" applyNumberFormat="1" applyFont="1" applyFill="1" applyBorder="1" applyAlignment="1">
      <alignment horizontal="right"/>
    </xf>
    <xf numFmtId="0" fontId="8" fillId="0" borderId="29" xfId="0" applyFont="1" applyFill="1" applyBorder="1" applyAlignment="1">
      <alignment horizontal="left"/>
    </xf>
    <xf numFmtId="0" fontId="8" fillId="0" borderId="29" xfId="0" applyFont="1" applyFill="1" applyBorder="1" applyAlignment="1">
      <alignment horizontal="left" wrapText="1"/>
    </xf>
    <xf numFmtId="0" fontId="7" fillId="0" borderId="30" xfId="0" applyFont="1" applyFill="1" applyBorder="1" applyAlignment="1">
      <alignment horizontal="left"/>
    </xf>
    <xf numFmtId="2" fontId="7" fillId="0" borderId="30" xfId="0" applyNumberFormat="1" applyFont="1" applyFill="1" applyBorder="1" applyAlignment="1">
      <alignment horizontal="right"/>
    </xf>
    <xf numFmtId="2" fontId="7" fillId="0" borderId="0" xfId="0" applyNumberFormat="1" applyFont="1" applyFill="1" applyAlignment="1">
      <alignment vertical="center"/>
    </xf>
    <xf numFmtId="0" fontId="38" fillId="0" borderId="0" xfId="0" applyFont="1" applyAlignment="1">
      <alignment horizontal="center" vertical="center"/>
    </xf>
    <xf numFmtId="1" fontId="29" fillId="0" borderId="0" xfId="0" applyNumberFormat="1" applyFont="1" applyFill="1" applyBorder="1" applyAlignment="1">
      <alignment horizontal="right"/>
    </xf>
    <xf numFmtId="0" fontId="13" fillId="0" borderId="19" xfId="0" applyFont="1" applyFill="1" applyBorder="1" applyAlignment="1">
      <alignment horizontal="left" wrapText="1"/>
    </xf>
    <xf numFmtId="0" fontId="7" fillId="0" borderId="0" xfId="0" applyFont="1" applyFill="1" applyAlignment="1">
      <alignment horizontal="left" wrapText="1"/>
    </xf>
    <xf numFmtId="0" fontId="13" fillId="0" borderId="0" xfId="0" applyFont="1" applyFill="1" applyBorder="1" applyAlignment="1">
      <alignment horizontal="left" wrapText="1"/>
    </xf>
    <xf numFmtId="0" fontId="7" fillId="0" borderId="0" xfId="0" quotePrefix="1" applyFont="1" applyFill="1" applyAlignment="1">
      <alignment horizontal="left" wrapText="1"/>
    </xf>
    <xf numFmtId="0" fontId="4" fillId="0" borderId="0" xfId="0" quotePrefix="1" applyFont="1" applyFill="1" applyAlignment="1">
      <alignment horizontal="left" wrapText="1"/>
    </xf>
    <xf numFmtId="0" fontId="13" fillId="0" borderId="18" xfId="0" applyFont="1" applyFill="1" applyBorder="1" applyAlignment="1">
      <alignment horizontal="left" wrapText="1"/>
    </xf>
    <xf numFmtId="0" fontId="4" fillId="0" borderId="0" xfId="0" quotePrefix="1" applyFont="1" applyFill="1" applyBorder="1" applyAlignment="1">
      <alignment horizontal="left" wrapText="1"/>
    </xf>
    <xf numFmtId="0" fontId="22" fillId="0" borderId="0" xfId="0" applyFont="1" applyFill="1" applyBorder="1" applyAlignment="1">
      <alignment horizontal="left" vertical="top"/>
    </xf>
    <xf numFmtId="0" fontId="45" fillId="0" borderId="0" xfId="8" applyFont="1"/>
    <xf numFmtId="0" fontId="47" fillId="0" borderId="0" xfId="8" applyFont="1" applyAlignment="1">
      <alignment horizontal="left"/>
    </xf>
    <xf numFmtId="0" fontId="45" fillId="0" borderId="0" xfId="8" applyFont="1" applyAlignment="1">
      <alignment horizontal="left"/>
    </xf>
    <xf numFmtId="0" fontId="46" fillId="0" borderId="0" xfId="8" applyFont="1" applyAlignment="1"/>
    <xf numFmtId="0" fontId="48" fillId="0" borderId="0" xfId="8" applyFont="1" applyAlignment="1">
      <alignment horizontal="left"/>
    </xf>
    <xf numFmtId="0" fontId="48" fillId="0" borderId="0" xfId="8" applyFont="1"/>
    <xf numFmtId="164" fontId="7" fillId="0" borderId="0" xfId="0" applyNumberFormat="1" applyFont="1" applyFill="1" applyBorder="1" applyAlignment="1">
      <alignment horizontal="right"/>
    </xf>
    <xf numFmtId="14" fontId="49" fillId="0" borderId="0" xfId="8" applyNumberFormat="1" applyFont="1" applyFill="1" applyBorder="1"/>
    <xf numFmtId="0" fontId="50" fillId="0" borderId="0" xfId="8" applyFont="1" applyAlignment="1">
      <alignment horizontal="center"/>
    </xf>
    <xf numFmtId="0" fontId="38" fillId="0" borderId="0" xfId="0" applyNumberFormat="1" applyFont="1" applyFill="1" applyBorder="1" applyAlignment="1">
      <alignment horizontal="center" vertical="center"/>
    </xf>
    <xf numFmtId="0" fontId="51" fillId="0" borderId="0" xfId="8" applyFont="1" applyAlignment="1">
      <alignment horizontal="center" vertical="center"/>
    </xf>
    <xf numFmtId="0" fontId="28" fillId="6" borderId="0" xfId="0" applyFont="1" applyFill="1" applyBorder="1" applyAlignment="1">
      <alignment horizontal="left" vertical="top"/>
    </xf>
    <xf numFmtId="0" fontId="28" fillId="6" borderId="0" xfId="0" applyFont="1" applyFill="1" applyBorder="1" applyAlignment="1">
      <alignment horizontal="left"/>
    </xf>
    <xf numFmtId="0" fontId="28" fillId="6" borderId="0" xfId="0" applyFont="1" applyFill="1" applyBorder="1" applyAlignment="1">
      <alignment horizontal="right"/>
    </xf>
    <xf numFmtId="176" fontId="43" fillId="0" borderId="0" xfId="0" applyNumberFormat="1" applyFont="1" applyAlignment="1">
      <alignment horizontal="right" wrapText="1"/>
    </xf>
    <xf numFmtId="176" fontId="43" fillId="0" borderId="0" xfId="0" applyNumberFormat="1" applyFont="1" applyAlignment="1">
      <alignment wrapText="1"/>
    </xf>
    <xf numFmtId="176" fontId="13" fillId="0" borderId="0" xfId="0" applyNumberFormat="1" applyFont="1" applyAlignment="1">
      <alignment horizontal="center" wrapText="1"/>
    </xf>
    <xf numFmtId="176" fontId="43" fillId="0" borderId="0" xfId="0" applyNumberFormat="1" applyFont="1" applyAlignment="1">
      <alignment horizontal="left" wrapText="1"/>
    </xf>
    <xf numFmtId="176" fontId="13" fillId="0" borderId="0" xfId="0" applyNumberFormat="1" applyFont="1" applyAlignment="1">
      <alignment horizontal="right" wrapText="1"/>
    </xf>
    <xf numFmtId="1" fontId="7" fillId="0" borderId="4" xfId="0" applyNumberFormat="1" applyFont="1" applyFill="1" applyBorder="1" applyAlignment="1">
      <alignment horizontal="right" shrinkToFit="1"/>
    </xf>
    <xf numFmtId="1" fontId="7" fillId="0" borderId="12" xfId="0" applyNumberFormat="1" applyFont="1" applyFill="1" applyBorder="1" applyAlignment="1">
      <alignment horizontal="right" shrinkToFit="1"/>
    </xf>
    <xf numFmtId="1" fontId="8" fillId="0" borderId="4" xfId="0" applyNumberFormat="1" applyFont="1" applyFill="1" applyBorder="1" applyAlignment="1">
      <alignment horizontal="right" shrinkToFit="1"/>
    </xf>
    <xf numFmtId="1" fontId="0" fillId="0" borderId="4" xfId="0" applyNumberFormat="1" applyFill="1" applyBorder="1" applyAlignment="1">
      <alignment horizontal="right" wrapText="1"/>
    </xf>
    <xf numFmtId="1" fontId="6" fillId="0" borderId="4" xfId="0" applyNumberFormat="1" applyFont="1" applyFill="1" applyBorder="1" applyAlignment="1">
      <alignment horizontal="right" wrapText="1"/>
    </xf>
    <xf numFmtId="1" fontId="7" fillId="0" borderId="6" xfId="0" applyNumberFormat="1" applyFont="1" applyFill="1" applyBorder="1" applyAlignment="1">
      <alignment horizontal="right"/>
    </xf>
    <xf numFmtId="1" fontId="8" fillId="0" borderId="6" xfId="0" applyNumberFormat="1" applyFont="1" applyFill="1" applyBorder="1" applyAlignment="1">
      <alignment horizontal="right"/>
    </xf>
    <xf numFmtId="1" fontId="7" fillId="0" borderId="0" xfId="0" applyNumberFormat="1" applyFont="1" applyFill="1" applyBorder="1" applyAlignment="1">
      <alignment horizontal="left" vertical="top"/>
    </xf>
    <xf numFmtId="1" fontId="6" fillId="0" borderId="4" xfId="0" applyNumberFormat="1" applyFont="1" applyFill="1" applyBorder="1" applyAlignment="1">
      <alignment horizontal="left" wrapText="1"/>
    </xf>
    <xf numFmtId="1" fontId="4" fillId="0" borderId="4" xfId="0" applyNumberFormat="1" applyFont="1" applyFill="1" applyBorder="1" applyAlignment="1">
      <alignment horizontal="left" wrapText="1"/>
    </xf>
    <xf numFmtId="1" fontId="0" fillId="0" borderId="0" xfId="0" applyNumberFormat="1" applyFill="1" applyBorder="1" applyAlignment="1">
      <alignment horizontal="right"/>
    </xf>
    <xf numFmtId="1" fontId="6" fillId="0" borderId="4" xfId="0" applyNumberFormat="1" applyFont="1" applyFill="1" applyBorder="1" applyAlignment="1">
      <alignment horizontal="left" wrapText="1" indent="1"/>
    </xf>
    <xf numFmtId="1" fontId="7" fillId="0" borderId="0" xfId="0" applyNumberFormat="1" applyFont="1" applyAlignment="1">
      <alignment horizontal="left"/>
    </xf>
    <xf numFmtId="1" fontId="12" fillId="0" borderId="4" xfId="0" applyNumberFormat="1" applyFont="1" applyFill="1" applyBorder="1" applyAlignment="1">
      <alignment horizontal="left" wrapText="1"/>
    </xf>
    <xf numFmtId="1" fontId="5" fillId="0" borderId="4" xfId="0" applyNumberFormat="1" applyFont="1" applyFill="1" applyBorder="1" applyAlignment="1">
      <alignment horizontal="right" shrinkToFit="1"/>
    </xf>
    <xf numFmtId="1" fontId="0" fillId="0" borderId="0" xfId="0" applyNumberFormat="1" applyFill="1" applyBorder="1" applyAlignment="1">
      <alignment horizontal="left"/>
    </xf>
    <xf numFmtId="1" fontId="13" fillId="0" borderId="0" xfId="0" applyNumberFormat="1" applyFont="1" applyAlignment="1">
      <alignment horizontal="left"/>
    </xf>
    <xf numFmtId="1" fontId="4" fillId="0" borderId="8" xfId="0" applyNumberFormat="1" applyFont="1" applyFill="1" applyBorder="1" applyAlignment="1">
      <alignment horizontal="left"/>
    </xf>
    <xf numFmtId="1" fontId="0" fillId="0" borderId="0" xfId="0" applyNumberFormat="1" applyFill="1" applyBorder="1" applyAlignment="1">
      <alignment horizontal="left" vertical="top"/>
    </xf>
    <xf numFmtId="175" fontId="7" fillId="7" borderId="0" xfId="0" applyNumberFormat="1" applyFont="1" applyFill="1" applyBorder="1" applyAlignment="1">
      <alignment horizontal="right"/>
    </xf>
    <xf numFmtId="0" fontId="38" fillId="0" borderId="0" xfId="0" applyFont="1" applyFill="1" applyBorder="1" applyAlignment="1">
      <alignment horizontal="center" vertical="center" wrapText="1"/>
    </xf>
    <xf numFmtId="0" fontId="17" fillId="0" borderId="0" xfId="0" applyFont="1" applyFill="1" applyBorder="1" applyAlignment="1">
      <alignment horizontal="left" wrapText="1"/>
    </xf>
    <xf numFmtId="175" fontId="8" fillId="0" borderId="0" xfId="0" applyNumberFormat="1" applyFont="1" applyFill="1" applyBorder="1" applyAlignment="1">
      <alignment horizontal="right" wrapText="1"/>
    </xf>
    <xf numFmtId="175" fontId="7" fillId="0" borderId="0" xfId="0" applyNumberFormat="1" applyFont="1" applyFill="1" applyBorder="1" applyAlignment="1">
      <alignment horizontal="right"/>
    </xf>
    <xf numFmtId="164" fontId="7" fillId="0" borderId="0" xfId="0" applyNumberFormat="1" applyFont="1" applyFill="1" applyBorder="1" applyAlignment="1">
      <alignment horizontal="right" wrapText="1"/>
    </xf>
    <xf numFmtId="175" fontId="8" fillId="0" borderId="0" xfId="4" applyNumberFormat="1" applyFont="1" applyFill="1" applyBorder="1" applyAlignment="1">
      <alignment horizontal="right"/>
    </xf>
    <xf numFmtId="175" fontId="8" fillId="0" borderId="0" xfId="0" applyNumberFormat="1" applyFont="1" applyFill="1" applyBorder="1" applyAlignment="1">
      <alignment horizontal="right" indent="1"/>
    </xf>
    <xf numFmtId="164" fontId="7" fillId="0" borderId="4" xfId="0" applyNumberFormat="1" applyFont="1" applyFill="1" applyBorder="1" applyAlignment="1">
      <alignment horizontal="right" shrinkToFit="1"/>
    </xf>
    <xf numFmtId="164" fontId="8" fillId="0" borderId="4" xfId="0" applyNumberFormat="1" applyFont="1" applyFill="1" applyBorder="1" applyAlignment="1">
      <alignment horizontal="right" shrinkToFit="1"/>
    </xf>
    <xf numFmtId="164" fontId="6" fillId="0" borderId="4" xfId="0" applyNumberFormat="1" applyFont="1" applyFill="1" applyBorder="1" applyAlignment="1">
      <alignment horizontal="right" wrapText="1"/>
    </xf>
    <xf numFmtId="164" fontId="0" fillId="0" borderId="4" xfId="0" applyNumberFormat="1" applyFill="1" applyBorder="1" applyAlignment="1">
      <alignment horizontal="right" wrapText="1"/>
    </xf>
    <xf numFmtId="164" fontId="8" fillId="0" borderId="7" xfId="0" applyNumberFormat="1" applyFont="1" applyFill="1" applyBorder="1" applyAlignment="1">
      <alignment horizontal="right" shrinkToFit="1"/>
    </xf>
    <xf numFmtId="177" fontId="7" fillId="0" borderId="4" xfId="0" applyNumberFormat="1" applyFont="1" applyFill="1" applyBorder="1" applyAlignment="1">
      <alignment horizontal="right" shrinkToFit="1"/>
    </xf>
    <xf numFmtId="164" fontId="8" fillId="0" borderId="12" xfId="0" applyNumberFormat="1" applyFont="1" applyFill="1" applyBorder="1" applyAlignment="1">
      <alignment horizontal="right" shrinkToFit="1"/>
    </xf>
    <xf numFmtId="164" fontId="7" fillId="0" borderId="4" xfId="0" applyNumberFormat="1" applyFont="1" applyFill="1" applyBorder="1" applyAlignment="1">
      <alignment horizontal="right" wrapText="1"/>
    </xf>
    <xf numFmtId="164" fontId="7" fillId="0" borderId="12" xfId="0" applyNumberFormat="1" applyFont="1" applyFill="1" applyBorder="1" applyAlignment="1">
      <alignment horizontal="right" shrinkToFit="1"/>
    </xf>
    <xf numFmtId="164" fontId="0" fillId="0" borderId="12" xfId="0" applyNumberFormat="1" applyFill="1" applyBorder="1" applyAlignment="1">
      <alignment horizontal="right" wrapText="1"/>
    </xf>
    <xf numFmtId="164" fontId="8" fillId="0" borderId="13" xfId="0" applyNumberFormat="1" applyFont="1" applyFill="1" applyBorder="1" applyAlignment="1">
      <alignment horizontal="right" shrinkToFit="1"/>
    </xf>
    <xf numFmtId="164" fontId="8" fillId="0" borderId="15" xfId="0" applyNumberFormat="1" applyFont="1" applyFill="1" applyBorder="1" applyAlignment="1">
      <alignment horizontal="right" shrinkToFit="1"/>
    </xf>
    <xf numFmtId="164" fontId="22" fillId="0" borderId="15" xfId="0" applyNumberFormat="1" applyFont="1" applyFill="1" applyBorder="1" applyAlignment="1">
      <alignment horizontal="right"/>
    </xf>
    <xf numFmtId="164" fontId="21" fillId="0" borderId="0" xfId="0" applyNumberFormat="1" applyFont="1" applyFill="1" applyBorder="1" applyAlignment="1">
      <alignment horizontal="left" vertical="top"/>
    </xf>
    <xf numFmtId="164" fontId="21" fillId="0" borderId="0" xfId="0" applyNumberFormat="1" applyFont="1" applyFill="1" applyBorder="1" applyAlignment="1">
      <alignment horizontal="right"/>
    </xf>
    <xf numFmtId="164" fontId="22" fillId="0" borderId="0" xfId="0" applyNumberFormat="1" applyFont="1" applyFill="1" applyBorder="1" applyAlignment="1">
      <alignment horizontal="right"/>
    </xf>
    <xf numFmtId="166" fontId="7" fillId="0" borderId="4" xfId="0" applyNumberFormat="1" applyFont="1" applyFill="1" applyBorder="1" applyAlignment="1">
      <alignment horizontal="right" shrinkToFit="1"/>
    </xf>
    <xf numFmtId="166" fontId="7" fillId="0" borderId="12" xfId="0" applyNumberFormat="1" applyFont="1" applyFill="1" applyBorder="1" applyAlignment="1">
      <alignment horizontal="right" shrinkToFit="1"/>
    </xf>
    <xf numFmtId="164" fontId="7" fillId="0" borderId="6" xfId="0" applyNumberFormat="1" applyFont="1" applyFill="1" applyBorder="1" applyAlignment="1">
      <alignment horizontal="right"/>
    </xf>
    <xf numFmtId="164" fontId="8" fillId="0" borderId="6" xfId="0" applyNumberFormat="1" applyFont="1" applyFill="1" applyBorder="1" applyAlignment="1">
      <alignment horizontal="right"/>
    </xf>
    <xf numFmtId="166" fontId="7" fillId="0" borderId="6" xfId="0" applyNumberFormat="1" applyFont="1" applyFill="1" applyBorder="1" applyAlignment="1">
      <alignment horizontal="right"/>
    </xf>
    <xf numFmtId="166" fontId="8" fillId="0" borderId="6" xfId="0" applyNumberFormat="1" applyFont="1" applyFill="1" applyBorder="1" applyAlignment="1">
      <alignment horizontal="right"/>
    </xf>
    <xf numFmtId="178" fontId="7" fillId="0" borderId="6" xfId="0" applyNumberFormat="1" applyFont="1" applyFill="1" applyBorder="1" applyAlignment="1">
      <alignment horizontal="right"/>
    </xf>
    <xf numFmtId="164" fontId="7" fillId="0" borderId="9" xfId="0" applyNumberFormat="1" applyFont="1" applyFill="1" applyBorder="1" applyAlignment="1">
      <alignment horizontal="right"/>
    </xf>
    <xf numFmtId="168" fontId="7" fillId="0" borderId="9" xfId="0" applyNumberFormat="1" applyFont="1" applyFill="1" applyBorder="1" applyAlignment="1"/>
    <xf numFmtId="164" fontId="7" fillId="0" borderId="4" xfId="1" applyNumberFormat="1" applyFont="1" applyFill="1" applyBorder="1" applyAlignment="1">
      <alignment horizontal="right" shrinkToFit="1"/>
    </xf>
    <xf numFmtId="164" fontId="7" fillId="0" borderId="0" xfId="1" applyNumberFormat="1" applyFont="1" applyFill="1" applyBorder="1" applyAlignment="1">
      <alignment horizontal="right"/>
    </xf>
    <xf numFmtId="164" fontId="7" fillId="0" borderId="4" xfId="1" applyNumberFormat="1" applyFont="1" applyFill="1" applyBorder="1" applyAlignment="1">
      <alignment horizontal="right" wrapText="1"/>
    </xf>
    <xf numFmtId="164" fontId="8" fillId="0" borderId="4" xfId="1" applyNumberFormat="1" applyFont="1" applyFill="1" applyBorder="1" applyAlignment="1">
      <alignment horizontal="right" shrinkToFit="1"/>
    </xf>
    <xf numFmtId="164" fontId="0" fillId="0" borderId="0" xfId="0" applyNumberFormat="1" applyFill="1" applyBorder="1" applyAlignment="1">
      <alignment horizontal="right"/>
    </xf>
    <xf numFmtId="164" fontId="6" fillId="0" borderId="4" xfId="1" applyNumberFormat="1" applyFont="1" applyFill="1" applyBorder="1" applyAlignment="1">
      <alignment horizontal="right" wrapText="1"/>
    </xf>
    <xf numFmtId="168" fontId="7" fillId="0" borderId="4" xfId="1" applyNumberFormat="1" applyFont="1" applyFill="1" applyBorder="1" applyAlignment="1">
      <alignment horizontal="right" shrinkToFit="1"/>
    </xf>
    <xf numFmtId="168" fontId="7" fillId="0" borderId="4" xfId="0" applyNumberFormat="1" applyFont="1" applyFill="1" applyBorder="1" applyAlignment="1">
      <alignment horizontal="right" shrinkToFit="1"/>
    </xf>
    <xf numFmtId="168" fontId="7" fillId="0" borderId="0" xfId="0" applyNumberFormat="1" applyFont="1" applyFill="1" applyBorder="1" applyAlignment="1">
      <alignment horizontal="right"/>
    </xf>
    <xf numFmtId="179" fontId="8" fillId="0" borderId="4" xfId="0" applyNumberFormat="1" applyFont="1" applyFill="1" applyBorder="1" applyAlignment="1">
      <alignment horizontal="right" shrinkToFit="1"/>
    </xf>
    <xf numFmtId="179" fontId="7" fillId="0" borderId="0" xfId="1" applyNumberFormat="1" applyFont="1" applyFill="1" applyBorder="1" applyAlignment="1">
      <alignment horizontal="right"/>
    </xf>
    <xf numFmtId="179" fontId="7" fillId="0" borderId="4" xfId="1" applyNumberFormat="1" applyFont="1" applyFill="1" applyBorder="1" applyAlignment="1">
      <alignment horizontal="right" shrinkToFit="1"/>
    </xf>
    <xf numFmtId="179" fontId="6" fillId="0" borderId="4" xfId="1" applyNumberFormat="1" applyFont="1" applyFill="1" applyBorder="1" applyAlignment="1">
      <alignment horizontal="right" wrapText="1"/>
    </xf>
    <xf numFmtId="164" fontId="0" fillId="0" borderId="0" xfId="1" applyNumberFormat="1" applyFont="1" applyFill="1" applyBorder="1" applyAlignment="1">
      <alignment horizontal="right"/>
    </xf>
    <xf numFmtId="180" fontId="7" fillId="0" borderId="4" xfId="0" applyNumberFormat="1" applyFont="1" applyFill="1" applyBorder="1" applyAlignment="1">
      <alignment horizontal="right" shrinkToFit="1"/>
    </xf>
    <xf numFmtId="180" fontId="8" fillId="0" borderId="4" xfId="0" applyNumberFormat="1" applyFont="1" applyFill="1" applyBorder="1" applyAlignment="1">
      <alignment horizontal="right" shrinkToFit="1"/>
    </xf>
    <xf numFmtId="164" fontId="8" fillId="0" borderId="4" xfId="0" applyNumberFormat="1" applyFont="1" applyFill="1" applyBorder="1" applyAlignment="1">
      <alignment horizontal="right" wrapText="1"/>
    </xf>
    <xf numFmtId="164" fontId="8" fillId="0" borderId="9" xfId="0" applyNumberFormat="1" applyFont="1" applyFill="1" applyBorder="1" applyAlignment="1">
      <alignment horizontal="right"/>
    </xf>
    <xf numFmtId="164" fontId="7" fillId="0" borderId="6" xfId="0" applyNumberFormat="1" applyFont="1" applyFill="1" applyBorder="1" applyAlignment="1">
      <alignment horizontal="right" shrinkToFit="1"/>
    </xf>
    <xf numFmtId="164" fontId="8" fillId="0" borderId="0" xfId="0" applyNumberFormat="1" applyFont="1" applyFill="1" applyBorder="1" applyAlignment="1">
      <alignment horizontal="right"/>
    </xf>
    <xf numFmtId="164" fontId="8" fillId="0" borderId="5" xfId="0" applyNumberFormat="1" applyFont="1" applyFill="1" applyBorder="1" applyAlignment="1">
      <alignment horizontal="right"/>
    </xf>
    <xf numFmtId="164" fontId="8" fillId="0" borderId="31" xfId="0" applyNumberFormat="1" applyFont="1" applyFill="1" applyBorder="1" applyAlignment="1">
      <alignment horizontal="right"/>
    </xf>
    <xf numFmtId="175" fontId="8" fillId="0" borderId="0" xfId="4" applyNumberFormat="1" applyFont="1" applyFill="1" applyBorder="1" applyAlignment="1">
      <alignment horizontal="right" wrapText="1"/>
    </xf>
    <xf numFmtId="180" fontId="7" fillId="0" borderId="6" xfId="0" applyNumberFormat="1" applyFont="1" applyFill="1" applyBorder="1" applyAlignment="1">
      <alignment horizontal="right"/>
    </xf>
    <xf numFmtId="164" fontId="43" fillId="0" borderId="0" xfId="0" applyNumberFormat="1" applyFont="1" applyFill="1" applyBorder="1" applyAlignment="1">
      <alignment horizontal="right"/>
    </xf>
    <xf numFmtId="166" fontId="7" fillId="0" borderId="0" xfId="0" applyNumberFormat="1" applyFont="1" applyFill="1" applyBorder="1" applyAlignment="1">
      <alignment horizontal="right"/>
    </xf>
    <xf numFmtId="180" fontId="7" fillId="0" borderId="0" xfId="0" applyNumberFormat="1" applyFont="1" applyFill="1" applyBorder="1" applyAlignment="1">
      <alignment horizontal="right"/>
    </xf>
    <xf numFmtId="180" fontId="8" fillId="0" borderId="0" xfId="0" applyNumberFormat="1" applyFont="1" applyFill="1" applyBorder="1" applyAlignment="1">
      <alignment horizontal="right"/>
    </xf>
    <xf numFmtId="164" fontId="8" fillId="0" borderId="0" xfId="1" applyNumberFormat="1" applyFont="1" applyFill="1" applyBorder="1" applyAlignment="1">
      <alignment horizontal="right"/>
    </xf>
    <xf numFmtId="164" fontId="7" fillId="0" borderId="30" xfId="0" applyNumberFormat="1" applyFont="1" applyFill="1" applyBorder="1" applyAlignment="1">
      <alignment horizontal="right"/>
    </xf>
    <xf numFmtId="180" fontId="7" fillId="0" borderId="30" xfId="0" applyNumberFormat="1" applyFont="1" applyFill="1" applyBorder="1" applyAlignment="1">
      <alignment horizontal="right"/>
    </xf>
    <xf numFmtId="179" fontId="7" fillId="0" borderId="0" xfId="0" applyNumberFormat="1" applyFont="1" applyFill="1" applyBorder="1" applyAlignment="1">
      <alignment horizontal="right"/>
    </xf>
    <xf numFmtId="164" fontId="7" fillId="0" borderId="21" xfId="0" applyNumberFormat="1" applyFont="1" applyFill="1" applyBorder="1" applyAlignment="1">
      <alignment horizontal="right"/>
    </xf>
    <xf numFmtId="164" fontId="7" fillId="0" borderId="19" xfId="0" applyNumberFormat="1" applyFont="1" applyFill="1" applyBorder="1" applyAlignment="1">
      <alignment horizontal="right"/>
    </xf>
    <xf numFmtId="164" fontId="7" fillId="0" borderId="0" xfId="0" applyNumberFormat="1" applyFont="1" applyFill="1" applyBorder="1" applyAlignment="1">
      <alignment horizontal="left" vertical="top"/>
    </xf>
    <xf numFmtId="175" fontId="8" fillId="0" borderId="0" xfId="0" applyNumberFormat="1" applyFont="1" applyFill="1" applyBorder="1" applyAlignment="1">
      <alignment horizontal="right"/>
    </xf>
    <xf numFmtId="175" fontId="7" fillId="0" borderId="0" xfId="0" applyNumberFormat="1" applyFont="1" applyFill="1" applyBorder="1" applyAlignment="1">
      <alignment horizontal="left" vertical="top"/>
    </xf>
    <xf numFmtId="181" fontId="7" fillId="0" borderId="0" xfId="0" applyNumberFormat="1" applyFont="1" applyFill="1" applyBorder="1" applyAlignment="1">
      <alignment horizontal="right"/>
    </xf>
    <xf numFmtId="181" fontId="8" fillId="0" borderId="0" xfId="0" applyNumberFormat="1" applyFont="1" applyFill="1" applyBorder="1" applyAlignment="1">
      <alignment horizontal="right"/>
    </xf>
    <xf numFmtId="166" fontId="7" fillId="0" borderId="30" xfId="0" applyNumberFormat="1" applyFont="1" applyFill="1" applyBorder="1" applyAlignment="1">
      <alignment horizontal="right"/>
    </xf>
    <xf numFmtId="179" fontId="7" fillId="0" borderId="30" xfId="0" applyNumberFormat="1" applyFont="1" applyFill="1" applyBorder="1" applyAlignment="1">
      <alignment horizontal="right"/>
    </xf>
    <xf numFmtId="166" fontId="8" fillId="0" borderId="0" xfId="0" applyNumberFormat="1" applyFont="1" applyFill="1" applyBorder="1" applyAlignment="1">
      <alignment horizontal="right"/>
    </xf>
    <xf numFmtId="166" fontId="7" fillId="0" borderId="19" xfId="0" applyNumberFormat="1" applyFont="1" applyFill="1" applyBorder="1" applyAlignment="1">
      <alignment horizontal="right"/>
    </xf>
    <xf numFmtId="175" fontId="7" fillId="0" borderId="19" xfId="4" applyNumberFormat="1" applyFont="1" applyFill="1" applyBorder="1" applyAlignment="1">
      <alignment horizontal="right"/>
    </xf>
    <xf numFmtId="164" fontId="7" fillId="0" borderId="0" xfId="4" applyNumberFormat="1" applyFont="1" applyFill="1" applyBorder="1" applyAlignment="1">
      <alignment horizontal="right"/>
    </xf>
    <xf numFmtId="170" fontId="7" fillId="0" borderId="0" xfId="4" applyNumberFormat="1" applyFont="1" applyFill="1" applyBorder="1" applyAlignment="1">
      <alignment horizontal="right"/>
    </xf>
    <xf numFmtId="175" fontId="7" fillId="0" borderId="0" xfId="4" applyNumberFormat="1" applyFont="1"/>
    <xf numFmtId="175" fontId="4" fillId="3" borderId="0" xfId="4" applyNumberFormat="1" applyFont="1" applyFill="1"/>
    <xf numFmtId="182" fontId="11" fillId="0" borderId="0" xfId="0" applyNumberFormat="1" applyFont="1" applyAlignment="1">
      <alignment horizontal="right"/>
    </xf>
    <xf numFmtId="182" fontId="4" fillId="3" borderId="0" xfId="4" applyNumberFormat="1" applyFont="1" applyFill="1" applyAlignment="1">
      <alignment horizontal="right"/>
    </xf>
    <xf numFmtId="182" fontId="11" fillId="0" borderId="0" xfId="0" applyNumberFormat="1" applyFont="1"/>
    <xf numFmtId="164" fontId="4" fillId="0" borderId="18" xfId="0" applyNumberFormat="1" applyFont="1" applyBorder="1"/>
    <xf numFmtId="164" fontId="6" fillId="0" borderId="0" xfId="0" applyNumberFormat="1" applyFont="1"/>
    <xf numFmtId="164" fontId="6" fillId="3" borderId="0" xfId="0" applyNumberFormat="1" applyFont="1" applyFill="1" applyAlignment="1">
      <alignment horizontal="right" indent="1"/>
    </xf>
    <xf numFmtId="180" fontId="6" fillId="3" borderId="0" xfId="0" applyNumberFormat="1" applyFont="1" applyFill="1" applyAlignment="1">
      <alignment horizontal="right" indent="1"/>
    </xf>
    <xf numFmtId="164" fontId="7" fillId="0" borderId="0" xfId="0" applyNumberFormat="1" applyFont="1"/>
    <xf numFmtId="164" fontId="7" fillId="0" borderId="19" xfId="0" applyNumberFormat="1" applyFont="1" applyBorder="1"/>
    <xf numFmtId="164" fontId="6" fillId="3" borderId="0" xfId="0" applyNumberFormat="1" applyFont="1" applyFill="1"/>
    <xf numFmtId="175" fontId="7" fillId="0" borderId="19" xfId="4" applyNumberFormat="1" applyFont="1" applyBorder="1"/>
    <xf numFmtId="175" fontId="8" fillId="0" borderId="0" xfId="0" applyNumberFormat="1" applyFont="1"/>
    <xf numFmtId="183" fontId="7" fillId="3" borderId="0" xfId="0" applyNumberFormat="1" applyFont="1" applyFill="1"/>
    <xf numFmtId="164" fontId="7" fillId="0" borderId="0" xfId="0" applyNumberFormat="1" applyFont="1" applyAlignment="1"/>
    <xf numFmtId="164" fontId="4" fillId="0" borderId="18" xfId="0" applyNumberFormat="1" applyFont="1" applyBorder="1" applyAlignment="1"/>
    <xf numFmtId="164" fontId="6" fillId="0" borderId="0" xfId="0" applyNumberFormat="1" applyFont="1" applyAlignment="1"/>
    <xf numFmtId="164" fontId="6" fillId="3" borderId="0" xfId="0" applyNumberFormat="1" applyFont="1" applyFill="1" applyAlignment="1">
      <alignment horizontal="right"/>
    </xf>
    <xf numFmtId="164" fontId="7" fillId="3" borderId="0" xfId="0" applyNumberFormat="1" applyFont="1" applyFill="1"/>
    <xf numFmtId="175" fontId="7" fillId="0" borderId="0" xfId="0" applyNumberFormat="1" applyFont="1"/>
    <xf numFmtId="175" fontId="6" fillId="0" borderId="0" xfId="4" applyNumberFormat="1" applyFont="1"/>
    <xf numFmtId="175" fontId="4" fillId="0" borderId="18" xfId="0" applyNumberFormat="1" applyFont="1" applyBorder="1"/>
    <xf numFmtId="175" fontId="6" fillId="0" borderId="0" xfId="0" applyNumberFormat="1" applyFont="1"/>
    <xf numFmtId="175" fontId="7" fillId="3" borderId="0" xfId="0" applyNumberFormat="1" applyFont="1" applyFill="1"/>
    <xf numFmtId="175" fontId="6" fillId="3" borderId="0" xfId="0" applyNumberFormat="1" applyFont="1" applyFill="1" applyAlignment="1">
      <alignment horizontal="right"/>
    </xf>
    <xf numFmtId="164" fontId="13" fillId="3" borderId="0" xfId="0" applyNumberFormat="1" applyFont="1" applyFill="1" applyAlignment="1">
      <alignment horizontal="right"/>
    </xf>
    <xf numFmtId="179" fontId="7" fillId="0" borderId="0" xfId="0" applyNumberFormat="1" applyFont="1" applyFill="1" applyAlignment="1">
      <alignment vertical="center"/>
    </xf>
    <xf numFmtId="180" fontId="7" fillId="0" borderId="0" xfId="0" applyNumberFormat="1" applyFont="1" applyFill="1" applyAlignment="1">
      <alignment vertical="center"/>
    </xf>
    <xf numFmtId="168" fontId="7" fillId="0" borderId="0" xfId="0" applyNumberFormat="1" applyFont="1" applyFill="1" applyAlignment="1">
      <alignment vertical="center"/>
    </xf>
    <xf numFmtId="164" fontId="13" fillId="3" borderId="0" xfId="0" applyNumberFormat="1" applyFont="1" applyFill="1" applyAlignment="1">
      <alignment vertical="center"/>
    </xf>
    <xf numFmtId="180" fontId="7" fillId="0" borderId="19" xfId="0" applyNumberFormat="1" applyFont="1" applyFill="1" applyBorder="1" applyAlignment="1">
      <alignment horizontal="right"/>
    </xf>
    <xf numFmtId="180" fontId="7" fillId="0" borderId="0" xfId="0" applyNumberFormat="1" applyFont="1" applyFill="1" applyBorder="1" applyAlignment="1">
      <alignment horizontal="left" vertical="top"/>
    </xf>
    <xf numFmtId="180" fontId="7" fillId="0" borderId="19" xfId="0" applyNumberFormat="1" applyFont="1" applyFill="1" applyBorder="1" applyAlignment="1">
      <alignment horizontal="left" vertical="top"/>
    </xf>
    <xf numFmtId="184" fontId="7" fillId="0" borderId="0" xfId="0" applyNumberFormat="1" applyFont="1" applyFill="1" applyBorder="1" applyAlignment="1">
      <alignment horizontal="right"/>
    </xf>
    <xf numFmtId="184" fontId="7" fillId="0" borderId="19" xfId="0" applyNumberFormat="1" applyFont="1" applyFill="1" applyBorder="1" applyAlignment="1">
      <alignment horizontal="right"/>
    </xf>
    <xf numFmtId="164" fontId="7" fillId="3" borderId="0" xfId="0" applyNumberFormat="1" applyFont="1" applyFill="1" applyBorder="1" applyAlignment="1">
      <alignment horizontal="right"/>
    </xf>
    <xf numFmtId="164" fontId="7" fillId="0" borderId="0" xfId="0" applyNumberFormat="1" applyFont="1" applyFill="1" applyAlignment="1">
      <alignment vertical="center"/>
    </xf>
    <xf numFmtId="185" fontId="13" fillId="3" borderId="0" xfId="0" applyNumberFormat="1" applyFont="1" applyFill="1" applyAlignment="1">
      <alignment vertical="center"/>
    </xf>
    <xf numFmtId="175" fontId="48" fillId="0" borderId="0" xfId="4" applyNumberFormat="1" applyFont="1" applyFill="1" applyBorder="1"/>
    <xf numFmtId="175" fontId="45" fillId="0" borderId="0" xfId="8" applyNumberFormat="1" applyFont="1"/>
    <xf numFmtId="175" fontId="48" fillId="0" borderId="0" xfId="8" applyNumberFormat="1" applyFont="1"/>
    <xf numFmtId="182" fontId="48" fillId="0" borderId="0" xfId="4" applyNumberFormat="1" applyFont="1" applyFill="1" applyBorder="1"/>
    <xf numFmtId="164" fontId="43" fillId="0" borderId="0" xfId="0" applyNumberFormat="1" applyFont="1" applyAlignment="1">
      <alignment horizontal="right" wrapText="1"/>
    </xf>
    <xf numFmtId="164" fontId="7" fillId="0" borderId="0" xfId="0" applyNumberFormat="1" applyFont="1" applyFill="1" applyBorder="1" applyAlignment="1">
      <alignment horizontal="right" shrinkToFit="1"/>
    </xf>
    <xf numFmtId="164" fontId="7" fillId="8" borderId="0" xfId="0" applyNumberFormat="1" applyFont="1" applyFill="1" applyBorder="1" applyAlignment="1">
      <alignment horizontal="right"/>
    </xf>
    <xf numFmtId="0" fontId="28" fillId="0" borderId="0" xfId="0" applyFont="1" applyAlignment="1">
      <alignment horizontal="center" vertical="top"/>
    </xf>
    <xf numFmtId="0" fontId="7" fillId="0" borderId="0" xfId="0" applyFont="1" applyAlignment="1">
      <alignment horizontal="center" vertical="center"/>
    </xf>
    <xf numFmtId="9" fontId="7" fillId="0" borderId="0" xfId="9" applyFont="1" applyFill="1" applyBorder="1" applyAlignment="1">
      <alignment horizontal="right"/>
    </xf>
    <xf numFmtId="0" fontId="7" fillId="0" borderId="0" xfId="0" applyFont="1" applyAlignment="1">
      <alignment horizontal="right"/>
    </xf>
    <xf numFmtId="10" fontId="7" fillId="0" borderId="0" xfId="9" applyNumberFormat="1" applyFont="1" applyFill="1" applyBorder="1" applyAlignment="1">
      <alignment horizontal="right"/>
    </xf>
    <xf numFmtId="10" fontId="7" fillId="0" borderId="0" xfId="0" applyNumberFormat="1" applyFont="1" applyAlignment="1">
      <alignment horizontal="right"/>
    </xf>
    <xf numFmtId="0" fontId="28" fillId="0" borderId="0" xfId="0" applyFont="1" applyAlignment="1">
      <alignment horizontal="center" vertical="center"/>
    </xf>
    <xf numFmtId="0" fontId="39" fillId="0" borderId="0" xfId="0" applyFont="1" applyAlignment="1">
      <alignment horizontal="center" vertical="top"/>
    </xf>
    <xf numFmtId="0" fontId="7" fillId="0" borderId="0" xfId="0" applyFont="1" applyAlignment="1">
      <alignment horizontal="center" vertical="top"/>
    </xf>
    <xf numFmtId="175" fontId="7" fillId="0" borderId="0" xfId="9" applyNumberFormat="1" applyFont="1" applyFill="1" applyBorder="1" applyAlignment="1">
      <alignment horizontal="right"/>
    </xf>
    <xf numFmtId="175" fontId="7" fillId="0" borderId="0" xfId="0" applyNumberFormat="1" applyFont="1" applyAlignment="1">
      <alignment horizontal="right"/>
    </xf>
    <xf numFmtId="0" fontId="28" fillId="0" borderId="0" xfId="0" applyFont="1" applyFill="1" applyAlignment="1">
      <alignment horizontal="left"/>
    </xf>
    <xf numFmtId="0" fontId="30" fillId="0" borderId="0" xfId="0" applyFont="1" applyFill="1" applyAlignment="1">
      <alignment horizontal="right"/>
    </xf>
    <xf numFmtId="175" fontId="7" fillId="0" borderId="0" xfId="4" applyNumberFormat="1" applyFont="1" applyAlignment="1">
      <alignment horizontal="right"/>
    </xf>
    <xf numFmtId="164" fontId="7" fillId="0" borderId="0" xfId="0" applyNumberFormat="1" applyFont="1" applyAlignment="1">
      <alignment horizontal="right"/>
    </xf>
    <xf numFmtId="2" fontId="45" fillId="0" borderId="0" xfId="8" applyNumberFormat="1" applyFont="1"/>
    <xf numFmtId="164" fontId="7" fillId="0" borderId="0" xfId="4" applyNumberFormat="1" applyFont="1" applyAlignment="1">
      <alignment horizontal="right"/>
    </xf>
    <xf numFmtId="164" fontId="8" fillId="0" borderId="0" xfId="0" applyNumberFormat="1" applyFont="1" applyFill="1" applyBorder="1" applyAlignment="1">
      <alignment horizontal="right" wrapText="1"/>
    </xf>
    <xf numFmtId="178" fontId="7" fillId="0" borderId="19" xfId="0" applyNumberFormat="1" applyFont="1" applyFill="1" applyBorder="1" applyAlignment="1">
      <alignment horizontal="right"/>
    </xf>
    <xf numFmtId="175" fontId="6" fillId="0" borderId="0" xfId="4" applyNumberFormat="1" applyFont="1" applyFill="1" applyBorder="1" applyAlignment="1">
      <alignment horizontal="right"/>
    </xf>
    <xf numFmtId="40" fontId="7" fillId="0" borderId="0" xfId="0" applyNumberFormat="1" applyFont="1" applyAlignment="1">
      <alignment horizontal="left" wrapText="1"/>
    </xf>
    <xf numFmtId="175" fontId="7" fillId="0" borderId="0" xfId="4" applyNumberFormat="1" applyFont="1" applyFill="1" applyBorder="1" applyAlignment="1">
      <alignment horizontal="left"/>
    </xf>
    <xf numFmtId="0" fontId="17" fillId="0" borderId="19" xfId="0" applyFont="1" applyFill="1" applyBorder="1" applyAlignment="1">
      <alignment wrapText="1"/>
    </xf>
    <xf numFmtId="0" fontId="52" fillId="0" borderId="0" xfId="0" applyFont="1" applyFill="1" applyBorder="1" applyAlignment="1">
      <alignment horizontal="left"/>
    </xf>
    <xf numFmtId="175" fontId="52" fillId="0" borderId="0" xfId="4" applyNumberFormat="1" applyFont="1" applyFill="1" applyBorder="1" applyAlignment="1">
      <alignment horizontal="right"/>
    </xf>
    <xf numFmtId="1" fontId="52" fillId="0" borderId="0" xfId="0" applyNumberFormat="1" applyFont="1" applyFill="1" applyBorder="1" applyAlignment="1">
      <alignment horizontal="right"/>
    </xf>
    <xf numFmtId="168" fontId="7" fillId="0" borderId="19" xfId="0" applyNumberFormat="1" applyFont="1" applyFill="1" applyBorder="1" applyAlignment="1">
      <alignment horizontal="right"/>
    </xf>
    <xf numFmtId="164" fontId="7" fillId="0" borderId="19" xfId="0" applyNumberFormat="1" applyFont="1" applyFill="1" applyBorder="1" applyAlignment="1">
      <alignment horizontal="left" vertical="top"/>
    </xf>
    <xf numFmtId="164" fontId="0" fillId="0" borderId="0" xfId="0" applyNumberFormat="1" applyFill="1"/>
    <xf numFmtId="164" fontId="6" fillId="0" borderId="0" xfId="0" applyNumberFormat="1" applyFont="1" applyFill="1" applyAlignment="1">
      <alignment horizontal="right" indent="1"/>
    </xf>
    <xf numFmtId="164" fontId="54" fillId="0" borderId="34" xfId="10" applyNumberFormat="1" applyFont="1" applyFill="1" applyBorder="1" applyAlignment="1">
      <alignment horizontal="right" vertical="center"/>
    </xf>
    <xf numFmtId="175" fontId="4" fillId="0" borderId="0" xfId="4" applyNumberFormat="1" applyFont="1" applyBorder="1" applyAlignment="1">
      <alignment horizontal="right" vertical="center" indent="1"/>
    </xf>
    <xf numFmtId="175" fontId="11" fillId="0" borderId="0" xfId="4" applyNumberFormat="1" applyFont="1" applyFill="1" applyBorder="1"/>
    <xf numFmtId="0" fontId="7" fillId="0" borderId="0" xfId="0" applyFont="1" applyFill="1" applyBorder="1"/>
    <xf numFmtId="175" fontId="7" fillId="0" borderId="0" xfId="4" applyNumberFormat="1" applyFont="1" applyFill="1" applyBorder="1"/>
    <xf numFmtId="182" fontId="4" fillId="0" borderId="0" xfId="0" applyNumberFormat="1" applyFont="1" applyBorder="1" applyAlignment="1">
      <alignment horizontal="right"/>
    </xf>
    <xf numFmtId="0" fontId="6" fillId="0" borderId="0" xfId="0" applyFont="1" applyAlignment="1">
      <alignment horizontal="left"/>
    </xf>
    <xf numFmtId="0" fontId="4" fillId="0" borderId="18" xfId="0" applyFont="1" applyBorder="1" applyAlignment="1">
      <alignment horizontal="left"/>
    </xf>
    <xf numFmtId="0" fontId="4" fillId="0" borderId="0" xfId="0" applyFont="1" applyAlignment="1">
      <alignment horizontal="left"/>
    </xf>
    <xf numFmtId="0" fontId="6" fillId="0" borderId="19" xfId="0" applyFont="1" applyBorder="1" applyAlignment="1">
      <alignment horizontal="left"/>
    </xf>
    <xf numFmtId="0" fontId="0" fillId="0" borderId="0" xfId="0" applyAlignment="1">
      <alignment horizontal="left"/>
    </xf>
    <xf numFmtId="0" fontId="4" fillId="0" borderId="0" xfId="0" applyFont="1" applyBorder="1" applyAlignment="1">
      <alignment horizontal="left"/>
    </xf>
    <xf numFmtId="0" fontId="11" fillId="0" borderId="0" xfId="0" applyFont="1" applyAlignment="1">
      <alignment horizontal="left"/>
    </xf>
    <xf numFmtId="0" fontId="4" fillId="3" borderId="0" xfId="0" applyFont="1" applyFill="1" applyAlignment="1">
      <alignment horizontal="left"/>
    </xf>
    <xf numFmtId="0" fontId="4" fillId="0" borderId="0" xfId="0" applyFont="1" applyAlignment="1">
      <alignment horizontal="left" wrapText="1"/>
    </xf>
    <xf numFmtId="0" fontId="8" fillId="12" borderId="0" xfId="0" applyFont="1" applyFill="1" applyAlignment="1">
      <alignment horizontal="center"/>
    </xf>
    <xf numFmtId="0" fontId="6" fillId="0" borderId="0" xfId="0" applyFont="1" applyBorder="1" applyAlignment="1">
      <alignment horizontal="left"/>
    </xf>
    <xf numFmtId="182" fontId="6" fillId="0" borderId="0" xfId="4" applyNumberFormat="1" applyFont="1" applyAlignment="1">
      <alignment horizontal="right"/>
    </xf>
    <xf numFmtId="182" fontId="6" fillId="0" borderId="19" xfId="4" applyNumberFormat="1" applyFont="1" applyBorder="1" applyAlignment="1">
      <alignment horizontal="right"/>
    </xf>
    <xf numFmtId="182" fontId="0" fillId="0" borderId="0" xfId="0" applyNumberFormat="1" applyAlignment="1">
      <alignment horizontal="right"/>
    </xf>
    <xf numFmtId="182" fontId="4" fillId="0" borderId="0" xfId="0" applyNumberFormat="1" applyFont="1" applyAlignment="1">
      <alignment horizontal="right"/>
    </xf>
    <xf numFmtId="0" fontId="56" fillId="9" borderId="32" xfId="0" applyFont="1" applyFill="1" applyBorder="1" applyAlignment="1">
      <alignment horizontal="right" vertical="top"/>
    </xf>
    <xf numFmtId="0" fontId="7" fillId="0" borderId="0" xfId="0" applyFont="1" applyFill="1" applyBorder="1" applyAlignment="1">
      <alignment vertical="top"/>
    </xf>
    <xf numFmtId="0" fontId="57" fillId="0" borderId="0" xfId="0" applyFont="1" applyFill="1" applyBorder="1" applyAlignment="1">
      <alignment vertical="top" wrapText="1"/>
    </xf>
    <xf numFmtId="0" fontId="7" fillId="0" borderId="28" xfId="0" applyFont="1" applyFill="1" applyBorder="1" applyAlignment="1">
      <alignment vertical="top"/>
    </xf>
    <xf numFmtId="175" fontId="7" fillId="0" borderId="0" xfId="0" applyNumberFormat="1" applyFont="1" applyFill="1" applyBorder="1" applyAlignment="1">
      <alignment vertical="top"/>
    </xf>
    <xf numFmtId="175" fontId="7" fillId="11" borderId="0" xfId="0" applyNumberFormat="1" applyFont="1" applyFill="1" applyBorder="1" applyAlignment="1">
      <alignment vertical="top"/>
    </xf>
    <xf numFmtId="164" fontId="7" fillId="0" borderId="0" xfId="0" applyNumberFormat="1" applyFont="1" applyFill="1" applyBorder="1" applyAlignment="1">
      <alignment vertical="top"/>
    </xf>
    <xf numFmtId="164" fontId="7" fillId="0" borderId="21" xfId="0" applyNumberFormat="1" applyFont="1" applyFill="1" applyBorder="1" applyAlignment="1">
      <alignment vertical="top"/>
    </xf>
    <xf numFmtId="182" fontId="6" fillId="0" borderId="0" xfId="0" applyNumberFormat="1" applyFont="1" applyAlignment="1">
      <alignment horizontal="right"/>
    </xf>
    <xf numFmtId="182" fontId="4" fillId="0" borderId="18" xfId="0" applyNumberFormat="1" applyFont="1" applyBorder="1" applyAlignment="1">
      <alignment horizontal="right"/>
    </xf>
    <xf numFmtId="0" fontId="0" fillId="0" borderId="0" xfId="0" applyAlignment="1">
      <alignment horizontal="right"/>
    </xf>
    <xf numFmtId="182" fontId="6" fillId="0" borderId="19" xfId="0" applyNumberFormat="1" applyFont="1" applyBorder="1" applyAlignment="1">
      <alignment horizontal="right"/>
    </xf>
    <xf numFmtId="0" fontId="43" fillId="0" borderId="0" xfId="0" applyFont="1" applyFill="1" applyBorder="1" applyAlignment="1">
      <alignment horizontal="left" wrapText="1"/>
    </xf>
    <xf numFmtId="0" fontId="43" fillId="0" borderId="19" xfId="0" applyFont="1" applyFill="1" applyBorder="1" applyAlignment="1">
      <alignment horizontal="left" wrapText="1"/>
    </xf>
    <xf numFmtId="186" fontId="7" fillId="0" borderId="0" xfId="0" applyNumberFormat="1" applyFont="1" applyFill="1" applyBorder="1" applyAlignment="1">
      <alignment horizontal="left"/>
    </xf>
    <xf numFmtId="175" fontId="6" fillId="0" borderId="0" xfId="4" applyNumberFormat="1" applyFont="1" applyFill="1" applyBorder="1" applyAlignment="1">
      <alignment horizontal="left" wrapText="1"/>
    </xf>
    <xf numFmtId="0" fontId="10" fillId="0" borderId="4" xfId="0" applyFont="1" applyFill="1" applyBorder="1" applyAlignment="1">
      <alignment horizontal="left" wrapText="1"/>
    </xf>
    <xf numFmtId="0" fontId="12" fillId="0" borderId="0" xfId="0" applyFont="1" applyFill="1" applyBorder="1" applyAlignment="1">
      <alignment horizontal="left" vertical="top"/>
    </xf>
    <xf numFmtId="0" fontId="28" fillId="0" borderId="0" xfId="0" applyFont="1" applyFill="1" applyBorder="1" applyAlignment="1">
      <alignment horizontal="center" vertical="center"/>
    </xf>
    <xf numFmtId="187" fontId="6" fillId="0" borderId="0" xfId="4" applyNumberFormat="1" applyFont="1" applyFill="1" applyBorder="1" applyAlignment="1">
      <alignment horizontal="right" wrapText="1"/>
    </xf>
    <xf numFmtId="175" fontId="6" fillId="0" borderId="0" xfId="4" applyNumberFormat="1" applyFont="1" applyFill="1" applyBorder="1" applyAlignment="1">
      <alignment horizontal="right" wrapText="1"/>
    </xf>
    <xf numFmtId="180" fontId="8" fillId="0" borderId="19" xfId="0" applyNumberFormat="1" applyFont="1" applyFill="1" applyBorder="1" applyAlignment="1">
      <alignment horizontal="right"/>
    </xf>
    <xf numFmtId="179" fontId="8" fillId="0" borderId="0" xfId="0" applyNumberFormat="1" applyFont="1" applyFill="1" applyBorder="1" applyAlignment="1">
      <alignment horizontal="right"/>
    </xf>
    <xf numFmtId="164" fontId="7" fillId="0" borderId="18" xfId="0" applyNumberFormat="1" applyFont="1" applyFill="1" applyBorder="1" applyAlignment="1">
      <alignment horizontal="right"/>
    </xf>
    <xf numFmtId="164" fontId="4" fillId="0" borderId="0" xfId="4" applyNumberFormat="1" applyFont="1" applyFill="1" applyBorder="1" applyAlignment="1">
      <alignment horizontal="right"/>
    </xf>
    <xf numFmtId="182" fontId="6" fillId="0" borderId="0" xfId="4" applyNumberFormat="1" applyFont="1" applyFill="1" applyBorder="1" applyAlignment="1">
      <alignment horizontal="right" wrapText="1"/>
    </xf>
    <xf numFmtId="0" fontId="4" fillId="12" borderId="0" xfId="0" applyFont="1" applyFill="1" applyBorder="1" applyAlignment="1">
      <alignment horizontal="left" wrapText="1"/>
    </xf>
    <xf numFmtId="0" fontId="8" fillId="12" borderId="0" xfId="0" applyFont="1" applyFill="1" applyBorder="1" applyAlignment="1">
      <alignment horizontal="left" wrapText="1"/>
    </xf>
    <xf numFmtId="0" fontId="7" fillId="0" borderId="0" xfId="0" applyFont="1" applyFill="1" applyBorder="1" applyAlignment="1"/>
    <xf numFmtId="0" fontId="28" fillId="13" borderId="0" xfId="0" applyFont="1" applyFill="1" applyBorder="1" applyAlignment="1">
      <alignment horizontal="center" vertical="center" wrapText="1"/>
    </xf>
    <xf numFmtId="0" fontId="28" fillId="13" borderId="0" xfId="0" applyFont="1" applyFill="1" applyBorder="1" applyAlignment="1">
      <alignment horizontal="center" vertical="center"/>
    </xf>
    <xf numFmtId="0" fontId="35" fillId="13" borderId="18" xfId="0" applyFont="1" applyFill="1" applyBorder="1" applyAlignment="1">
      <alignment horizontal="center" vertical="center" wrapText="1"/>
    </xf>
    <xf numFmtId="0" fontId="34" fillId="13" borderId="18" xfId="0" applyFont="1" applyFill="1" applyBorder="1" applyAlignment="1">
      <alignment horizontal="center" vertical="center" wrapText="1"/>
    </xf>
    <xf numFmtId="0" fontId="34" fillId="13" borderId="35" xfId="0" applyFont="1" applyFill="1" applyBorder="1" applyAlignment="1">
      <alignment horizontal="center" vertical="center" wrapText="1"/>
    </xf>
    <xf numFmtId="0" fontId="28" fillId="13" borderId="18" xfId="0" applyFont="1" applyFill="1" applyBorder="1" applyAlignment="1">
      <alignment horizontal="center" vertical="center" wrapText="1"/>
    </xf>
    <xf numFmtId="0" fontId="28" fillId="13" borderId="35" xfId="0" applyFont="1" applyFill="1" applyBorder="1" applyAlignment="1">
      <alignment horizontal="center" vertical="center" wrapText="1"/>
    </xf>
    <xf numFmtId="0" fontId="28" fillId="13" borderId="18" xfId="0" applyFont="1" applyFill="1" applyBorder="1" applyAlignment="1">
      <alignment horizontal="center" vertical="center"/>
    </xf>
    <xf numFmtId="0" fontId="28" fillId="13" borderId="35" xfId="0" applyFont="1" applyFill="1" applyBorder="1" applyAlignment="1">
      <alignment horizontal="center" vertical="center"/>
    </xf>
    <xf numFmtId="0" fontId="7" fillId="13" borderId="0" xfId="0" applyFont="1" applyFill="1" applyBorder="1" applyAlignment="1">
      <alignment horizontal="left" vertical="top"/>
    </xf>
    <xf numFmtId="0" fontId="7" fillId="13" borderId="17" xfId="0" applyFont="1" applyFill="1" applyBorder="1" applyAlignment="1">
      <alignment horizontal="left" vertical="top"/>
    </xf>
    <xf numFmtId="0" fontId="12" fillId="13" borderId="0" xfId="0" applyFont="1" applyFill="1" applyBorder="1" applyAlignment="1">
      <alignment horizontal="left" vertical="top"/>
    </xf>
    <xf numFmtId="0" fontId="28" fillId="13" borderId="0" xfId="0" applyFont="1" applyFill="1" applyBorder="1" applyAlignment="1">
      <alignment horizontal="left" vertical="top" wrapText="1"/>
    </xf>
    <xf numFmtId="0" fontId="28" fillId="13" borderId="0" xfId="0" applyFont="1" applyFill="1" applyBorder="1" applyAlignment="1">
      <alignment horizontal="left" vertical="top"/>
    </xf>
    <xf numFmtId="0" fontId="28" fillId="13" borderId="0" xfId="7" applyFill="1" applyBorder="1" applyAlignment="1">
      <alignment horizontal="center" vertical="center"/>
    </xf>
    <xf numFmtId="0" fontId="28" fillId="13" borderId="0" xfId="0" applyFont="1" applyFill="1" applyBorder="1" applyAlignment="1">
      <alignment horizontal="right" wrapText="1"/>
    </xf>
    <xf numFmtId="0" fontId="7" fillId="13" borderId="0" xfId="0" applyFont="1" applyFill="1" applyBorder="1" applyAlignment="1">
      <alignment horizontal="right"/>
    </xf>
    <xf numFmtId="167" fontId="28" fillId="13" borderId="0" xfId="0" applyNumberFormat="1" applyFont="1" applyFill="1" applyAlignment="1">
      <alignment horizontal="center" vertical="center" wrapText="1"/>
    </xf>
    <xf numFmtId="0" fontId="28" fillId="13" borderId="0" xfId="0" applyFont="1" applyFill="1" applyAlignment="1">
      <alignment horizontal="center" vertical="center" wrapText="1"/>
    </xf>
    <xf numFmtId="0" fontId="28" fillId="13" borderId="0" xfId="0" applyFont="1" applyFill="1" applyAlignment="1">
      <alignment horizontal="center" vertical="center"/>
    </xf>
    <xf numFmtId="0" fontId="28" fillId="13" borderId="0" xfId="0" applyFont="1" applyFill="1" applyAlignment="1">
      <alignment horizontal="left" vertical="center" indent="1"/>
    </xf>
    <xf numFmtId="0" fontId="28" fillId="13" borderId="0" xfId="0" applyFont="1" applyFill="1" applyBorder="1" applyAlignment="1">
      <alignment horizontal="left" vertical="center" indent="1"/>
    </xf>
    <xf numFmtId="0" fontId="33" fillId="13" borderId="0" xfId="0" applyFont="1" applyFill="1"/>
    <xf numFmtId="182" fontId="28" fillId="13" borderId="0" xfId="0" applyNumberFormat="1" applyFont="1" applyFill="1" applyAlignment="1">
      <alignment horizontal="left" vertical="center" indent="1"/>
    </xf>
    <xf numFmtId="167" fontId="28" fillId="13" borderId="0" xfId="0" applyNumberFormat="1" applyFont="1" applyFill="1" applyAlignment="1">
      <alignment horizontal="center" vertical="center"/>
    </xf>
    <xf numFmtId="0" fontId="7" fillId="13" borderId="0" xfId="0" applyFont="1" applyFill="1" applyAlignment="1">
      <alignment horizontal="left" vertical="top"/>
    </xf>
    <xf numFmtId="0" fontId="28" fillId="13" borderId="0" xfId="0" applyFont="1" applyFill="1" applyAlignment="1">
      <alignment horizontal="left"/>
    </xf>
    <xf numFmtId="0" fontId="30" fillId="13" borderId="0" xfId="0" applyFont="1" applyFill="1" applyAlignment="1">
      <alignment horizontal="right"/>
    </xf>
    <xf numFmtId="168" fontId="58" fillId="0" borderId="0" xfId="0" applyNumberFormat="1" applyFont="1" applyAlignment="1">
      <alignment horizontal="center" wrapText="1"/>
    </xf>
    <xf numFmtId="0" fontId="59" fillId="0" borderId="0" xfId="0" applyFont="1" applyFill="1" applyBorder="1" applyAlignment="1">
      <alignment horizontal="left"/>
    </xf>
    <xf numFmtId="164" fontId="59" fillId="0" borderId="0" xfId="0" applyNumberFormat="1" applyFont="1" applyFill="1" applyBorder="1" applyAlignment="1">
      <alignment horizontal="right"/>
    </xf>
    <xf numFmtId="170" fontId="59" fillId="0" borderId="0" xfId="4" applyNumberFormat="1" applyFont="1" applyFill="1" applyBorder="1" applyAlignment="1">
      <alignment horizontal="right"/>
    </xf>
    <xf numFmtId="175" fontId="59" fillId="0" borderId="0" xfId="4" applyNumberFormat="1" applyFont="1" applyFill="1" applyBorder="1" applyAlignment="1">
      <alignment horizontal="right"/>
    </xf>
    <xf numFmtId="1" fontId="59" fillId="0" borderId="0" xfId="0" applyNumberFormat="1" applyFont="1" applyFill="1" applyBorder="1" applyAlignment="1">
      <alignment horizontal="right"/>
    </xf>
    <xf numFmtId="0" fontId="59" fillId="0" borderId="0" xfId="0" applyFont="1" applyFill="1" applyBorder="1" applyAlignment="1">
      <alignment horizontal="left" vertical="top"/>
    </xf>
    <xf numFmtId="1" fontId="60" fillId="0" borderId="0" xfId="0" applyNumberFormat="1" applyFont="1" applyFill="1" applyBorder="1" applyAlignment="1">
      <alignment horizontal="right"/>
    </xf>
    <xf numFmtId="0" fontId="60" fillId="0" borderId="0" xfId="0" applyFont="1" applyFill="1" applyBorder="1" applyAlignment="1">
      <alignment horizontal="left" vertical="top"/>
    </xf>
    <xf numFmtId="182" fontId="59" fillId="0" borderId="0" xfId="4" applyNumberFormat="1" applyFont="1" applyFill="1" applyBorder="1" applyAlignment="1">
      <alignment horizontal="right"/>
    </xf>
    <xf numFmtId="2" fontId="59" fillId="0" borderId="0" xfId="0" applyNumberFormat="1" applyFont="1" applyFill="1" applyBorder="1" applyAlignment="1">
      <alignment horizontal="right"/>
    </xf>
    <xf numFmtId="10" fontId="59" fillId="0" borderId="0" xfId="4" applyNumberFormat="1" applyFont="1" applyFill="1" applyBorder="1" applyAlignment="1">
      <alignment horizontal="right"/>
    </xf>
    <xf numFmtId="0" fontId="8" fillId="0" borderId="0" xfId="0" applyFont="1" applyFill="1" applyBorder="1" applyAlignment="1">
      <alignment horizontal="center" vertical="center"/>
    </xf>
    <xf numFmtId="0" fontId="8" fillId="12" borderId="0" xfId="0" applyFont="1" applyFill="1" applyBorder="1" applyAlignment="1">
      <alignment horizontal="center" vertical="center"/>
    </xf>
    <xf numFmtId="0" fontId="7" fillId="0" borderId="0" xfId="0" applyFont="1" applyFill="1" applyBorder="1" applyAlignment="1">
      <alignment horizontal="left"/>
    </xf>
    <xf numFmtId="0" fontId="7" fillId="0" borderId="0" xfId="0" applyFont="1" applyFill="1" applyBorder="1" applyAlignment="1"/>
    <xf numFmtId="9" fontId="7" fillId="0" borderId="0" xfId="0" applyNumberFormat="1" applyFont="1" applyFill="1" applyBorder="1" applyAlignment="1">
      <alignment horizontal="right"/>
    </xf>
    <xf numFmtId="0" fontId="61" fillId="9" borderId="32" xfId="0" applyFont="1" applyFill="1" applyBorder="1" applyAlignment="1">
      <alignment horizontal="left" vertical="top"/>
    </xf>
    <xf numFmtId="0" fontId="61" fillId="9" borderId="19" xfId="0" applyFont="1" applyFill="1" applyBorder="1" applyAlignment="1">
      <alignment horizontal="left" vertical="top"/>
    </xf>
    <xf numFmtId="0" fontId="56" fillId="9" borderId="19" xfId="0" applyFont="1" applyFill="1" applyBorder="1" applyAlignment="1">
      <alignment horizontal="right" vertical="top"/>
    </xf>
    <xf numFmtId="0" fontId="62" fillId="10" borderId="0" xfId="0" applyFont="1" applyFill="1" applyBorder="1" applyAlignment="1">
      <alignment horizontal="left" vertical="top"/>
    </xf>
    <xf numFmtId="0" fontId="63" fillId="10" borderId="28" xfId="0" applyFont="1" applyFill="1" applyBorder="1" applyAlignment="1">
      <alignment horizontal="left" vertical="top"/>
    </xf>
    <xf numFmtId="0" fontId="62" fillId="10" borderId="21" xfId="0" applyFont="1" applyFill="1" applyBorder="1" applyAlignment="1">
      <alignment horizontal="left" vertical="top"/>
    </xf>
    <xf numFmtId="9" fontId="56" fillId="9" borderId="19" xfId="0" applyNumberFormat="1" applyFont="1" applyFill="1" applyBorder="1" applyAlignment="1">
      <alignment horizontal="right" vertical="top"/>
    </xf>
    <xf numFmtId="0" fontId="8" fillId="3" borderId="0" xfId="0" applyFont="1" applyFill="1" applyAlignment="1">
      <alignment horizontal="center" vertical="center"/>
    </xf>
    <xf numFmtId="0" fontId="7" fillId="0" borderId="20" xfId="0" applyFont="1" applyBorder="1" applyAlignment="1">
      <alignment horizontal="left"/>
    </xf>
    <xf numFmtId="0" fontId="7" fillId="0" borderId="0" xfId="0" applyFont="1" applyAlignment="1">
      <alignment horizontal="left" vertical="top" wrapText="1"/>
    </xf>
    <xf numFmtId="0" fontId="7" fillId="0" borderId="0" xfId="0" applyFont="1" applyAlignment="1">
      <alignment horizontal="center"/>
    </xf>
    <xf numFmtId="164" fontId="7" fillId="0" borderId="0" xfId="0" applyNumberFormat="1" applyFont="1" applyAlignment="1">
      <alignment horizontal="left" vertical="top"/>
    </xf>
    <xf numFmtId="0" fontId="7" fillId="0" borderId="19" xfId="0" applyFont="1" applyBorder="1" applyAlignment="1">
      <alignment horizontal="left"/>
    </xf>
    <xf numFmtId="0" fontId="7" fillId="0" borderId="19" xfId="0" applyFont="1" applyBorder="1" applyAlignment="1">
      <alignment horizontal="left" vertical="top"/>
    </xf>
    <xf numFmtId="0" fontId="7" fillId="0" borderId="19" xfId="0" applyFont="1" applyBorder="1" applyAlignment="1">
      <alignment horizontal="right"/>
    </xf>
    <xf numFmtId="164" fontId="7" fillId="0" borderId="19" xfId="0" applyNumberFormat="1" applyFont="1" applyBorder="1" applyAlignment="1">
      <alignment horizontal="right"/>
    </xf>
    <xf numFmtId="164" fontId="7" fillId="0" borderId="19" xfId="0" applyNumberFormat="1" applyFont="1" applyBorder="1" applyAlignment="1">
      <alignment horizontal="left" vertical="top"/>
    </xf>
    <xf numFmtId="0" fontId="8" fillId="0" borderId="0" xfId="0" applyFont="1" applyAlignment="1">
      <alignment horizontal="left"/>
    </xf>
    <xf numFmtId="164" fontId="8" fillId="0" borderId="0" xfId="0" applyNumberFormat="1" applyFont="1" applyAlignment="1">
      <alignment horizontal="right"/>
    </xf>
    <xf numFmtId="0" fontId="8" fillId="0" borderId="0" xfId="0" applyFont="1" applyAlignment="1">
      <alignment horizontal="left" vertical="top"/>
    </xf>
    <xf numFmtId="0" fontId="7" fillId="0" borderId="0" xfId="0" applyFont="1" applyAlignment="1">
      <alignment horizontal="left" wrapText="1"/>
    </xf>
    <xf numFmtId="184" fontId="7" fillId="0" borderId="0" xfId="0" applyNumberFormat="1" applyFont="1" applyAlignment="1">
      <alignment horizontal="right"/>
    </xf>
    <xf numFmtId="0" fontId="7" fillId="0" borderId="19" xfId="0" applyFont="1" applyBorder="1" applyAlignment="1">
      <alignment horizontal="left" wrapText="1"/>
    </xf>
    <xf numFmtId="166" fontId="7" fillId="0" borderId="19" xfId="0" applyNumberFormat="1" applyFont="1" applyBorder="1" applyAlignment="1">
      <alignment horizontal="right"/>
    </xf>
    <xf numFmtId="0" fontId="12" fillId="13" borderId="0" xfId="0" applyFont="1" applyFill="1" applyAlignment="1">
      <alignment horizontal="center" vertical="center"/>
    </xf>
    <xf numFmtId="0" fontId="12" fillId="13" borderId="0" xfId="0" applyFont="1" applyFill="1" applyAlignment="1">
      <alignment horizontal="left" vertical="top"/>
    </xf>
    <xf numFmtId="0" fontId="58" fillId="0" borderId="0" xfId="0" applyFont="1" applyFill="1" applyAlignment="1">
      <alignment horizontal="right"/>
    </xf>
    <xf numFmtId="0" fontId="0" fillId="0" borderId="0" xfId="0" applyFill="1" applyBorder="1" applyAlignment="1">
      <alignment horizontal="center" vertical="top"/>
    </xf>
    <xf numFmtId="0" fontId="7" fillId="0" borderId="0" xfId="0" applyFont="1" applyFill="1" applyBorder="1" applyAlignment="1">
      <alignment horizontal="left"/>
    </xf>
    <xf numFmtId="0" fontId="7" fillId="0" borderId="0" xfId="0" applyFont="1" applyFill="1" applyBorder="1" applyAlignment="1"/>
    <xf numFmtId="164" fontId="7" fillId="0" borderId="0" xfId="0" applyNumberFormat="1" applyFont="1" applyFill="1" applyBorder="1" applyAlignment="1">
      <alignment horizontal="left"/>
    </xf>
    <xf numFmtId="0" fontId="3" fillId="13" borderId="33" xfId="0" applyFont="1" applyFill="1" applyBorder="1" applyAlignment="1">
      <alignment horizontal="center" vertical="center" wrapText="1"/>
    </xf>
    <xf numFmtId="0" fontId="3" fillId="13" borderId="36" xfId="0" applyFont="1" applyFill="1" applyBorder="1" applyAlignment="1">
      <alignment horizontal="center" vertical="center" wrapText="1"/>
    </xf>
    <xf numFmtId="0" fontId="17" fillId="0" borderId="0" xfId="0" applyFont="1" applyFill="1" applyBorder="1" applyAlignment="1">
      <alignment horizontal="left" wrapText="1"/>
    </xf>
    <xf numFmtId="0" fontId="0" fillId="0" borderId="0" xfId="0" applyFill="1" applyBorder="1" applyAlignment="1">
      <alignment horizontal="left" wrapText="1"/>
    </xf>
    <xf numFmtId="0" fontId="28" fillId="13" borderId="22" xfId="0" applyFont="1" applyFill="1" applyBorder="1" applyAlignment="1">
      <alignment horizontal="center" wrapText="1"/>
    </xf>
    <xf numFmtId="0" fontId="28" fillId="13" borderId="0" xfId="0" applyFont="1" applyFill="1" applyBorder="1" applyAlignment="1">
      <alignment horizontal="center" wrapText="1"/>
    </xf>
    <xf numFmtId="0" fontId="28" fillId="13" borderId="17" xfId="0" applyFont="1" applyFill="1" applyBorder="1" applyAlignment="1">
      <alignment horizontal="center" wrapText="1"/>
    </xf>
    <xf numFmtId="0" fontId="28" fillId="13" borderId="22" xfId="0" applyFont="1" applyFill="1" applyBorder="1" applyAlignment="1">
      <alignment horizontal="center" vertical="center" wrapText="1"/>
    </xf>
    <xf numFmtId="0" fontId="28" fillId="13" borderId="0" xfId="0" applyFont="1" applyFill="1" applyBorder="1" applyAlignment="1">
      <alignment horizontal="center" vertical="center" wrapText="1"/>
    </xf>
    <xf numFmtId="0" fontId="28" fillId="13" borderId="23"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3" fillId="13" borderId="2" xfId="0" applyFont="1" applyFill="1" applyBorder="1" applyAlignment="1">
      <alignment horizontal="center" vertical="center" wrapText="1"/>
    </xf>
    <xf numFmtId="0" fontId="3" fillId="13" borderId="37" xfId="0" applyFont="1" applyFill="1" applyBorder="1" applyAlignment="1">
      <alignment horizontal="center" vertical="center" wrapText="1"/>
    </xf>
    <xf numFmtId="0" fontId="12" fillId="13" borderId="22" xfId="0" applyFont="1" applyFill="1" applyBorder="1" applyAlignment="1">
      <alignment horizontal="center" wrapText="1"/>
    </xf>
    <xf numFmtId="0" fontId="12" fillId="13" borderId="0" xfId="0" applyFont="1" applyFill="1" applyBorder="1" applyAlignment="1">
      <alignment horizontal="center" wrapText="1"/>
    </xf>
    <xf numFmtId="0" fontId="12" fillId="13" borderId="17" xfId="0" applyFont="1" applyFill="1" applyBorder="1" applyAlignment="1">
      <alignment horizontal="center" wrapText="1"/>
    </xf>
    <xf numFmtId="0" fontId="20" fillId="13" borderId="27" xfId="0" applyFont="1" applyFill="1" applyBorder="1" applyAlignment="1">
      <alignment horizontal="center" vertical="center"/>
    </xf>
    <xf numFmtId="0" fontId="20" fillId="13" borderId="28" xfId="0" applyFont="1" applyFill="1" applyBorder="1" applyAlignment="1">
      <alignment horizontal="center" vertical="center"/>
    </xf>
    <xf numFmtId="0" fontId="20" fillId="13" borderId="16" xfId="0" applyFont="1" applyFill="1" applyBorder="1" applyAlignment="1">
      <alignment horizontal="center" vertical="center"/>
    </xf>
    <xf numFmtId="0" fontId="9" fillId="13" borderId="2" xfId="0" applyFont="1" applyFill="1" applyBorder="1" applyAlignment="1">
      <alignment horizontal="center" vertical="center" wrapText="1"/>
    </xf>
    <xf numFmtId="0" fontId="0" fillId="0" borderId="25" xfId="0" applyFill="1" applyBorder="1" applyAlignment="1">
      <alignment horizontal="left" wrapText="1"/>
    </xf>
    <xf numFmtId="0" fontId="4" fillId="13" borderId="24"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3" borderId="26" xfId="0" applyFont="1" applyFill="1" applyBorder="1" applyAlignment="1">
      <alignment horizontal="center" vertical="top" wrapText="1"/>
    </xf>
    <xf numFmtId="1" fontId="12" fillId="13" borderId="22" xfId="0" applyNumberFormat="1" applyFont="1" applyFill="1" applyBorder="1" applyAlignment="1">
      <alignment horizontal="center" wrapText="1"/>
    </xf>
    <xf numFmtId="1" fontId="12" fillId="13" borderId="0" xfId="0" applyNumberFormat="1" applyFont="1" applyFill="1" applyBorder="1" applyAlignment="1">
      <alignment horizontal="center" wrapText="1"/>
    </xf>
    <xf numFmtId="1" fontId="12" fillId="13" borderId="23" xfId="0" applyNumberFormat="1" applyFont="1" applyFill="1" applyBorder="1" applyAlignment="1">
      <alignment horizontal="center" wrapText="1"/>
    </xf>
    <xf numFmtId="0" fontId="9" fillId="13" borderId="37" xfId="0" applyFont="1" applyFill="1" applyBorder="1" applyAlignment="1">
      <alignment horizontal="center" vertical="center" wrapText="1"/>
    </xf>
    <xf numFmtId="0" fontId="34" fillId="13" borderId="1" xfId="0" applyFont="1" applyFill="1" applyBorder="1" applyAlignment="1">
      <alignment horizontal="center" vertical="top" wrapText="1"/>
    </xf>
    <xf numFmtId="0" fontId="34" fillId="13" borderId="26" xfId="0" applyFont="1" applyFill="1" applyBorder="1" applyAlignment="1">
      <alignment horizontal="center" vertical="top" wrapText="1"/>
    </xf>
    <xf numFmtId="168" fontId="7" fillId="0" borderId="0" xfId="0" applyNumberFormat="1" applyFont="1" applyBorder="1" applyAlignment="1">
      <alignment horizontal="center" wrapText="1"/>
    </xf>
    <xf numFmtId="168" fontId="7" fillId="0" borderId="19" xfId="0" applyNumberFormat="1" applyFont="1" applyBorder="1" applyAlignment="1">
      <alignment horizontal="center" wrapText="1"/>
    </xf>
    <xf numFmtId="173" fontId="7" fillId="0" borderId="0" xfId="0" applyNumberFormat="1" applyFont="1" applyFill="1" applyAlignment="1">
      <alignment horizontal="center" vertical="center"/>
    </xf>
    <xf numFmtId="173" fontId="7" fillId="0" borderId="0" xfId="0" applyNumberFormat="1" applyFont="1" applyAlignment="1">
      <alignment horizontal="center"/>
    </xf>
    <xf numFmtId="0" fontId="45" fillId="0" borderId="0" xfId="8" applyFont="1" applyAlignment="1">
      <alignment horizontal="left"/>
    </xf>
    <xf numFmtId="0" fontId="28" fillId="6" borderId="0" xfId="0" applyFont="1" applyFill="1" applyBorder="1" applyAlignment="1">
      <alignment horizontal="center" vertical="center"/>
    </xf>
    <xf numFmtId="0" fontId="39" fillId="0" borderId="0" xfId="0" applyFont="1" applyAlignment="1">
      <alignment horizontal="center" vertical="top"/>
    </xf>
    <xf numFmtId="164" fontId="7" fillId="0" borderId="18" xfId="0" applyNumberFormat="1" applyFont="1" applyFill="1" applyBorder="1" applyAlignment="1">
      <alignment horizontal="center" vertical="top"/>
    </xf>
    <xf numFmtId="164" fontId="7" fillId="0" borderId="21" xfId="0" applyNumberFormat="1" applyFont="1" applyFill="1" applyBorder="1" applyAlignment="1">
      <alignment horizontal="center" vertical="top"/>
    </xf>
    <xf numFmtId="9" fontId="56" fillId="9" borderId="19" xfId="0" applyNumberFormat="1" applyFont="1" applyFill="1" applyBorder="1" applyAlignment="1">
      <alignment horizontal="center" vertical="top"/>
    </xf>
    <xf numFmtId="175" fontId="7" fillId="0" borderId="0" xfId="9" applyNumberFormat="1" applyFont="1" applyFill="1" applyBorder="1" applyAlignment="1">
      <alignment horizontal="right" indent="1"/>
    </xf>
    <xf numFmtId="0" fontId="17" fillId="0" borderId="0" xfId="0" applyFont="1" applyFill="1" applyBorder="1" applyAlignment="1">
      <alignment wrapText="1"/>
    </xf>
  </cellXfs>
  <cellStyles count="12">
    <cellStyle name="blp_column_header" xfId="2" xr:uid="{00000000-0005-0000-0000-000000000000}"/>
    <cellStyle name="Bordo bianco" xfId="6" xr:uid="{00000000-0005-0000-0000-000001000000}"/>
    <cellStyle name="fa_column_header_bottom" xfId="3" xr:uid="{00000000-0005-0000-0000-000002000000}"/>
    <cellStyle name="Migliaia" xfId="1" builtinId="3"/>
    <cellStyle name="Normal 2" xfId="5" xr:uid="{00000000-0005-0000-0000-000004000000}"/>
    <cellStyle name="Normale" xfId="0" builtinId="0"/>
    <cellStyle name="Normale 2" xfId="8" xr:uid="{B4869A54-4C57-47CD-BE02-CC51CD87AAB7}"/>
    <cellStyle name="Normale 3" xfId="10" xr:uid="{64BE1062-1FB2-4D51-AC26-D727306BE95A}"/>
    <cellStyle name="Normale 4" xfId="11" xr:uid="{237DEF4D-059E-404E-8B0B-587140F81C54}"/>
    <cellStyle name="Percentuale" xfId="4" builtinId="5"/>
    <cellStyle name="Percentuale 2" xfId="9" xr:uid="{9D596BC2-BFDC-4BAC-9BC2-D4CFB00F8D7E}"/>
    <cellStyle name="Style 1" xfId="7" xr:uid="{00000000-0005-0000-0000-000007000000}"/>
  </cellStyles>
  <dxfs count="0"/>
  <tableStyles count="0" defaultTableStyle="TableStyleMedium9" defaultPivotStyle="PivotStyleLight16"/>
  <colors>
    <mruColors>
      <color rgb="FFD312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104775</xdr:colOff>
      <xdr:row>3</xdr:row>
      <xdr:rowOff>114300</xdr:rowOff>
    </xdr:from>
    <xdr:to>
      <xdr:col>21</xdr:col>
      <xdr:colOff>28575</xdr:colOff>
      <xdr:row>24</xdr:row>
      <xdr:rowOff>47625</xdr:rowOff>
    </xdr:to>
    <xdr:pic>
      <xdr:nvPicPr>
        <xdr:cNvPr id="3" name="Elemento grafico 2">
          <a:extLst>
            <a:ext uri="{FF2B5EF4-FFF2-40B4-BE49-F238E27FC236}">
              <a16:creationId xmlns:a16="http://schemas.microsoft.com/office/drawing/2014/main" id="{5E7CF409-1289-451C-BB6C-09A92BB368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04975" y="600075"/>
          <a:ext cx="9525000" cy="3333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209550</xdr:colOff>
      <xdr:row>10</xdr:row>
      <xdr:rowOff>0</xdr:rowOff>
    </xdr:from>
    <xdr:to>
      <xdr:col>6</xdr:col>
      <xdr:colOff>962025</xdr:colOff>
      <xdr:row>12</xdr:row>
      <xdr:rowOff>0</xdr:rowOff>
    </xdr:to>
    <xdr:sp macro="" textlink="">
      <xdr:nvSpPr>
        <xdr:cNvPr id="2" name="CasellaDiTesto 1">
          <a:extLst>
            <a:ext uri="{FF2B5EF4-FFF2-40B4-BE49-F238E27FC236}">
              <a16:creationId xmlns:a16="http://schemas.microsoft.com/office/drawing/2014/main" id="{98D36808-6CB3-4D4C-BE5C-BDBF2F3A78A0}"/>
            </a:ext>
          </a:extLst>
        </xdr:cNvPr>
        <xdr:cNvSpPr txBox="1"/>
      </xdr:nvSpPr>
      <xdr:spPr>
        <a:xfrm>
          <a:off x="9544050" y="5048250"/>
          <a:ext cx="3048000" cy="1009650"/>
        </a:xfrm>
        <a:prstGeom prst="rect">
          <a:avLst/>
        </a:prstGeom>
        <a:solidFill>
          <a:schemeClr val="lt1"/>
        </a:solidFill>
        <a:ln w="9525" cmpd="sng">
          <a:solidFill>
            <a:srgbClr val="D3124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aseline="0">
              <a:latin typeface="Arial" panose="020B0604020202020204" pitchFamily="34" charset="0"/>
              <a:cs typeface="Arial" panose="020B0604020202020204" pitchFamily="34" charset="0"/>
            </a:rPr>
            <a:t>In the Income Statement - As Reported, D&amp;A has been included in the COGS and SGAs. Thus, to avoid double counting, D&amp;A has been subtracted from Operating Costs.</a:t>
          </a:r>
          <a:endParaRPr lang="en-GB" sz="100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9525</xdr:colOff>
      <xdr:row>42</xdr:row>
      <xdr:rowOff>0</xdr:rowOff>
    </xdr:from>
    <xdr:to>
      <xdr:col>6</xdr:col>
      <xdr:colOff>9525</xdr:colOff>
      <xdr:row>48</xdr:row>
      <xdr:rowOff>0</xdr:rowOff>
    </xdr:to>
    <xdr:sp macro="" textlink="">
      <xdr:nvSpPr>
        <xdr:cNvPr id="2" name="CasellaDiTesto 1">
          <a:extLst>
            <a:ext uri="{FF2B5EF4-FFF2-40B4-BE49-F238E27FC236}">
              <a16:creationId xmlns:a16="http://schemas.microsoft.com/office/drawing/2014/main" id="{A9602D01-B9FC-4D9C-85C0-BB972CAF3B81}"/>
            </a:ext>
          </a:extLst>
        </xdr:cNvPr>
        <xdr:cNvSpPr txBox="1"/>
      </xdr:nvSpPr>
      <xdr:spPr>
        <a:xfrm>
          <a:off x="5438775" y="13201650"/>
          <a:ext cx="4429125" cy="1885950"/>
        </a:xfrm>
        <a:prstGeom prst="rect">
          <a:avLst/>
        </a:prstGeom>
        <a:solidFill>
          <a:schemeClr val="lt1"/>
        </a:solidFill>
        <a:ln w="9525" cmpd="sng">
          <a:solidFill>
            <a:srgbClr val="D3124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a:latin typeface="Arial" panose="020B0604020202020204" pitchFamily="34" charset="0"/>
              <a:cs typeface="Arial" panose="020B0604020202020204" pitchFamily="34" charset="0"/>
            </a:rPr>
            <a:t>The Interest Income is</a:t>
          </a:r>
          <a:r>
            <a:rPr lang="en-GB" sz="1050" baseline="0">
              <a:latin typeface="Arial" panose="020B0604020202020204" pitchFamily="34" charset="0"/>
              <a:cs typeface="Arial" panose="020B0604020202020204" pitchFamily="34" charset="0"/>
            </a:rPr>
            <a:t> calculated as follows:</a:t>
          </a:r>
        </a:p>
        <a:p>
          <a:endParaRPr lang="en-GB" sz="1050" baseline="0">
            <a:latin typeface="Arial" panose="020B0604020202020204" pitchFamily="34" charset="0"/>
            <a:cs typeface="Arial" panose="020B0604020202020204" pitchFamily="34" charset="0"/>
          </a:endParaRPr>
        </a:p>
        <a:p>
          <a:r>
            <a:rPr lang="en-GB" sz="1050" baseline="0">
              <a:latin typeface="Arial" panose="020B0604020202020204" pitchFamily="34" charset="0"/>
              <a:cs typeface="Arial" panose="020B0604020202020204" pitchFamily="34" charset="0"/>
            </a:rPr>
            <a:t>- If the average change in cash over two contiguous years is positive, then the interest income is calculated by applying the average Effective Interest Rate for Cash to the change in cash for the year.</a:t>
          </a:r>
        </a:p>
        <a:p>
          <a:endParaRPr lang="en-GB" sz="1050" baseline="0">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050" baseline="0">
              <a:solidFill>
                <a:schemeClr val="dk1"/>
              </a:solidFill>
              <a:effectLst/>
              <a:latin typeface="Arial" panose="020B0604020202020204" pitchFamily="34" charset="0"/>
              <a:ea typeface="+mn-ea"/>
              <a:cs typeface="Arial" panose="020B0604020202020204" pitchFamily="34" charset="0"/>
            </a:rPr>
            <a:t>- If the average change in cash over two contiguous years is negative, then the interest expense is calculated by applying the average Debt Rate to the change in cash for the year.</a:t>
          </a:r>
          <a:endParaRPr lang="en-GB" sz="1050">
            <a:effectLst/>
            <a:latin typeface="Arial" panose="020B0604020202020204" pitchFamily="34" charset="0"/>
            <a:cs typeface="Arial" panose="020B0604020202020204" pitchFamily="34" charset="0"/>
          </a:endParaRPr>
        </a:p>
        <a:p>
          <a:endParaRPr lang="en-GB" sz="1100" baseline="0"/>
        </a:p>
        <a:p>
          <a:endParaRPr lang="en-GB"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VORO%20CORPORATE%20DA%20FINIRE%20-%20Aggiornato%20Aprile%20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uigi\AppData\Roaming\Microsoft\Excel\Cartel1%20(version%201).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Balance Sheet - As Reported"/>
      <sheetName val="Income Statement - As Reported"/>
      <sheetName val="Cash Flow Statement - As Repor."/>
      <sheetName val="Balance Sheet - Restated"/>
      <sheetName val="Income Statement - Restated"/>
      <sheetName val="Sheet3"/>
      <sheetName val="Foglio1"/>
      <sheetName val="Operating Forecasts2"/>
      <sheetName val="Operating Forecasts"/>
      <sheetName val="Investment Forecasts"/>
      <sheetName val="Financing Forecasts "/>
      <sheetName val="Foglio2"/>
      <sheetName val="Financial Analysis"/>
      <sheetName val="WACC"/>
      <sheetName val="Trading Multiples"/>
      <sheetName val="DCF"/>
      <sheetName val="CB_DATA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25">
          <cell r="E25">
            <v>37215.546645873888</v>
          </cell>
        </row>
      </sheetData>
      <sheetData sheetId="17" refreshError="1">
        <row r="14">
          <cell r="B14" t="str">
            <v>7a2dcae1-b5a9-4f84-96cb-62b3248f7548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glio1"/>
      <sheetName val="Balance Sheet - Restated"/>
      <sheetName val="Assumptions"/>
      <sheetName val="DCF"/>
      <sheetName val="Scenario Summary"/>
    </sheetNames>
    <sheetDataSet>
      <sheetData sheetId="0"/>
      <sheetData sheetId="1"/>
      <sheetData sheetId="2"/>
      <sheetData sheetId="3">
        <row r="30">
          <cell r="C30">
            <v>29003.603181333052</v>
          </cell>
        </row>
      </sheetData>
      <sheetData sheetId="4"/>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B3768-A183-483A-9F89-B78D79BADF60}">
  <sheetPr>
    <tabColor rgb="FFD31245"/>
  </sheetPr>
  <dimension ref="A1"/>
  <sheetViews>
    <sheetView workbookViewId="0">
      <selection sqref="A1:XFD1048576"/>
    </sheetView>
  </sheetViews>
  <sheetFormatPr defaultRowHeight="12.75"/>
  <cols>
    <col min="1" max="16384" width="9.33203125" style="525"/>
  </cols>
  <sheetData/>
  <mergeCells count="1">
    <mergeCell ref="A1:XFD104857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5"/>
  <sheetViews>
    <sheetView tabSelected="1" topLeftCell="A4" zoomScaleNormal="100" workbookViewId="0">
      <selection activeCell="A16" sqref="A16"/>
    </sheetView>
  </sheetViews>
  <sheetFormatPr defaultColWidth="25.83203125" defaultRowHeight="24.95" customHeight="1"/>
  <cols>
    <col min="1" max="1" width="102.6640625" style="63" customWidth="1"/>
    <col min="2" max="2" width="26.1640625" style="63" customWidth="1"/>
    <col min="3" max="16384" width="25.83203125" style="61"/>
  </cols>
  <sheetData>
    <row r="1" spans="1:11" ht="24.95" customHeight="1">
      <c r="A1" s="249" t="s">
        <v>425</v>
      </c>
    </row>
    <row r="2" spans="1:11" ht="24.95" customHeight="1">
      <c r="A2" s="250" t="s">
        <v>637</v>
      </c>
    </row>
    <row r="3" spans="1:11" ht="24.95" customHeight="1">
      <c r="K3" s="494" t="s">
        <v>323</v>
      </c>
    </row>
    <row r="4" spans="1:11" ht="24.95" customHeight="1">
      <c r="A4" s="453"/>
      <c r="B4" s="453" t="s">
        <v>421</v>
      </c>
      <c r="C4" s="454" t="s">
        <v>86</v>
      </c>
      <c r="D4" s="454" t="s">
        <v>87</v>
      </c>
      <c r="E4" s="454" t="s">
        <v>88</v>
      </c>
      <c r="F4" s="454" t="s">
        <v>117</v>
      </c>
      <c r="G4" s="454" t="s">
        <v>118</v>
      </c>
      <c r="H4" s="454" t="s">
        <v>119</v>
      </c>
      <c r="I4" s="454" t="s">
        <v>548</v>
      </c>
      <c r="J4" s="454" t="s">
        <v>549</v>
      </c>
      <c r="K4" s="454" t="s">
        <v>550</v>
      </c>
    </row>
    <row r="5" spans="1:11" ht="24.95" customHeight="1">
      <c r="A5" s="188"/>
      <c r="B5" s="188"/>
      <c r="C5" s="189"/>
      <c r="D5" s="189"/>
      <c r="E5" s="189"/>
      <c r="F5" s="189"/>
      <c r="G5" s="189"/>
      <c r="H5" s="189"/>
    </row>
    <row r="6" spans="1:11" ht="24.95" customHeight="1" thickBot="1">
      <c r="A6" s="190" t="s">
        <v>613</v>
      </c>
      <c r="B6" s="188"/>
      <c r="C6" s="189"/>
      <c r="D6" s="189"/>
      <c r="E6" s="189"/>
      <c r="F6" s="189"/>
      <c r="G6" s="189"/>
      <c r="H6" s="189"/>
    </row>
    <row r="7" spans="1:11" ht="15" customHeight="1" thickTop="1">
      <c r="A7" s="451" t="s">
        <v>282</v>
      </c>
      <c r="B7" s="251"/>
    </row>
    <row r="8" spans="1:11" ht="24.95" customHeight="1">
      <c r="A8" s="61" t="s">
        <v>268</v>
      </c>
      <c r="C8" s="526" t="s">
        <v>701</v>
      </c>
      <c r="D8" s="526"/>
      <c r="E8" s="526"/>
      <c r="F8" s="526"/>
      <c r="G8" s="526"/>
      <c r="H8" s="526"/>
      <c r="I8" s="526"/>
      <c r="J8" s="526"/>
      <c r="K8" s="526"/>
    </row>
    <row r="9" spans="1:11" ht="24.95" customHeight="1">
      <c r="A9" s="61" t="s">
        <v>433</v>
      </c>
      <c r="C9" s="526" t="s">
        <v>608</v>
      </c>
      <c r="D9" s="526"/>
      <c r="E9" s="526"/>
      <c r="F9" s="526"/>
      <c r="G9" s="526"/>
      <c r="H9" s="526"/>
      <c r="I9" s="526"/>
      <c r="J9" s="526"/>
      <c r="K9" s="526"/>
    </row>
    <row r="10" spans="1:11" ht="24.95" customHeight="1">
      <c r="A10" s="438" t="s">
        <v>269</v>
      </c>
      <c r="C10" s="526" t="s">
        <v>598</v>
      </c>
      <c r="D10" s="526"/>
      <c r="E10" s="526"/>
      <c r="F10" s="526"/>
      <c r="G10" s="526"/>
      <c r="H10" s="526"/>
      <c r="I10" s="526"/>
      <c r="J10" s="526"/>
      <c r="K10" s="526"/>
    </row>
    <row r="11" spans="1:11" ht="24.95" customHeight="1">
      <c r="A11" s="63" t="s">
        <v>72</v>
      </c>
      <c r="C11" s="526" t="s">
        <v>702</v>
      </c>
      <c r="D11" s="526"/>
      <c r="E11" s="526"/>
      <c r="F11" s="526"/>
      <c r="G11" s="526"/>
      <c r="H11" s="526"/>
      <c r="I11" s="526"/>
      <c r="J11" s="526"/>
      <c r="K11" s="526"/>
    </row>
    <row r="13" spans="1:11" ht="15" customHeight="1">
      <c r="A13" s="450" t="s">
        <v>281</v>
      </c>
      <c r="B13" s="188"/>
      <c r="C13" s="189"/>
      <c r="D13" s="189"/>
      <c r="E13" s="189"/>
      <c r="F13" s="189"/>
      <c r="G13" s="189"/>
      <c r="H13" s="189"/>
    </row>
    <row r="14" spans="1:11" ht="24.95" customHeight="1">
      <c r="A14" s="102" t="s">
        <v>459</v>
      </c>
      <c r="B14" s="188"/>
      <c r="C14" s="439"/>
      <c r="D14" s="449">
        <f>('Income Statement - As Reported'!C8-'Income Statement - As Reported'!B8)/'Income Statement - As Reported'!B8</f>
        <v>-8.5615117624373311E-3</v>
      </c>
      <c r="E14" s="443">
        <f>('Income Statement - As Reported'!D8-'Income Statement - As Reported'!C8)/'Income Statement - As Reported'!C8</f>
        <v>5.3913178777034387E-2</v>
      </c>
      <c r="F14" s="444">
        <f>Net_Sales_Growth_Rate_2019</f>
        <v>0.03</v>
      </c>
      <c r="G14" s="444">
        <f>Net_Sales_Growth_Rate_2020</f>
        <v>2.5117222338199002E-2</v>
      </c>
      <c r="H14" s="444">
        <f>Net_Sales_Growth_Rate_2021</f>
        <v>2.9637726259011499E-2</v>
      </c>
      <c r="I14" s="444">
        <f>Net_Sales_Growth_Rate_2022</f>
        <v>1.29166666666667E-2</v>
      </c>
      <c r="J14" s="444">
        <f>Net_Sales_Growth_Rate_2023</f>
        <v>6.1458333333333304E-3</v>
      </c>
      <c r="K14" s="444">
        <f>Long_Term_Growth</f>
        <v>8.5156250000000006E-3</v>
      </c>
    </row>
    <row r="15" spans="1:11" ht="24.95" customHeight="1">
      <c r="A15" s="102" t="s">
        <v>240</v>
      </c>
      <c r="B15" s="188"/>
      <c r="C15" s="526" t="s">
        <v>614</v>
      </c>
      <c r="D15" s="526"/>
      <c r="E15" s="526"/>
      <c r="F15" s="526"/>
      <c r="G15" s="526"/>
      <c r="H15" s="526"/>
      <c r="I15" s="526"/>
      <c r="J15" s="526"/>
      <c r="K15" s="526"/>
    </row>
    <row r="16" spans="1:11" ht="24.95" customHeight="1">
      <c r="A16" s="63" t="s">
        <v>420</v>
      </c>
      <c r="B16" s="168"/>
      <c r="C16" s="166">
        <f>'Income Statement - Restated'!B12/'Income Statement - Restated'!B9</f>
        <v>0.6271500192826841</v>
      </c>
      <c r="D16" s="166">
        <f>'Income Statement - Restated'!C12/'Income Statement - Restated'!C9</f>
        <v>0.63443286136611177</v>
      </c>
      <c r="E16" s="166">
        <f>'Income Statement - Restated'!D12/'Income Statement - Restated'!D9</f>
        <v>0.65114047390566177</v>
      </c>
      <c r="F16" s="252"/>
      <c r="G16" s="252"/>
      <c r="H16" s="252"/>
      <c r="I16" s="252"/>
      <c r="J16" s="252"/>
      <c r="K16" s="166"/>
    </row>
    <row r="17" spans="1:11" ht="15" customHeight="1">
      <c r="A17" s="156" t="s">
        <v>125</v>
      </c>
      <c r="B17" s="251">
        <f>COGS_Percentage_of_Sales</f>
        <v>0.63800000000000001</v>
      </c>
      <c r="C17" s="60"/>
      <c r="D17" s="60"/>
      <c r="E17" s="60"/>
      <c r="F17" s="60"/>
      <c r="G17" s="60"/>
      <c r="H17" s="60"/>
    </row>
    <row r="18" spans="1:11" ht="24.95" customHeight="1">
      <c r="A18" s="63" t="s">
        <v>460</v>
      </c>
      <c r="B18" s="169"/>
      <c r="C18" s="166">
        <f>'Income Statement - Restated'!B13/'Income Statement - Restated'!B9</f>
        <v>0.25846509834168918</v>
      </c>
      <c r="D18" s="166">
        <f>'Income Statement - Restated'!C13/'Income Statement - Restated'!C9</f>
        <v>0.25766298428504747</v>
      </c>
      <c r="E18" s="166">
        <f>'Income Statement - Restated'!D13/'Income Statement - Restated'!D9</f>
        <v>0.22292758544327157</v>
      </c>
      <c r="F18" s="252"/>
      <c r="G18" s="252"/>
      <c r="H18" s="252"/>
    </row>
    <row r="19" spans="1:11" ht="15" customHeight="1">
      <c r="A19" s="156" t="s">
        <v>125</v>
      </c>
      <c r="B19" s="251">
        <f>AVERAGE(C18:E18)</f>
        <v>0.24635188935666941</v>
      </c>
    </row>
    <row r="20" spans="1:11" ht="24.95" customHeight="1">
      <c r="A20" s="63" t="s">
        <v>610</v>
      </c>
      <c r="B20" s="251"/>
      <c r="C20" s="526" t="s">
        <v>612</v>
      </c>
      <c r="D20" s="526"/>
      <c r="E20" s="526"/>
      <c r="F20" s="526"/>
      <c r="G20" s="526"/>
      <c r="H20" s="526"/>
      <c r="I20" s="526"/>
      <c r="J20" s="526"/>
      <c r="K20" s="526"/>
    </row>
    <row r="21" spans="1:11" ht="24.95" customHeight="1">
      <c r="A21" s="156"/>
      <c r="B21" s="251"/>
    </row>
    <row r="22" spans="1:11" ht="24.95" customHeight="1" thickBot="1">
      <c r="A22" s="64" t="s">
        <v>152</v>
      </c>
    </row>
    <row r="23" spans="1:11" ht="15" customHeight="1" thickTop="1">
      <c r="A23" s="451" t="s">
        <v>282</v>
      </c>
    </row>
    <row r="24" spans="1:11" ht="24.95" customHeight="1">
      <c r="A24" s="63" t="s">
        <v>151</v>
      </c>
      <c r="C24" s="527" t="s">
        <v>616</v>
      </c>
      <c r="D24" s="527"/>
      <c r="E24" s="527"/>
      <c r="F24" s="527"/>
      <c r="G24" s="527"/>
      <c r="H24" s="527"/>
      <c r="I24" s="527"/>
      <c r="J24" s="527"/>
      <c r="K24" s="527"/>
    </row>
    <row r="25" spans="1:11" ht="24.95" customHeight="1">
      <c r="A25" s="63" t="s">
        <v>150</v>
      </c>
      <c r="C25" s="527" t="s">
        <v>615</v>
      </c>
      <c r="D25" s="527"/>
      <c r="E25" s="527"/>
      <c r="F25" s="527"/>
      <c r="G25" s="527"/>
      <c r="H25" s="527"/>
      <c r="I25" s="527"/>
      <c r="J25" s="527"/>
      <c r="K25" s="527"/>
    </row>
    <row r="26" spans="1:11" ht="24.95" customHeight="1">
      <c r="A26" s="63" t="s">
        <v>414</v>
      </c>
      <c r="B26" s="168"/>
      <c r="C26" s="253">
        <f>'Balance Sheet - Restated'!B16</f>
        <v>1106</v>
      </c>
      <c r="D26" s="253">
        <f>'Balance Sheet - Restated'!C16</f>
        <v>1250</v>
      </c>
      <c r="E26" s="253">
        <f>'Balance Sheet - Restated'!D16</f>
        <v>1163</v>
      </c>
      <c r="F26" s="452"/>
      <c r="G26" s="452"/>
      <c r="H26" s="452"/>
      <c r="I26" s="452"/>
      <c r="J26" s="452"/>
      <c r="K26" s="452"/>
    </row>
    <row r="27" spans="1:11" ht="24.95" customHeight="1">
      <c r="A27" s="63" t="s">
        <v>415</v>
      </c>
      <c r="B27" s="168"/>
      <c r="C27" s="253">
        <f>-'Balance Sheet - Restated'!B17</f>
        <v>2061</v>
      </c>
      <c r="D27" s="253">
        <f>-'Balance Sheet - Restated'!C17</f>
        <v>2269</v>
      </c>
      <c r="E27" s="253">
        <f>-'Balance Sheet - Restated'!D17</f>
        <v>2427</v>
      </c>
      <c r="F27" s="452"/>
      <c r="G27" s="452"/>
      <c r="H27" s="452"/>
      <c r="I27" s="452"/>
      <c r="J27" s="452"/>
      <c r="K27" s="452"/>
    </row>
    <row r="28" spans="1:11" ht="24.95" customHeight="1">
      <c r="A28" s="63" t="s">
        <v>53</v>
      </c>
      <c r="B28" s="168"/>
      <c r="C28" s="253">
        <f>'Balance Sheet - Restated'!B19</f>
        <v>1238</v>
      </c>
      <c r="D28" s="253">
        <f>'Balance Sheet - Restated'!C19</f>
        <v>1217</v>
      </c>
      <c r="E28" s="253">
        <f>'Balance Sheet - Restated'!D19</f>
        <v>1330</v>
      </c>
      <c r="F28" s="452"/>
      <c r="G28" s="452"/>
      <c r="H28" s="452"/>
      <c r="I28" s="452"/>
      <c r="J28" s="452"/>
      <c r="K28" s="452"/>
    </row>
    <row r="29" spans="1:11" ht="15" customHeight="1">
      <c r="A29" s="61"/>
      <c r="B29" s="168"/>
      <c r="C29" s="60"/>
      <c r="D29" s="60"/>
      <c r="E29" s="60"/>
      <c r="F29" s="452"/>
      <c r="G29" s="452"/>
      <c r="H29" s="452"/>
      <c r="I29" s="452"/>
      <c r="J29" s="452"/>
      <c r="K29" s="452"/>
    </row>
    <row r="30" spans="1:11" s="495" customFormat="1" ht="24.95" customHeight="1">
      <c r="A30" s="495" t="s">
        <v>683</v>
      </c>
      <c r="B30" s="168"/>
      <c r="C30" s="497">
        <v>0.06</v>
      </c>
      <c r="D30" s="497">
        <v>0.06</v>
      </c>
      <c r="E30" s="497">
        <v>0.06</v>
      </c>
      <c r="F30" s="496"/>
      <c r="G30" s="496"/>
      <c r="H30" s="496"/>
      <c r="I30" s="496"/>
      <c r="J30" s="496"/>
      <c r="K30" s="496"/>
    </row>
    <row r="31" spans="1:11" ht="24.95" customHeight="1">
      <c r="A31" s="63" t="s">
        <v>416</v>
      </c>
      <c r="B31" s="168"/>
      <c r="C31" s="216">
        <f>(C26/'Income Statement - Restated'!B9*(1+C30))*365</f>
        <v>33.005121480910148</v>
      </c>
      <c r="D31" s="216">
        <f>(D26/'Income Statement - Restated'!C9*(1+D30))*365</f>
        <v>37.624474871635286</v>
      </c>
      <c r="E31" s="216">
        <f>(E26/'Income Statement - Restated'!D9*(1+E30))*365</f>
        <v>33.215080829704</v>
      </c>
      <c r="F31" s="452"/>
      <c r="G31" s="452"/>
      <c r="H31" s="452"/>
      <c r="I31" s="452"/>
      <c r="J31" s="452"/>
      <c r="K31" s="452"/>
    </row>
    <row r="32" spans="1:11" ht="24.95" customHeight="1">
      <c r="A32" s="63" t="s">
        <v>417</v>
      </c>
      <c r="B32" s="168"/>
      <c r="C32" s="216">
        <f>C27*365/('Income Statement - Restated'!B12*(1+C30))</f>
        <v>87.281264575593525</v>
      </c>
      <c r="D32" s="216">
        <f>D27*365/('Income Statement - Restated'!C12*(1+D30))</f>
        <v>95.807063614173487</v>
      </c>
      <c r="E32" s="216">
        <f>E27*365/('Income Statement - Restated'!D12*(1+E30))</f>
        <v>94.741215752289236</v>
      </c>
      <c r="F32" s="452"/>
      <c r="G32" s="452"/>
      <c r="H32" s="452"/>
      <c r="I32" s="452"/>
      <c r="J32" s="452"/>
      <c r="K32" s="452"/>
    </row>
    <row r="33" spans="1:11" ht="24.95" customHeight="1">
      <c r="A33" s="63" t="s">
        <v>418</v>
      </c>
      <c r="B33" s="168"/>
      <c r="C33" s="216">
        <f>(C28*365)/'Income Statement - Restated'!B9</f>
        <v>34.853065946779793</v>
      </c>
      <c r="D33" s="216">
        <f>(D28*365)/'Income Statement - Restated'!C9</f>
        <v>34.557725221720865</v>
      </c>
      <c r="E33" s="216">
        <f>(E28*365)/'Income Statement - Restated'!D9</f>
        <v>35.834502103786818</v>
      </c>
      <c r="F33" s="452"/>
      <c r="G33" s="452"/>
      <c r="H33" s="452"/>
      <c r="I33" s="452"/>
      <c r="J33" s="452"/>
      <c r="K33" s="452"/>
    </row>
    <row r="34" spans="1:11" ht="15" customHeight="1">
      <c r="A34" s="156" t="s">
        <v>431</v>
      </c>
      <c r="B34" s="390">
        <f>AVERAGE(C31:E31)</f>
        <v>34.614892394083142</v>
      </c>
      <c r="C34" s="60"/>
      <c r="D34" s="60"/>
      <c r="E34" s="60"/>
      <c r="F34" s="452"/>
      <c r="G34" s="452"/>
      <c r="H34" s="452"/>
      <c r="I34" s="452"/>
      <c r="J34" s="452"/>
      <c r="K34" s="452"/>
    </row>
    <row r="35" spans="1:11" ht="15" customHeight="1">
      <c r="A35" s="156" t="s">
        <v>432</v>
      </c>
      <c r="B35" s="390">
        <f>AVERAGE(C32:E32)</f>
        <v>92.609847980685416</v>
      </c>
      <c r="C35" s="60"/>
      <c r="D35" s="60"/>
      <c r="E35" s="60"/>
      <c r="F35" s="452"/>
      <c r="G35" s="452"/>
      <c r="H35" s="452"/>
      <c r="I35" s="452"/>
      <c r="J35" s="452"/>
      <c r="K35" s="452"/>
    </row>
    <row r="36" spans="1:11" ht="15" customHeight="1">
      <c r="A36" s="156" t="s">
        <v>462</v>
      </c>
      <c r="B36" s="390">
        <f>AVERAGE(C33:E33)</f>
        <v>35.081764424095823</v>
      </c>
      <c r="C36" s="60"/>
      <c r="D36" s="60"/>
      <c r="E36" s="60"/>
      <c r="F36" s="452"/>
      <c r="G36" s="452"/>
      <c r="H36" s="452"/>
      <c r="I36" s="452"/>
      <c r="J36" s="452"/>
      <c r="K36" s="452"/>
    </row>
    <row r="37" spans="1:11" ht="24.95" customHeight="1">
      <c r="A37" s="156"/>
      <c r="B37" s="390"/>
      <c r="C37" s="60"/>
      <c r="D37" s="60"/>
      <c r="E37" s="60"/>
      <c r="F37" s="452"/>
      <c r="G37" s="452"/>
      <c r="H37" s="452"/>
      <c r="I37" s="452"/>
      <c r="J37" s="452"/>
      <c r="K37" s="452"/>
    </row>
    <row r="38" spans="1:11" ht="15" customHeight="1">
      <c r="A38" s="451" t="s">
        <v>619</v>
      </c>
      <c r="C38" s="452"/>
      <c r="D38" s="452"/>
      <c r="E38" s="452"/>
      <c r="F38" s="452"/>
      <c r="G38" s="452"/>
      <c r="H38" s="452"/>
      <c r="I38" s="452"/>
      <c r="J38" s="452"/>
      <c r="K38" s="452"/>
    </row>
    <row r="39" spans="1:11" ht="24.95" customHeight="1">
      <c r="A39" s="63" t="s">
        <v>154</v>
      </c>
      <c r="C39" s="394">
        <f>-'Cash Flow Statement - As Repor.'!B30/'Income Statement - Restated'!B9</f>
        <v>3.9105283455457003E-2</v>
      </c>
      <c r="D39" s="394">
        <f>-'Cash Flow Statement - As Repor.'!C30/'Income Statement - Restated'!C9</f>
        <v>3.8976194180799749E-2</v>
      </c>
      <c r="E39" s="394">
        <f>-'Cash Flow Statement - As Repor.'!D30/'Income Statement - Restated'!D9</f>
        <v>4.2666272975566549E-2</v>
      </c>
    </row>
    <row r="40" spans="1:11" ht="15" customHeight="1">
      <c r="A40" s="156" t="s">
        <v>125</v>
      </c>
      <c r="B40" s="316">
        <f>CAPEX_Sales_Percentage</f>
        <v>0.04</v>
      </c>
    </row>
    <row r="41" spans="1:11" ht="24.95" customHeight="1">
      <c r="A41" s="61" t="s">
        <v>153</v>
      </c>
      <c r="B41" s="300">
        <v>16.5</v>
      </c>
      <c r="K41" s="252"/>
    </row>
    <row r="42" spans="1:11" ht="24.95" customHeight="1">
      <c r="A42" s="63" t="s">
        <v>617</v>
      </c>
      <c r="B42" s="168"/>
      <c r="C42" s="526" t="s">
        <v>618</v>
      </c>
      <c r="D42" s="526"/>
      <c r="E42" s="526"/>
      <c r="F42" s="526"/>
      <c r="G42" s="526"/>
      <c r="H42" s="526"/>
      <c r="I42" s="526"/>
      <c r="J42" s="526"/>
    </row>
    <row r="43" spans="1:11" ht="24.95" customHeight="1">
      <c r="B43" s="168"/>
    </row>
    <row r="44" spans="1:11" ht="24.95" customHeight="1" thickBot="1">
      <c r="A44" s="191" t="s">
        <v>463</v>
      </c>
      <c r="F44" s="60"/>
      <c r="G44" s="60"/>
      <c r="H44" s="60"/>
    </row>
    <row r="45" spans="1:11" ht="15" customHeight="1" thickTop="1">
      <c r="A45" s="451" t="s">
        <v>282</v>
      </c>
      <c r="F45" s="60"/>
      <c r="G45" s="60"/>
      <c r="H45" s="60"/>
    </row>
    <row r="46" spans="1:11" ht="24.95" customHeight="1">
      <c r="A46" s="63" t="s">
        <v>324</v>
      </c>
      <c r="C46" s="166">
        <f>'Balance Sheet - Restated'!B39/'Income Statement - Restated'!B9</f>
        <v>8.24527574238334E-2</v>
      </c>
      <c r="D46" s="166">
        <f>'Balance Sheet - Restated'!C39/'Income Statement - Restated'!C9</f>
        <v>6.0603703127431151E-2</v>
      </c>
      <c r="E46" s="166">
        <f>'Balance Sheet - Restated'!D39/'Income Statement - Restated'!D9</f>
        <v>5.0638517753008046E-2</v>
      </c>
      <c r="F46" s="60"/>
      <c r="G46" s="60"/>
      <c r="H46" s="60"/>
    </row>
    <row r="47" spans="1:11" ht="15" customHeight="1">
      <c r="A47" s="156" t="s">
        <v>325</v>
      </c>
      <c r="B47" s="255">
        <f>AVERAGE(C46:E46)</f>
        <v>6.456499276809087E-2</v>
      </c>
      <c r="C47" s="60"/>
      <c r="D47" s="60"/>
      <c r="E47" s="60"/>
      <c r="F47" s="60"/>
      <c r="G47" s="60"/>
      <c r="H47" s="60"/>
    </row>
    <row r="48" spans="1:11" ht="24.95" customHeight="1">
      <c r="A48" s="63" t="s">
        <v>620</v>
      </c>
      <c r="B48" s="168"/>
      <c r="C48" s="528" t="s">
        <v>623</v>
      </c>
      <c r="D48" s="528"/>
      <c r="E48" s="528"/>
      <c r="F48" s="528"/>
      <c r="G48" s="528"/>
      <c r="H48" s="528"/>
      <c r="I48" s="528"/>
      <c r="J48" s="528"/>
    </row>
    <row r="49" spans="1:10" ht="24.95" customHeight="1">
      <c r="A49" s="61" t="s">
        <v>75</v>
      </c>
      <c r="B49" s="168"/>
      <c r="C49" s="528" t="s">
        <v>621</v>
      </c>
      <c r="D49" s="528"/>
      <c r="E49" s="528"/>
      <c r="F49" s="528"/>
      <c r="G49" s="528"/>
      <c r="H49" s="528"/>
      <c r="I49" s="528"/>
      <c r="J49" s="528"/>
    </row>
    <row r="50" spans="1:10" ht="24.95" customHeight="1">
      <c r="A50" s="61" t="s">
        <v>76</v>
      </c>
      <c r="B50" s="168"/>
      <c r="C50" s="528" t="s">
        <v>622</v>
      </c>
      <c r="D50" s="528"/>
      <c r="E50" s="528"/>
      <c r="F50" s="528"/>
      <c r="G50" s="528"/>
      <c r="H50" s="528"/>
      <c r="I50" s="528"/>
      <c r="J50" s="528"/>
    </row>
    <row r="51" spans="1:10" ht="24.95" customHeight="1">
      <c r="A51" s="436" t="s">
        <v>304</v>
      </c>
      <c r="C51" s="526" t="s">
        <v>630</v>
      </c>
      <c r="D51" s="526"/>
      <c r="E51" s="526"/>
      <c r="F51" s="526"/>
      <c r="G51" s="526"/>
      <c r="H51" s="526"/>
      <c r="I51" s="526"/>
      <c r="J51" s="526"/>
    </row>
    <row r="52" spans="1:10" ht="24.95" customHeight="1">
      <c r="A52" s="436" t="s">
        <v>645</v>
      </c>
      <c r="C52" s="526" t="s">
        <v>629</v>
      </c>
      <c r="D52" s="526"/>
      <c r="E52" s="526"/>
      <c r="F52" s="526"/>
      <c r="G52" s="526"/>
      <c r="H52" s="526"/>
      <c r="I52" s="526"/>
      <c r="J52" s="526"/>
    </row>
    <row r="53" spans="1:10" ht="24.95" customHeight="1">
      <c r="A53" s="436" t="s">
        <v>594</v>
      </c>
      <c r="C53" s="528" t="s">
        <v>624</v>
      </c>
      <c r="D53" s="528"/>
      <c r="E53" s="528"/>
      <c r="F53" s="528"/>
      <c r="G53" s="528"/>
      <c r="H53" s="528"/>
      <c r="I53" s="528"/>
      <c r="J53" s="528"/>
    </row>
    <row r="54" spans="1:10" ht="24.95" customHeight="1">
      <c r="A54" s="436" t="s">
        <v>592</v>
      </c>
      <c r="C54" s="526" t="s">
        <v>628</v>
      </c>
      <c r="D54" s="526"/>
      <c r="E54" s="526"/>
      <c r="F54" s="526"/>
      <c r="G54" s="526"/>
      <c r="H54" s="526"/>
      <c r="I54" s="526"/>
      <c r="J54" s="526"/>
    </row>
    <row r="55" spans="1:10" ht="24.95" customHeight="1">
      <c r="A55" s="436" t="s">
        <v>593</v>
      </c>
      <c r="C55" s="526" t="s">
        <v>627</v>
      </c>
      <c r="D55" s="526"/>
      <c r="E55" s="526"/>
      <c r="F55" s="526"/>
      <c r="G55" s="526"/>
      <c r="H55" s="526"/>
      <c r="I55" s="526"/>
      <c r="J55" s="526"/>
    </row>
    <row r="56" spans="1:10" ht="24.95" customHeight="1">
      <c r="A56" s="61" t="s">
        <v>625</v>
      </c>
      <c r="C56" s="526" t="s">
        <v>626</v>
      </c>
      <c r="D56" s="526"/>
      <c r="E56" s="526"/>
      <c r="F56" s="526"/>
      <c r="G56" s="526"/>
      <c r="H56" s="526"/>
      <c r="I56" s="526"/>
      <c r="J56" s="526"/>
    </row>
    <row r="57" spans="1:10" ht="24.95" customHeight="1">
      <c r="F57" s="60"/>
      <c r="G57" s="60"/>
      <c r="H57" s="60"/>
    </row>
    <row r="58" spans="1:10" ht="15" customHeight="1">
      <c r="A58" s="451" t="s">
        <v>281</v>
      </c>
      <c r="F58" s="60"/>
      <c r="G58" s="60"/>
      <c r="H58" s="60"/>
    </row>
    <row r="59" spans="1:10" ht="24.95" customHeight="1">
      <c r="A59" s="63" t="s">
        <v>319</v>
      </c>
      <c r="B59" s="168"/>
      <c r="C59" s="216">
        <f>'Income Statement - As Reported'!B25*'Income Statement - As Reported'!B27</f>
        <v>714</v>
      </c>
      <c r="D59" s="216">
        <f>'Income Statement - As Reported'!C25*'Income Statement - As Reported'!C27</f>
        <v>737.76</v>
      </c>
      <c r="E59" s="216">
        <f>'Income Statement - As Reported'!D25*'Income Statement - As Reported'!D27</f>
        <v>763.40000000000009</v>
      </c>
      <c r="F59" s="60"/>
      <c r="G59" s="60"/>
      <c r="H59" s="60"/>
    </row>
    <row r="60" spans="1:10" ht="24.95" customHeight="1">
      <c r="A60" s="63" t="s">
        <v>320</v>
      </c>
      <c r="B60" s="61"/>
      <c r="C60" s="166">
        <f>C59/'Income Statement - As Reported'!B32</f>
        <v>1.0214592274678111</v>
      </c>
      <c r="D60" s="166">
        <f>D59/'Income Statement - As Reported'!C32</f>
        <v>0.58832535885167458</v>
      </c>
      <c r="E60" s="166">
        <f>E59/'Income Statement - As Reported'!D32</f>
        <v>0.5714071856287426</v>
      </c>
      <c r="F60" s="60"/>
      <c r="G60" s="60"/>
      <c r="H60" s="60"/>
    </row>
    <row r="61" spans="1:10" ht="15" customHeight="1">
      <c r="A61" s="156" t="s">
        <v>337</v>
      </c>
      <c r="B61" s="254">
        <f>AVERAGE(C60:E60)</f>
        <v>0.72706392398274267</v>
      </c>
      <c r="C61" s="60"/>
      <c r="D61" s="60"/>
      <c r="E61" s="60"/>
      <c r="F61" s="60"/>
      <c r="G61" s="60"/>
      <c r="H61" s="60"/>
    </row>
    <row r="62" spans="1:10" ht="24.95" customHeight="1">
      <c r="A62" s="63" t="s">
        <v>92</v>
      </c>
      <c r="B62" s="168"/>
      <c r="C62" s="216">
        <f>'Income Statement - As Reported'!B18</f>
        <v>406</v>
      </c>
      <c r="D62" s="216">
        <f>'Income Statement - As Reported'!C18</f>
        <v>256</v>
      </c>
      <c r="E62" s="216">
        <f>'Income Statement - As Reported'!D18</f>
        <v>287</v>
      </c>
    </row>
    <row r="63" spans="1:10" ht="24.95" customHeight="1">
      <c r="A63" s="63" t="s">
        <v>328</v>
      </c>
      <c r="C63" s="143"/>
      <c r="D63" s="166">
        <f>D62/AVERAGE('Balance Sheet - Restated'!B43:C43)</f>
        <v>3.1062306618940726E-2</v>
      </c>
      <c r="E63" s="166">
        <f>E62/AVERAGE('Balance Sheet - Restated'!C43:D43)</f>
        <v>3.2621050238690615E-2</v>
      </c>
      <c r="F63" s="60"/>
      <c r="G63" s="60"/>
      <c r="H63" s="60"/>
    </row>
    <row r="64" spans="1:10" ht="15" customHeight="1">
      <c r="A64" s="156" t="s">
        <v>329</v>
      </c>
      <c r="B64" s="254">
        <f>AVERAGE(D63:E63)</f>
        <v>3.1841678428815669E-2</v>
      </c>
      <c r="C64" s="143"/>
      <c r="D64" s="143"/>
      <c r="E64" s="143"/>
      <c r="F64" s="60"/>
      <c r="G64" s="60"/>
      <c r="H64" s="60"/>
    </row>
    <row r="65" spans="1:11" ht="24.95" customHeight="1">
      <c r="A65" s="63" t="s">
        <v>334</v>
      </c>
      <c r="B65" s="168"/>
      <c r="C65" s="216">
        <f>'Income Statement - As Reported'!B16</f>
        <v>5</v>
      </c>
      <c r="D65" s="216">
        <f>'Income Statement - As Reported'!C16</f>
        <v>9</v>
      </c>
      <c r="E65" s="216">
        <f>'Income Statement - As Reported'!D16</f>
        <v>16</v>
      </c>
    </row>
    <row r="66" spans="1:11" ht="24.95" customHeight="1">
      <c r="A66" s="63" t="s">
        <v>388</v>
      </c>
      <c r="C66" s="143"/>
      <c r="D66" s="166">
        <f>D65/AVERAGE('Balance Sheet - As Reported'!B10:C10)</f>
        <v>3.2085561497326207E-2</v>
      </c>
      <c r="E66" s="166">
        <f>E65/AVERAGE('Balance Sheet - As Reported'!C10:D10)</f>
        <v>5.3156146179401995E-2</v>
      </c>
    </row>
    <row r="67" spans="1:11" ht="15" customHeight="1">
      <c r="A67" s="156" t="s">
        <v>389</v>
      </c>
      <c r="B67" s="303">
        <f>AVERAGE(D66:E66)</f>
        <v>4.2620853838364101E-2</v>
      </c>
      <c r="C67" s="60"/>
      <c r="D67" s="60"/>
      <c r="E67" s="60"/>
    </row>
    <row r="68" spans="1:11" ht="24.95" customHeight="1">
      <c r="A68" s="63" t="s">
        <v>335</v>
      </c>
      <c r="B68" s="168"/>
      <c r="C68" s="166">
        <f>'Income Statement - Restated'!B21/'Income Statement - Restated'!B20</f>
        <v>0.25160599571734477</v>
      </c>
      <c r="D68" s="166">
        <f>'Income Statement - Restated'!C21/'Income Statement - Restated'!C20</f>
        <v>0.24743512371756185</v>
      </c>
      <c r="E68" s="166">
        <f>'Income Statement - Restated'!D21/'Income Statement - Restated'!D20</f>
        <v>0.13619262603461249</v>
      </c>
      <c r="F68" s="60"/>
      <c r="G68" s="60"/>
      <c r="H68" s="60"/>
    </row>
    <row r="69" spans="1:11" ht="15" customHeight="1">
      <c r="A69" s="156" t="s">
        <v>537</v>
      </c>
      <c r="B69" s="251">
        <f>AVERAGE(C68:E68)</f>
        <v>0.21174458182317302</v>
      </c>
    </row>
    <row r="70" spans="1:11" ht="24.95" customHeight="1">
      <c r="B70" s="168"/>
    </row>
    <row r="71" spans="1:11" ht="24.95" customHeight="1" thickBot="1">
      <c r="A71" s="64" t="s">
        <v>631</v>
      </c>
    </row>
    <row r="72" spans="1:11" ht="15" customHeight="1" thickTop="1">
      <c r="A72" s="451" t="s">
        <v>282</v>
      </c>
    </row>
    <row r="73" spans="1:11" ht="24.95" customHeight="1">
      <c r="A73" s="63" t="s">
        <v>78</v>
      </c>
      <c r="C73" s="526" t="s">
        <v>632</v>
      </c>
      <c r="D73" s="526"/>
      <c r="E73" s="526"/>
      <c r="F73" s="526"/>
      <c r="G73" s="526"/>
      <c r="H73" s="526"/>
      <c r="I73" s="526"/>
      <c r="J73" s="526"/>
      <c r="K73" s="526"/>
    </row>
    <row r="74" spans="1:11" ht="24.95" customHeight="1">
      <c r="A74" s="63" t="s">
        <v>599</v>
      </c>
      <c r="C74" s="526" t="s">
        <v>633</v>
      </c>
      <c r="D74" s="526"/>
      <c r="E74" s="526"/>
      <c r="F74" s="526"/>
      <c r="G74" s="526"/>
      <c r="H74" s="526"/>
      <c r="I74" s="526"/>
      <c r="J74" s="526"/>
      <c r="K74" s="526"/>
    </row>
    <row r="75" spans="1:11" ht="24.95" customHeight="1">
      <c r="A75" s="63" t="s">
        <v>600</v>
      </c>
      <c r="C75" s="526" t="s">
        <v>634</v>
      </c>
      <c r="D75" s="526"/>
      <c r="E75" s="526"/>
      <c r="F75" s="526"/>
      <c r="G75" s="526"/>
      <c r="H75" s="526"/>
      <c r="I75" s="526"/>
      <c r="J75" s="526"/>
      <c r="K75" s="526"/>
    </row>
    <row r="77" spans="1:11" ht="15" customHeight="1">
      <c r="A77" s="451" t="s">
        <v>281</v>
      </c>
    </row>
    <row r="78" spans="1:11" ht="24.95" customHeight="1">
      <c r="A78" s="63" t="s">
        <v>122</v>
      </c>
      <c r="C78" s="526" t="s">
        <v>635</v>
      </c>
      <c r="D78" s="526"/>
      <c r="E78" s="526"/>
      <c r="F78" s="526"/>
      <c r="G78" s="526"/>
      <c r="H78" s="526"/>
      <c r="I78" s="526"/>
      <c r="J78" s="526"/>
      <c r="K78" s="526"/>
    </row>
    <row r="79" spans="1:11" ht="24.95" customHeight="1">
      <c r="A79" s="61" t="s">
        <v>120</v>
      </c>
      <c r="C79" s="526" t="s">
        <v>636</v>
      </c>
      <c r="D79" s="526"/>
      <c r="E79" s="526"/>
      <c r="F79" s="526"/>
      <c r="G79" s="526"/>
      <c r="H79" s="526"/>
      <c r="I79" s="526"/>
      <c r="J79" s="526"/>
      <c r="K79" s="526"/>
    </row>
    <row r="85" ht="15" customHeight="1"/>
  </sheetData>
  <scenarios current="0">
    <scenario name="Expansion" locked="1" count="1" user="D'Amato, Luigi" comment="Creato da: D'Amato, Luigi il 02/03/2020_x000a_Modificato da: D'Amato, Luigi il 02/03/2020">
      <inputCells r="B40" val="0,048" numFmtId="9"/>
    </scenario>
  </scenarios>
  <mergeCells count="23">
    <mergeCell ref="C79:K79"/>
    <mergeCell ref="C78:K78"/>
    <mergeCell ref="C75:K75"/>
    <mergeCell ref="C74:K74"/>
    <mergeCell ref="C73:K73"/>
    <mergeCell ref="C42:J42"/>
    <mergeCell ref="C48:J48"/>
    <mergeCell ref="C49:J49"/>
    <mergeCell ref="C50:J50"/>
    <mergeCell ref="C56:J56"/>
    <mergeCell ref="C55:J55"/>
    <mergeCell ref="C54:J54"/>
    <mergeCell ref="C53:J53"/>
    <mergeCell ref="C52:J52"/>
    <mergeCell ref="C51:J51"/>
    <mergeCell ref="C8:K8"/>
    <mergeCell ref="C24:K24"/>
    <mergeCell ref="C25:K25"/>
    <mergeCell ref="C10:K10"/>
    <mergeCell ref="C11:K11"/>
    <mergeCell ref="C9:K9"/>
    <mergeCell ref="C20:K20"/>
    <mergeCell ref="C15:K15"/>
  </mergeCells>
  <phoneticPr fontId="40"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4CEB-A823-40DC-ABB7-00D61D0AE009}">
  <dimension ref="A1"/>
  <sheetViews>
    <sheetView workbookViewId="0">
      <selection activeCell="B30" sqref="B30"/>
    </sheetView>
  </sheetViews>
  <sheetFormatPr defaultColWidth="13.6640625" defaultRowHeight="12.75" customHeight="1"/>
  <cols>
    <col min="1" max="1" width="40" style="27" customWidth="1"/>
    <col min="2" max="16384" width="13.6640625" style="27"/>
  </cols>
  <sheetData>
    <row r="1" spans="1:1" ht="25.5" customHeight="1">
      <c r="A1" s="209" t="s">
        <v>467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6"/>
  <sheetViews>
    <sheetView zoomScaleNormal="100" workbookViewId="0">
      <selection activeCell="B1" sqref="B1"/>
    </sheetView>
  </sheetViews>
  <sheetFormatPr defaultColWidth="40.83203125" defaultRowHeight="39.950000000000003" customHeight="1"/>
  <sheetData>
    <row r="1" spans="1:4" ht="39.950000000000003" customHeight="1">
      <c r="A1" s="172" t="s">
        <v>532</v>
      </c>
    </row>
    <row r="2" spans="1:4" ht="39.950000000000003" customHeight="1">
      <c r="A2" s="531" t="s">
        <v>80</v>
      </c>
      <c r="B2" s="532"/>
      <c r="C2" s="532"/>
      <c r="D2" s="532"/>
    </row>
    <row r="3" spans="1:4" ht="39.950000000000003" customHeight="1">
      <c r="A3" s="529" t="s">
        <v>0</v>
      </c>
      <c r="B3" s="529"/>
      <c r="C3" s="529"/>
      <c r="D3" s="530"/>
    </row>
    <row r="5" spans="1:4" ht="39.950000000000003" customHeight="1">
      <c r="A5" s="455" t="s">
        <v>554</v>
      </c>
      <c r="B5" s="456" t="s">
        <v>331</v>
      </c>
      <c r="C5" s="456" t="s">
        <v>332</v>
      </c>
      <c r="D5" s="457" t="s">
        <v>333</v>
      </c>
    </row>
    <row r="6" spans="1:4" ht="39.950000000000003" customHeight="1">
      <c r="A6" s="533" t="s">
        <v>42</v>
      </c>
      <c r="B6" s="534"/>
      <c r="C6" s="534"/>
      <c r="D6" s="535"/>
    </row>
    <row r="7" spans="1:4" ht="39.950000000000003" customHeight="1">
      <c r="A7" s="12"/>
      <c r="B7" s="23"/>
      <c r="C7" s="23"/>
      <c r="D7" s="24"/>
    </row>
    <row r="8" spans="1:4" ht="39.950000000000003" customHeight="1">
      <c r="A8" s="9" t="s">
        <v>36</v>
      </c>
      <c r="B8" s="5"/>
      <c r="C8" s="5"/>
      <c r="D8" s="5"/>
    </row>
    <row r="9" spans="1:4" ht="39.950000000000003" customHeight="1">
      <c r="A9" s="13"/>
      <c r="B9" s="5"/>
      <c r="C9" s="5"/>
      <c r="D9" s="5"/>
    </row>
    <row r="10" spans="1:4" ht="39.950000000000003" customHeight="1">
      <c r="A10" s="10" t="s">
        <v>1</v>
      </c>
      <c r="B10" s="256">
        <v>280</v>
      </c>
      <c r="C10" s="256">
        <v>281</v>
      </c>
      <c r="D10" s="256">
        <v>321</v>
      </c>
    </row>
    <row r="11" spans="1:4" ht="39.950000000000003" customHeight="1">
      <c r="A11" s="10" t="s">
        <v>2</v>
      </c>
      <c r="B11" s="256">
        <v>1231</v>
      </c>
      <c r="C11" s="256">
        <v>1389</v>
      </c>
      <c r="D11" s="256">
        <v>1375</v>
      </c>
    </row>
    <row r="12" spans="1:4" ht="39.950000000000003" customHeight="1">
      <c r="A12" s="10" t="s">
        <v>3</v>
      </c>
      <c r="B12" s="256">
        <v>1238</v>
      </c>
      <c r="C12" s="256">
        <v>1217</v>
      </c>
      <c r="D12" s="256">
        <v>1330</v>
      </c>
    </row>
    <row r="13" spans="1:4" ht="39.950000000000003" customHeight="1">
      <c r="A13" s="10" t="s">
        <v>4</v>
      </c>
      <c r="B13" s="256">
        <v>191</v>
      </c>
      <c r="C13" s="256">
        <v>149</v>
      </c>
      <c r="D13" s="256">
        <v>131</v>
      </c>
    </row>
    <row r="14" spans="1:4" ht="39.950000000000003" customHeight="1">
      <c r="A14" s="9" t="s">
        <v>5</v>
      </c>
      <c r="B14" s="257">
        <v>2940</v>
      </c>
      <c r="C14" s="257">
        <v>3036</v>
      </c>
      <c r="D14" s="257">
        <v>3157</v>
      </c>
    </row>
    <row r="15" spans="1:4" ht="39.950000000000003" customHeight="1">
      <c r="A15" s="9"/>
      <c r="B15" s="231"/>
      <c r="C15" s="231"/>
      <c r="D15" s="231"/>
    </row>
    <row r="16" spans="1:4" ht="39.950000000000003" customHeight="1">
      <c r="A16" s="9" t="s">
        <v>40</v>
      </c>
      <c r="B16" s="5"/>
      <c r="C16" s="5"/>
      <c r="D16" s="5"/>
    </row>
    <row r="17" spans="1:4" ht="39.950000000000003" customHeight="1">
      <c r="A17" s="13"/>
      <c r="B17" s="5"/>
      <c r="C17" s="5"/>
      <c r="D17" s="5"/>
    </row>
    <row r="18" spans="1:4" ht="39.950000000000003" customHeight="1">
      <c r="A18" s="10" t="s">
        <v>6</v>
      </c>
      <c r="B18" s="25" t="s">
        <v>7</v>
      </c>
      <c r="C18" s="25" t="s">
        <v>7</v>
      </c>
      <c r="D18" s="25" t="s">
        <v>7</v>
      </c>
    </row>
    <row r="19" spans="1:4" ht="39.950000000000003" customHeight="1">
      <c r="A19" s="10" t="s">
        <v>8</v>
      </c>
      <c r="B19" s="256">
        <v>3569</v>
      </c>
      <c r="C19" s="256">
        <v>3716</v>
      </c>
      <c r="D19" s="256">
        <v>3731</v>
      </c>
    </row>
    <row r="20" spans="1:4" ht="39.950000000000003" customHeight="1">
      <c r="A20" s="10" t="s">
        <v>9</v>
      </c>
      <c r="B20" s="256">
        <v>2369</v>
      </c>
      <c r="C20" s="256">
        <v>2639</v>
      </c>
      <c r="D20" s="256">
        <v>3361</v>
      </c>
    </row>
    <row r="21" spans="1:4" ht="39.950000000000003" customHeight="1">
      <c r="A21" s="10" t="s">
        <v>10</v>
      </c>
      <c r="B21" s="256">
        <v>438</v>
      </c>
      <c r="C21" s="256">
        <v>429</v>
      </c>
      <c r="D21" s="256">
        <v>413</v>
      </c>
    </row>
    <row r="22" spans="1:4" ht="39.950000000000003" customHeight="1">
      <c r="A22" s="10" t="s">
        <v>11</v>
      </c>
      <c r="B22" s="256">
        <v>5166</v>
      </c>
      <c r="C22" s="256">
        <v>5504</v>
      </c>
      <c r="D22" s="256">
        <v>6050</v>
      </c>
    </row>
    <row r="23" spans="1:4" ht="39.950000000000003" customHeight="1">
      <c r="A23" s="440" t="s">
        <v>606</v>
      </c>
      <c r="B23" s="256">
        <v>629</v>
      </c>
      <c r="C23" s="256">
        <v>1027</v>
      </c>
      <c r="D23" s="256">
        <v>1068</v>
      </c>
    </row>
    <row r="24" spans="1:4" ht="39.950000000000003" customHeight="1">
      <c r="A24" s="9" t="s">
        <v>41</v>
      </c>
      <c r="B24" s="257">
        <f>SUM(B19:B23)</f>
        <v>12171</v>
      </c>
      <c r="C24" s="257">
        <f t="shared" ref="C24:D24" si="0">SUM(C19:C23)</f>
        <v>13315</v>
      </c>
      <c r="D24" s="257">
        <f t="shared" si="0"/>
        <v>14623</v>
      </c>
    </row>
    <row r="25" spans="1:4" ht="39.950000000000003" customHeight="1">
      <c r="A25" s="9" t="s">
        <v>12</v>
      </c>
      <c r="B25" s="257">
        <v>15111</v>
      </c>
      <c r="C25" s="257">
        <v>16351</v>
      </c>
      <c r="D25" s="257">
        <v>17780</v>
      </c>
    </row>
    <row r="26" spans="1:4" ht="39.950000000000003" customHeight="1">
      <c r="A26" s="9"/>
      <c r="B26" s="6"/>
      <c r="C26" s="6"/>
      <c r="D26" s="6"/>
    </row>
    <row r="27" spans="1:4" ht="39.950000000000003" customHeight="1">
      <c r="A27" s="536" t="s">
        <v>43</v>
      </c>
      <c r="B27" s="537"/>
      <c r="C27" s="537"/>
      <c r="D27" s="538"/>
    </row>
    <row r="28" spans="1:4" ht="39.950000000000003" customHeight="1">
      <c r="A28" s="15"/>
      <c r="B28" s="26"/>
      <c r="C28" s="26"/>
      <c r="D28" s="26"/>
    </row>
    <row r="29" spans="1:4" s="1" customFormat="1" ht="39.950000000000003" customHeight="1">
      <c r="A29" s="9" t="s">
        <v>37</v>
      </c>
      <c r="B29" s="26"/>
      <c r="C29" s="26"/>
      <c r="D29" s="26"/>
    </row>
    <row r="30" spans="1:4" s="1" customFormat="1" ht="39.950000000000003" customHeight="1">
      <c r="A30" s="16"/>
      <c r="B30" s="5"/>
      <c r="C30" s="5"/>
      <c r="D30" s="5"/>
    </row>
    <row r="31" spans="1:4" s="1" customFormat="1" ht="39.950000000000003" customHeight="1">
      <c r="A31" s="10" t="s">
        <v>13</v>
      </c>
      <c r="B31" s="256">
        <v>2014</v>
      </c>
      <c r="C31" s="256">
        <v>2269</v>
      </c>
      <c r="D31" s="256">
        <v>2427</v>
      </c>
    </row>
    <row r="32" spans="1:4" ht="39.950000000000003" customHeight="1">
      <c r="A32" s="10" t="s">
        <v>14</v>
      </c>
      <c r="B32" s="256">
        <v>631</v>
      </c>
      <c r="C32" s="256">
        <v>409</v>
      </c>
      <c r="D32" s="256">
        <v>510</v>
      </c>
    </row>
    <row r="33" spans="1:4" ht="39.950000000000003" customHeight="1">
      <c r="A33" s="10" t="s">
        <v>15</v>
      </c>
      <c r="B33" s="256">
        <v>438</v>
      </c>
      <c r="C33" s="256">
        <v>370</v>
      </c>
      <c r="D33" s="256">
        <v>176</v>
      </c>
    </row>
    <row r="34" spans="1:4" ht="39.950000000000003" customHeight="1">
      <c r="A34" s="10" t="s">
        <v>16</v>
      </c>
      <c r="B34" s="256">
        <v>318</v>
      </c>
      <c r="C34" s="258" t="s">
        <v>7</v>
      </c>
      <c r="D34" s="258" t="s">
        <v>7</v>
      </c>
    </row>
    <row r="35" spans="1:4" ht="39.950000000000003" customHeight="1">
      <c r="A35" s="10" t="s">
        <v>17</v>
      </c>
      <c r="B35" s="256">
        <v>436</v>
      </c>
      <c r="C35" s="258" t="s">
        <v>7</v>
      </c>
      <c r="D35" s="258" t="s">
        <v>7</v>
      </c>
    </row>
    <row r="36" spans="1:4" ht="39.950000000000003" customHeight="1">
      <c r="A36" s="10" t="s">
        <v>18</v>
      </c>
      <c r="B36" s="256">
        <v>590</v>
      </c>
      <c r="C36" s="256">
        <v>1474</v>
      </c>
      <c r="D36" s="256">
        <v>1416</v>
      </c>
    </row>
    <row r="37" spans="1:4" ht="39.950000000000003" customHeight="1">
      <c r="A37" s="10" t="s">
        <v>19</v>
      </c>
      <c r="B37" s="256">
        <v>47</v>
      </c>
      <c r="C37" s="258" t="s">
        <v>7</v>
      </c>
      <c r="D37" s="258" t="s">
        <v>7</v>
      </c>
    </row>
    <row r="38" spans="1:4" ht="39.950000000000003" customHeight="1">
      <c r="A38" s="9" t="s">
        <v>20</v>
      </c>
      <c r="B38" s="257">
        <v>4474</v>
      </c>
      <c r="C38" s="257">
        <v>4522</v>
      </c>
      <c r="D38" s="257">
        <v>4529</v>
      </c>
    </row>
    <row r="39" spans="1:4" ht="39.950000000000003" customHeight="1">
      <c r="A39" s="9"/>
      <c r="B39" s="257"/>
      <c r="C39" s="257"/>
      <c r="D39" s="257"/>
    </row>
    <row r="40" spans="1:4" ht="39.950000000000003" customHeight="1">
      <c r="A40" s="9" t="s">
        <v>44</v>
      </c>
      <c r="B40" s="259"/>
      <c r="C40" s="259"/>
      <c r="D40" s="259"/>
    </row>
    <row r="41" spans="1:4" ht="39.950000000000003" customHeight="1">
      <c r="A41" s="9"/>
      <c r="B41" s="259"/>
      <c r="C41" s="259"/>
      <c r="D41" s="259"/>
    </row>
    <row r="42" spans="1:4" ht="39.950000000000003" customHeight="1">
      <c r="A42" s="10" t="s">
        <v>21</v>
      </c>
      <c r="B42" s="256">
        <v>6698</v>
      </c>
      <c r="C42" s="256">
        <v>7836</v>
      </c>
      <c r="D42" s="256">
        <v>8207</v>
      </c>
    </row>
    <row r="43" spans="1:4" ht="39.950000000000003" customHeight="1">
      <c r="A43" s="10" t="s">
        <v>22</v>
      </c>
      <c r="B43" s="256">
        <v>525</v>
      </c>
      <c r="C43" s="256">
        <v>355</v>
      </c>
      <c r="D43" s="256">
        <v>730</v>
      </c>
    </row>
    <row r="44" spans="1:4" ht="39.950000000000003" customHeight="1">
      <c r="A44" s="10" t="s">
        <v>23</v>
      </c>
      <c r="B44" s="256">
        <v>1024</v>
      </c>
      <c r="C44" s="256">
        <v>839</v>
      </c>
      <c r="D44" s="256">
        <v>651</v>
      </c>
    </row>
    <row r="45" spans="1:4" ht="39.950000000000003" customHeight="1">
      <c r="A45" s="440" t="s">
        <v>607</v>
      </c>
      <c r="B45" s="256">
        <v>464</v>
      </c>
      <c r="C45" s="256">
        <v>605</v>
      </c>
      <c r="D45" s="256">
        <v>504</v>
      </c>
    </row>
    <row r="46" spans="1:4" ht="39.950000000000003" customHeight="1">
      <c r="A46" s="9" t="s">
        <v>45</v>
      </c>
      <c r="B46" s="257">
        <f>SUM(B42:B45)</f>
        <v>8711</v>
      </c>
      <c r="C46" s="257">
        <f>SUM(C42:C45)</f>
        <v>9635</v>
      </c>
      <c r="D46" s="257">
        <f>SUM(D42:D45)</f>
        <v>10092</v>
      </c>
    </row>
    <row r="47" spans="1:4" ht="39.950000000000003" customHeight="1">
      <c r="A47" s="9" t="s">
        <v>46</v>
      </c>
      <c r="B47" s="257">
        <f>SUM(B38,B46)</f>
        <v>13185</v>
      </c>
      <c r="C47" s="257">
        <f t="shared" ref="C47:D47" si="1">SUM(C38,C46)</f>
        <v>14157</v>
      </c>
      <c r="D47" s="257">
        <f t="shared" si="1"/>
        <v>14621</v>
      </c>
    </row>
    <row r="48" spans="1:4" ht="39.950000000000003" customHeight="1">
      <c r="A48" s="9"/>
      <c r="B48" s="256"/>
      <c r="C48" s="256"/>
      <c r="D48" s="256"/>
    </row>
    <row r="49" spans="1:8" ht="39.950000000000003" customHeight="1">
      <c r="A49" s="9" t="s">
        <v>38</v>
      </c>
      <c r="B49" s="259"/>
      <c r="C49" s="259"/>
      <c r="D49" s="259"/>
    </row>
    <row r="50" spans="1:8" ht="39.950000000000003" customHeight="1">
      <c r="A50" s="9"/>
      <c r="B50" s="259"/>
      <c r="C50" s="259"/>
      <c r="D50" s="259"/>
    </row>
    <row r="51" spans="1:8" ht="39.950000000000003" customHeight="1">
      <c r="A51" s="10" t="s">
        <v>24</v>
      </c>
      <c r="B51" s="256">
        <v>16</v>
      </c>
      <c r="C51" s="256">
        <v>16</v>
      </c>
      <c r="D51" s="256">
        <v>558</v>
      </c>
    </row>
    <row r="52" spans="1:8" ht="39.950000000000003" customHeight="1">
      <c r="A52" s="10" t="s">
        <v>25</v>
      </c>
      <c r="B52" s="256">
        <v>105</v>
      </c>
      <c r="C52" s="256">
        <v>105</v>
      </c>
      <c r="D52" s="256">
        <v>105</v>
      </c>
    </row>
    <row r="53" spans="1:8" ht="39.950000000000003" customHeight="1">
      <c r="A53" s="10" t="s">
        <v>26</v>
      </c>
      <c r="B53" s="256">
        <v>806</v>
      </c>
      <c r="C53" s="256">
        <v>878</v>
      </c>
      <c r="D53" s="256">
        <v>895</v>
      </c>
    </row>
    <row r="54" spans="1:8" ht="39.950000000000003" customHeight="1">
      <c r="A54" s="10" t="s">
        <v>27</v>
      </c>
      <c r="B54" s="261">
        <v>-3997</v>
      </c>
      <c r="C54" s="261">
        <v>-4417</v>
      </c>
      <c r="D54" s="261">
        <v>-4551</v>
      </c>
    </row>
    <row r="55" spans="1:8" ht="39.950000000000003" customHeight="1">
      <c r="A55" s="10" t="s">
        <v>28</v>
      </c>
      <c r="B55" s="261">
        <v>-1575</v>
      </c>
      <c r="C55" s="261">
        <v>-1457</v>
      </c>
      <c r="D55" s="261">
        <v>-1500</v>
      </c>
    </row>
    <row r="56" spans="1:8" ht="39.950000000000003" customHeight="1">
      <c r="A56" s="10" t="s">
        <v>29</v>
      </c>
      <c r="B56" s="256">
        <v>6571</v>
      </c>
      <c r="C56" s="256">
        <v>7069</v>
      </c>
      <c r="D56" s="256">
        <v>7652</v>
      </c>
      <c r="E56" s="35"/>
    </row>
    <row r="57" spans="1:8" ht="39.950000000000003" customHeight="1">
      <c r="A57" s="10" t="s">
        <v>30</v>
      </c>
      <c r="B57" s="256">
        <v>0.25</v>
      </c>
      <c r="C57" s="256">
        <v>0.25</v>
      </c>
      <c r="D57" s="256">
        <v>0.25</v>
      </c>
    </row>
    <row r="58" spans="1:8" ht="39.950000000000003" customHeight="1">
      <c r="A58" s="10" t="s">
        <v>31</v>
      </c>
      <c r="B58" s="256">
        <v>69.400000000000006</v>
      </c>
      <c r="C58" s="256">
        <v>74.900000000000006</v>
      </c>
      <c r="D58" s="256">
        <v>76.8</v>
      </c>
    </row>
    <row r="59" spans="1:8" ht="39.950000000000003" customHeight="1">
      <c r="A59" s="10" t="s">
        <v>32</v>
      </c>
      <c r="B59" s="256">
        <v>420.5</v>
      </c>
      <c r="C59" s="256">
        <v>420.5</v>
      </c>
      <c r="D59" s="256">
        <v>420.7</v>
      </c>
      <c r="H59" s="2"/>
    </row>
    <row r="60" spans="1:8" ht="39.950000000000003" customHeight="1">
      <c r="A60" s="10" t="s">
        <v>33</v>
      </c>
      <c r="B60" s="256">
        <v>1926</v>
      </c>
      <c r="C60" s="256">
        <v>2194</v>
      </c>
      <c r="D60" s="256">
        <v>3159</v>
      </c>
    </row>
    <row r="61" spans="1:8" ht="39.950000000000003" customHeight="1">
      <c r="A61" s="10" t="s">
        <v>34</v>
      </c>
      <c r="B61" s="256">
        <v>1000</v>
      </c>
      <c r="C61" s="256">
        <v>1000</v>
      </c>
      <c r="D61" s="256">
        <v>1000</v>
      </c>
    </row>
    <row r="62" spans="1:8" ht="39.950000000000003" customHeight="1">
      <c r="A62" s="10" t="s">
        <v>39</v>
      </c>
      <c r="B62" s="256">
        <v>1910</v>
      </c>
      <c r="C62" s="256">
        <v>2178</v>
      </c>
      <c r="D62" s="256">
        <v>2601</v>
      </c>
    </row>
    <row r="63" spans="1:8" ht="39.950000000000003" customHeight="1">
      <c r="A63" s="22" t="s">
        <v>47</v>
      </c>
      <c r="B63" s="260">
        <v>15111</v>
      </c>
      <c r="C63" s="260">
        <v>16351</v>
      </c>
      <c r="D63" s="260">
        <v>17780</v>
      </c>
      <c r="E63" s="35"/>
    </row>
    <row r="64" spans="1:8" ht="39.950000000000003" customHeight="1">
      <c r="A64" s="3"/>
      <c r="B64" s="3"/>
      <c r="C64" s="3"/>
      <c r="D64" s="3"/>
    </row>
    <row r="65" spans="1:5" ht="39.950000000000003" customHeight="1">
      <c r="A65" s="4"/>
      <c r="B65" s="4"/>
      <c r="C65" s="4"/>
      <c r="D65" s="4"/>
      <c r="E65" s="3"/>
    </row>
    <row r="66" spans="1:5" ht="39.950000000000003" customHeight="1">
      <c r="E66" s="4"/>
    </row>
  </sheetData>
  <mergeCells count="4">
    <mergeCell ref="A3:D3"/>
    <mergeCell ref="A2:D2"/>
    <mergeCell ref="A6:D6"/>
    <mergeCell ref="A27:D27"/>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4"/>
  <sheetViews>
    <sheetView zoomScaleNormal="100" workbookViewId="0">
      <selection activeCell="E34" sqref="E34"/>
    </sheetView>
  </sheetViews>
  <sheetFormatPr defaultColWidth="40.83203125" defaultRowHeight="39.950000000000003" customHeight="1"/>
  <cols>
    <col min="1" max="1" width="43.83203125" customWidth="1"/>
  </cols>
  <sheetData>
    <row r="1" spans="1:4" ht="39.950000000000003" customHeight="1">
      <c r="A1" s="219" t="s">
        <v>533</v>
      </c>
    </row>
    <row r="2" spans="1:4" ht="39.950000000000003" customHeight="1">
      <c r="A2" s="395" t="s">
        <v>81</v>
      </c>
    </row>
    <row r="3" spans="1:4" ht="39.950000000000003" customHeight="1">
      <c r="A3" s="539" t="s">
        <v>35</v>
      </c>
      <c r="B3" s="540"/>
      <c r="C3" s="540"/>
      <c r="D3" s="541"/>
    </row>
    <row r="4" spans="1:4" ht="39.950000000000003" customHeight="1">
      <c r="B4" s="153"/>
      <c r="C4" s="153"/>
      <c r="D4" s="153"/>
    </row>
    <row r="5" spans="1:4" ht="39.950000000000003" customHeight="1">
      <c r="A5" s="458" t="s">
        <v>554</v>
      </c>
      <c r="B5" s="458" t="s">
        <v>86</v>
      </c>
      <c r="C5" s="458" t="s">
        <v>87</v>
      </c>
      <c r="D5" s="459" t="s">
        <v>88</v>
      </c>
    </row>
    <row r="6" spans="1:4" ht="39.950000000000003" customHeight="1">
      <c r="A6" s="542"/>
      <c r="B6" s="543"/>
      <c r="C6" s="543"/>
      <c r="D6" s="544"/>
    </row>
    <row r="7" spans="1:4" ht="39.950000000000003" customHeight="1">
      <c r="A7" s="10"/>
      <c r="B7" s="229"/>
      <c r="C7" s="229"/>
      <c r="D7" s="230"/>
    </row>
    <row r="8" spans="1:4" ht="39.950000000000003" customHeight="1">
      <c r="A8" s="9" t="s">
        <v>89</v>
      </c>
      <c r="B8" s="257">
        <v>12965</v>
      </c>
      <c r="C8" s="257">
        <v>12854</v>
      </c>
      <c r="D8" s="262">
        <v>13547</v>
      </c>
    </row>
    <row r="9" spans="1:4" ht="39.950000000000003" customHeight="1">
      <c r="A9" s="9" t="s">
        <v>109</v>
      </c>
      <c r="B9" s="263">
        <f>B8</f>
        <v>12965</v>
      </c>
      <c r="C9" s="263">
        <f t="shared" ref="C9:D9" si="0">C8</f>
        <v>12854</v>
      </c>
      <c r="D9" s="263">
        <f t="shared" si="0"/>
        <v>13547</v>
      </c>
    </row>
    <row r="10" spans="1:4" ht="39.950000000000003" customHeight="1">
      <c r="A10" s="9" t="s">
        <v>107</v>
      </c>
      <c r="B10" s="256"/>
      <c r="C10" s="256"/>
      <c r="D10" s="264"/>
    </row>
    <row r="11" spans="1:4" ht="39.950000000000003" customHeight="1">
      <c r="A11" s="30" t="s">
        <v>108</v>
      </c>
      <c r="B11" s="256">
        <v>8131</v>
      </c>
      <c r="C11" s="256">
        <v>8155</v>
      </c>
      <c r="D11" s="264">
        <v>8821</v>
      </c>
    </row>
    <row r="12" spans="1:4" ht="39.950000000000003" customHeight="1">
      <c r="A12" s="30" t="s">
        <v>90</v>
      </c>
      <c r="B12" s="256">
        <v>3351</v>
      </c>
      <c r="C12" s="256">
        <v>3312</v>
      </c>
      <c r="D12" s="264">
        <v>3020</v>
      </c>
    </row>
    <row r="13" spans="1:4" ht="39.950000000000003" customHeight="1">
      <c r="A13" s="9" t="s">
        <v>110</v>
      </c>
      <c r="B13" s="257">
        <f>SUM(B11:B12)</f>
        <v>11482</v>
      </c>
      <c r="C13" s="257">
        <f t="shared" ref="C13:D13" si="1">SUM(C11:C12)</f>
        <v>11467</v>
      </c>
      <c r="D13" s="257">
        <f t="shared" si="1"/>
        <v>11841</v>
      </c>
    </row>
    <row r="14" spans="1:4" ht="39.950000000000003" customHeight="1">
      <c r="A14" s="9" t="s">
        <v>91</v>
      </c>
      <c r="B14" s="257">
        <v>1483</v>
      </c>
      <c r="C14" s="257">
        <v>1387</v>
      </c>
      <c r="D14" s="262">
        <v>1706</v>
      </c>
    </row>
    <row r="15" spans="1:4" ht="39.950000000000003" customHeight="1">
      <c r="A15" s="9" t="s">
        <v>411</v>
      </c>
      <c r="B15" s="257"/>
      <c r="C15" s="257"/>
      <c r="D15" s="262"/>
    </row>
    <row r="16" spans="1:4" ht="39.950000000000003" customHeight="1">
      <c r="A16" s="30" t="s">
        <v>334</v>
      </c>
      <c r="B16" s="256">
        <v>5</v>
      </c>
      <c r="C16" s="256">
        <v>9</v>
      </c>
      <c r="D16" s="264">
        <v>16</v>
      </c>
    </row>
    <row r="17" spans="1:7" ht="39.950000000000003" customHeight="1">
      <c r="A17" s="31" t="s">
        <v>111</v>
      </c>
      <c r="B17" s="259"/>
      <c r="C17" s="259"/>
      <c r="D17" s="265"/>
      <c r="F17" s="35"/>
    </row>
    <row r="18" spans="1:7" ht="39.950000000000003" customHeight="1">
      <c r="A18" s="30" t="s">
        <v>92</v>
      </c>
      <c r="B18" s="256">
        <v>406</v>
      </c>
      <c r="C18" s="256">
        <v>256</v>
      </c>
      <c r="D18" s="264">
        <v>287</v>
      </c>
    </row>
    <row r="19" spans="1:7" ht="39.950000000000003" customHeight="1">
      <c r="A19" s="30" t="s">
        <v>93</v>
      </c>
      <c r="B19" s="256">
        <v>235</v>
      </c>
      <c r="C19" s="256">
        <v>410</v>
      </c>
      <c r="D19" s="264">
        <v>181</v>
      </c>
    </row>
    <row r="20" spans="1:7" ht="39.950000000000003" customHeight="1">
      <c r="A20" s="30" t="s">
        <v>94</v>
      </c>
      <c r="B20" s="256">
        <v>934</v>
      </c>
      <c r="C20" s="256">
        <v>1657</v>
      </c>
      <c r="D20" s="264">
        <v>1329</v>
      </c>
      <c r="F20" s="35"/>
    </row>
    <row r="21" spans="1:7" ht="39.950000000000003" customHeight="1">
      <c r="A21" s="30" t="s">
        <v>148</v>
      </c>
      <c r="B21" s="272">
        <v>-148</v>
      </c>
      <c r="C21" s="256">
        <v>517</v>
      </c>
      <c r="D21" s="273">
        <v>-106</v>
      </c>
      <c r="E21" s="35"/>
      <c r="F21" s="35"/>
      <c r="G21" s="35"/>
    </row>
    <row r="22" spans="1:7" ht="39.950000000000003" customHeight="1">
      <c r="A22" s="30" t="s">
        <v>116</v>
      </c>
      <c r="B22" s="256">
        <v>1</v>
      </c>
      <c r="C22" s="256">
        <v>7</v>
      </c>
      <c r="D22" s="264">
        <v>196</v>
      </c>
    </row>
    <row r="23" spans="1:7" ht="39.950000000000003" customHeight="1">
      <c r="A23" s="30"/>
      <c r="B23" s="256"/>
      <c r="C23" s="256"/>
      <c r="D23" s="264"/>
      <c r="E23" s="35"/>
    </row>
    <row r="24" spans="1:7" ht="39.950000000000003" customHeight="1">
      <c r="A24" s="10" t="s">
        <v>95</v>
      </c>
      <c r="B24" s="256">
        <v>1</v>
      </c>
      <c r="C24" s="256">
        <v>0</v>
      </c>
      <c r="D24" s="264">
        <v>8</v>
      </c>
    </row>
    <row r="25" spans="1:7" ht="39.950000000000003" customHeight="1">
      <c r="A25" s="10" t="s">
        <v>96</v>
      </c>
      <c r="B25" s="256">
        <v>2.04</v>
      </c>
      <c r="C25" s="256">
        <v>2.12</v>
      </c>
      <c r="D25" s="264">
        <v>2.2000000000000002</v>
      </c>
    </row>
    <row r="26" spans="1:7" ht="39.950000000000003" customHeight="1">
      <c r="A26" s="10" t="s">
        <v>97</v>
      </c>
      <c r="B26" s="256">
        <v>1.99</v>
      </c>
      <c r="C26" s="256">
        <v>3.61</v>
      </c>
      <c r="D26" s="264">
        <v>3.85</v>
      </c>
    </row>
    <row r="27" spans="1:7" ht="39.950000000000003" customHeight="1">
      <c r="A27" s="10" t="s">
        <v>98</v>
      </c>
      <c r="B27" s="256">
        <v>350</v>
      </c>
      <c r="C27" s="256">
        <v>348</v>
      </c>
      <c r="D27" s="264">
        <v>347</v>
      </c>
    </row>
    <row r="28" spans="1:7" ht="39.950000000000003" customHeight="1">
      <c r="A28" s="10" t="s">
        <v>99</v>
      </c>
      <c r="B28" s="256">
        <v>1.97</v>
      </c>
      <c r="C28" s="256">
        <v>3.58</v>
      </c>
      <c r="D28" s="264">
        <v>3.83</v>
      </c>
    </row>
    <row r="29" spans="1:7" ht="39.950000000000003" customHeight="1">
      <c r="A29" s="10" t="s">
        <v>100</v>
      </c>
      <c r="B29" s="256">
        <v>354</v>
      </c>
      <c r="C29" s="256">
        <v>350</v>
      </c>
      <c r="D29" s="264">
        <v>348</v>
      </c>
    </row>
    <row r="30" spans="1:7" ht="39.950000000000003" customHeight="1">
      <c r="A30" s="11" t="s">
        <v>101</v>
      </c>
      <c r="B30" s="260">
        <v>700</v>
      </c>
      <c r="C30" s="260">
        <v>1254</v>
      </c>
      <c r="D30" s="266">
        <v>1344</v>
      </c>
    </row>
    <row r="31" spans="1:7" ht="39.950000000000003" customHeight="1">
      <c r="A31" s="32" t="s">
        <v>102</v>
      </c>
      <c r="B31" s="267">
        <v>699</v>
      </c>
      <c r="C31" s="267">
        <v>1254</v>
      </c>
      <c r="D31" s="267">
        <v>1336</v>
      </c>
    </row>
    <row r="32" spans="1:7" ht="39.950000000000003" customHeight="1">
      <c r="A32" s="33" t="s">
        <v>103</v>
      </c>
      <c r="B32" s="268">
        <v>699</v>
      </c>
      <c r="C32" s="268">
        <v>1254</v>
      </c>
      <c r="D32" s="268">
        <v>1336</v>
      </c>
    </row>
    <row r="33" spans="1:4" ht="39.950000000000003" customHeight="1">
      <c r="A33" s="28"/>
      <c r="B33" s="269"/>
      <c r="C33" s="269"/>
      <c r="D33" s="269"/>
    </row>
    <row r="34" spans="1:4" ht="39.950000000000003" customHeight="1">
      <c r="A34" s="28" t="s">
        <v>112</v>
      </c>
      <c r="B34" s="269"/>
      <c r="C34" s="269"/>
      <c r="D34" s="269"/>
    </row>
    <row r="35" spans="1:4" ht="39.950000000000003" customHeight="1">
      <c r="A35" s="29" t="s">
        <v>89</v>
      </c>
      <c r="B35" s="270">
        <v>12965</v>
      </c>
      <c r="C35" s="270">
        <v>12854</v>
      </c>
      <c r="D35" s="270">
        <v>13547</v>
      </c>
    </row>
    <row r="36" spans="1:4" ht="39.950000000000003" customHeight="1">
      <c r="A36" s="29" t="s">
        <v>104</v>
      </c>
      <c r="B36" s="270">
        <v>7</v>
      </c>
      <c r="C36" s="270">
        <v>12</v>
      </c>
      <c r="D36" s="270">
        <v>23</v>
      </c>
    </row>
    <row r="37" spans="1:4" ht="39.950000000000003" customHeight="1">
      <c r="A37" s="29" t="s">
        <v>105</v>
      </c>
      <c r="B37" s="270">
        <v>510</v>
      </c>
      <c r="C37" s="270">
        <v>469</v>
      </c>
      <c r="D37" s="270">
        <v>493</v>
      </c>
    </row>
    <row r="38" spans="1:4" ht="39.950000000000003" customHeight="1">
      <c r="A38" s="28" t="s">
        <v>106</v>
      </c>
      <c r="B38" s="271">
        <v>517</v>
      </c>
      <c r="C38" s="271">
        <v>481</v>
      </c>
      <c r="D38" s="271">
        <v>516</v>
      </c>
    </row>
    <row r="39" spans="1:4" ht="39.950000000000003" customHeight="1">
      <c r="A39" s="28" t="s">
        <v>92</v>
      </c>
      <c r="B39" s="271">
        <v>406</v>
      </c>
      <c r="C39" s="271">
        <v>256</v>
      </c>
      <c r="D39" s="271">
        <v>287</v>
      </c>
    </row>
    <row r="40" spans="1:4" ht="39.950000000000003" customHeight="1">
      <c r="A40" s="28" t="s">
        <v>334</v>
      </c>
      <c r="B40" s="271">
        <v>5</v>
      </c>
      <c r="C40" s="271">
        <v>9</v>
      </c>
      <c r="D40" s="271">
        <v>16</v>
      </c>
    </row>
    <row r="42" spans="1:4" ht="39.950000000000003" customHeight="1">
      <c r="A42" s="419" t="s">
        <v>588</v>
      </c>
      <c r="B42" s="60">
        <v>73.709999999999994</v>
      </c>
      <c r="C42" s="60">
        <v>67.98</v>
      </c>
      <c r="D42" s="60">
        <v>57.01</v>
      </c>
    </row>
    <row r="43" spans="1:4" ht="39.950000000000003" customHeight="1">
      <c r="A43" s="61" t="s">
        <v>589</v>
      </c>
      <c r="B43" s="216">
        <v>350905.16499999998</v>
      </c>
      <c r="C43" s="216">
        <v>345472.58799999999</v>
      </c>
      <c r="D43" s="216">
        <v>347021.14399999997</v>
      </c>
    </row>
    <row r="44" spans="1:4" ht="39.950000000000003" customHeight="1">
      <c r="A44" s="61" t="s">
        <v>590</v>
      </c>
      <c r="B44" s="21">
        <f>B42*B43/1000</f>
        <v>25865.219712149996</v>
      </c>
      <c r="C44" s="21">
        <f t="shared" ref="C44:D44" si="2">C42*C43/1000</f>
        <v>23485.226532239998</v>
      </c>
      <c r="D44" s="21">
        <f t="shared" si="2"/>
        <v>19783.675419439998</v>
      </c>
    </row>
  </sheetData>
  <mergeCells count="2">
    <mergeCell ref="A3:D3"/>
    <mergeCell ref="A6:D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67"/>
  <sheetViews>
    <sheetView zoomScaleNormal="100" workbookViewId="0"/>
  </sheetViews>
  <sheetFormatPr defaultColWidth="40.83203125" defaultRowHeight="39.950000000000003" customHeight="1"/>
  <cols>
    <col min="1" max="16384" width="40.83203125" style="39"/>
  </cols>
  <sheetData>
    <row r="1" spans="1:4" ht="39.950000000000003" customHeight="1">
      <c r="A1" s="249" t="s">
        <v>534</v>
      </c>
    </row>
    <row r="2" spans="1:4" ht="39.950000000000003" customHeight="1">
      <c r="A2" s="158" t="s">
        <v>81</v>
      </c>
    </row>
    <row r="3" spans="1:4" ht="39.950000000000003" customHeight="1">
      <c r="A3" s="545" t="s">
        <v>35</v>
      </c>
      <c r="B3" s="546"/>
      <c r="C3" s="546"/>
      <c r="D3" s="547"/>
    </row>
    <row r="4" spans="1:4" ht="39.950000000000003" customHeight="1">
      <c r="B4" s="157"/>
      <c r="C4" s="157"/>
      <c r="D4" s="157"/>
    </row>
    <row r="5" spans="1:4" ht="39.950000000000003" customHeight="1">
      <c r="A5" s="458" t="s">
        <v>554</v>
      </c>
      <c r="B5" s="460" t="s">
        <v>86</v>
      </c>
      <c r="C5" s="460" t="s">
        <v>87</v>
      </c>
      <c r="D5" s="461" t="s">
        <v>88</v>
      </c>
    </row>
    <row r="6" spans="1:4" ht="39.950000000000003" customHeight="1">
      <c r="A6" s="462"/>
      <c r="B6" s="462"/>
      <c r="C6" s="462"/>
      <c r="D6" s="463"/>
    </row>
    <row r="7" spans="1:4" ht="39.950000000000003" customHeight="1">
      <c r="A7" s="160"/>
      <c r="B7" s="38"/>
      <c r="C7" s="38"/>
      <c r="D7" s="38"/>
    </row>
    <row r="8" spans="1:4" ht="39.950000000000003" customHeight="1">
      <c r="A8" s="91" t="s">
        <v>380</v>
      </c>
      <c r="B8" s="38"/>
      <c r="C8" s="38"/>
      <c r="D8" s="38"/>
    </row>
    <row r="9" spans="1:4" ht="39.950000000000003" customHeight="1">
      <c r="A9" s="91"/>
      <c r="B9" s="38"/>
      <c r="C9" s="38"/>
      <c r="D9" s="38"/>
    </row>
    <row r="10" spans="1:4" ht="39.950000000000003" customHeight="1">
      <c r="A10" s="160" t="s">
        <v>339</v>
      </c>
      <c r="B10" s="274">
        <v>700</v>
      </c>
      <c r="C10" s="274">
        <v>1254</v>
      </c>
      <c r="D10" s="274">
        <v>1344</v>
      </c>
    </row>
    <row r="11" spans="1:4" ht="39.950000000000003" customHeight="1">
      <c r="A11" s="160" t="s">
        <v>340</v>
      </c>
      <c r="B11" s="274">
        <v>517</v>
      </c>
      <c r="C11" s="274">
        <v>481</v>
      </c>
      <c r="D11" s="274">
        <v>516</v>
      </c>
    </row>
    <row r="12" spans="1:4" ht="39.950000000000003" customHeight="1">
      <c r="A12" s="160" t="s">
        <v>341</v>
      </c>
      <c r="B12" s="276">
        <v>-24</v>
      </c>
      <c r="C12" s="276">
        <v>-58</v>
      </c>
      <c r="D12" s="274">
        <v>46</v>
      </c>
    </row>
    <row r="13" spans="1:4" ht="39.950000000000003" customHeight="1">
      <c r="A13" s="160" t="s">
        <v>342</v>
      </c>
      <c r="B13" s="274">
        <v>63</v>
      </c>
      <c r="C13" s="274">
        <v>66</v>
      </c>
      <c r="D13" s="274">
        <v>59</v>
      </c>
    </row>
    <row r="14" spans="1:4" ht="39.950000000000003" customHeight="1">
      <c r="A14" s="160" t="s">
        <v>343</v>
      </c>
      <c r="B14" s="274">
        <v>165</v>
      </c>
      <c r="C14" s="274">
        <v>27</v>
      </c>
      <c r="D14" s="276">
        <v>-40</v>
      </c>
    </row>
    <row r="15" spans="1:4" ht="39.950000000000003" customHeight="1">
      <c r="A15" s="160" t="s">
        <v>344</v>
      </c>
      <c r="B15" s="274">
        <v>7</v>
      </c>
      <c r="C15" s="274">
        <v>80</v>
      </c>
      <c r="D15" s="276">
        <v>-86</v>
      </c>
    </row>
    <row r="16" spans="1:4" ht="39.950000000000003" customHeight="1">
      <c r="A16" s="160" t="s">
        <v>345</v>
      </c>
      <c r="B16" s="274">
        <v>124</v>
      </c>
      <c r="C16" s="274">
        <v>193</v>
      </c>
      <c r="D16" s="274">
        <v>115</v>
      </c>
    </row>
    <row r="17" spans="1:4" ht="39.950000000000003" customHeight="1">
      <c r="A17" s="160" t="s">
        <v>346</v>
      </c>
      <c r="B17" s="276">
        <v>-480</v>
      </c>
      <c r="C17" s="304">
        <v>-1300</v>
      </c>
      <c r="D17" s="274">
        <v>76</v>
      </c>
    </row>
    <row r="18" spans="1:4" ht="39.950000000000003" customHeight="1">
      <c r="A18" s="160" t="s">
        <v>347</v>
      </c>
      <c r="B18" s="274" t="s">
        <v>348</v>
      </c>
      <c r="C18" s="274" t="s">
        <v>348</v>
      </c>
      <c r="D18" s="274" t="s">
        <v>348</v>
      </c>
    </row>
    <row r="19" spans="1:4" ht="39.950000000000003" customHeight="1">
      <c r="A19" s="160" t="s">
        <v>349</v>
      </c>
      <c r="B19" s="276">
        <v>-12</v>
      </c>
      <c r="C19" s="274">
        <v>144</v>
      </c>
      <c r="D19" s="276">
        <v>-23</v>
      </c>
    </row>
    <row r="20" spans="1:4" ht="39.950000000000003" customHeight="1">
      <c r="A20" s="160" t="s">
        <v>350</v>
      </c>
      <c r="B20" s="274" t="s">
        <v>348</v>
      </c>
      <c r="C20" s="274" t="s">
        <v>348</v>
      </c>
      <c r="D20" s="274" t="s">
        <v>348</v>
      </c>
    </row>
    <row r="21" spans="1:4" ht="39.950000000000003" customHeight="1">
      <c r="A21" s="160" t="s">
        <v>351</v>
      </c>
      <c r="B21" s="274">
        <v>165</v>
      </c>
      <c r="C21" s="276">
        <v>-471</v>
      </c>
      <c r="D21" s="276">
        <v>-117</v>
      </c>
    </row>
    <row r="22" spans="1:4" ht="39.950000000000003" customHeight="1">
      <c r="A22" s="160" t="s">
        <v>352</v>
      </c>
      <c r="B22" s="274" t="s">
        <v>348</v>
      </c>
      <c r="C22" s="274" t="s">
        <v>348</v>
      </c>
      <c r="D22" s="274" t="s">
        <v>348</v>
      </c>
    </row>
    <row r="23" spans="1:4" ht="39.950000000000003" customHeight="1">
      <c r="A23" s="160" t="s">
        <v>354</v>
      </c>
      <c r="B23" s="274">
        <v>46</v>
      </c>
      <c r="C23" s="276">
        <v>-13</v>
      </c>
      <c r="D23" s="276">
        <v>-154</v>
      </c>
    </row>
    <row r="24" spans="1:4" ht="39.950000000000003" customHeight="1">
      <c r="A24" s="160" t="s">
        <v>355</v>
      </c>
      <c r="B24" s="274">
        <v>0</v>
      </c>
      <c r="C24" s="274">
        <v>0</v>
      </c>
      <c r="D24" s="276">
        <v>-200</v>
      </c>
    </row>
    <row r="25" spans="1:4" ht="39.950000000000003" customHeight="1">
      <c r="A25" s="91" t="s">
        <v>353</v>
      </c>
      <c r="B25" s="275">
        <v>1271</v>
      </c>
      <c r="C25" s="275">
        <v>403</v>
      </c>
      <c r="D25" s="275">
        <v>1536</v>
      </c>
    </row>
    <row r="26" spans="1:4" ht="39.950000000000003" customHeight="1">
      <c r="A26" s="91"/>
      <c r="B26" s="235"/>
      <c r="C26" s="235"/>
      <c r="D26" s="235"/>
    </row>
    <row r="27" spans="1:4" ht="39.950000000000003" customHeight="1">
      <c r="A27" s="91" t="s">
        <v>382</v>
      </c>
      <c r="B27" s="234"/>
      <c r="C27" s="234"/>
      <c r="D27" s="234"/>
    </row>
    <row r="28" spans="1:4" ht="39.950000000000003" customHeight="1">
      <c r="A28" s="91"/>
      <c r="B28" s="234"/>
      <c r="C28" s="234"/>
      <c r="D28" s="234"/>
    </row>
    <row r="29" spans="1:4" ht="39.950000000000003" customHeight="1">
      <c r="A29" s="160" t="s">
        <v>356</v>
      </c>
      <c r="B29" s="234" t="s">
        <v>348</v>
      </c>
      <c r="C29" s="234" t="s">
        <v>348</v>
      </c>
      <c r="D29" s="234" t="s">
        <v>348</v>
      </c>
    </row>
    <row r="30" spans="1:4" ht="39.950000000000003" customHeight="1">
      <c r="A30" s="160" t="s">
        <v>357</v>
      </c>
      <c r="B30" s="276">
        <v>-507</v>
      </c>
      <c r="C30" s="276">
        <v>-501</v>
      </c>
      <c r="D30" s="276">
        <v>-578</v>
      </c>
    </row>
    <row r="31" spans="1:4" ht="39.950000000000003" customHeight="1">
      <c r="A31" s="160" t="s">
        <v>358</v>
      </c>
      <c r="B31" s="276">
        <v>-398</v>
      </c>
      <c r="C31" s="276">
        <v>-592</v>
      </c>
      <c r="D31" s="276">
        <v>-28</v>
      </c>
    </row>
    <row r="32" spans="1:4" ht="39.950000000000003" customHeight="1">
      <c r="A32" s="160" t="s">
        <v>359</v>
      </c>
      <c r="B32" s="276">
        <v>-15</v>
      </c>
      <c r="C32" s="276">
        <v>-1</v>
      </c>
      <c r="D32" s="274">
        <v>47</v>
      </c>
    </row>
    <row r="33" spans="1:4" ht="39.950000000000003" customHeight="1">
      <c r="A33" s="160" t="s">
        <v>360</v>
      </c>
      <c r="B33" s="274">
        <v>27</v>
      </c>
      <c r="C33" s="274">
        <v>0</v>
      </c>
      <c r="D33" s="276">
        <v>-389</v>
      </c>
    </row>
    <row r="34" spans="1:4" ht="39.950000000000003" customHeight="1">
      <c r="A34" s="91" t="s">
        <v>361</v>
      </c>
      <c r="B34" s="277">
        <v>-392</v>
      </c>
      <c r="C34" s="275">
        <v>149</v>
      </c>
      <c r="D34" s="277">
        <v>-948</v>
      </c>
    </row>
    <row r="35" spans="1:4" ht="39.950000000000003" customHeight="1">
      <c r="A35" s="160"/>
      <c r="B35" s="234"/>
      <c r="C35" s="234"/>
      <c r="D35" s="234"/>
    </row>
    <row r="36" spans="1:4" ht="39.950000000000003" customHeight="1">
      <c r="A36" s="91" t="s">
        <v>381</v>
      </c>
      <c r="B36" s="234"/>
      <c r="C36" s="234"/>
      <c r="D36" s="234"/>
    </row>
    <row r="37" spans="1:4" ht="39.950000000000003" customHeight="1">
      <c r="A37" s="91"/>
      <c r="B37" s="234"/>
      <c r="C37" s="234"/>
      <c r="D37" s="234"/>
    </row>
    <row r="38" spans="1:4" ht="39.950000000000003" customHeight="1">
      <c r="A38" s="160" t="s">
        <v>362</v>
      </c>
      <c r="B38" s="276">
        <v>-716</v>
      </c>
      <c r="C38" s="276">
        <v>-736</v>
      </c>
      <c r="D38" s="276">
        <v>-762</v>
      </c>
    </row>
    <row r="39" spans="1:4" ht="39.950000000000003" customHeight="1">
      <c r="A39" s="160" t="s">
        <v>363</v>
      </c>
      <c r="B39" s="234" t="s">
        <v>348</v>
      </c>
      <c r="C39" s="234" t="s">
        <v>348</v>
      </c>
      <c r="D39" s="234" t="s">
        <v>348</v>
      </c>
    </row>
    <row r="40" spans="1:4" ht="39.950000000000003" customHeight="1">
      <c r="A40" s="160" t="s">
        <v>364</v>
      </c>
      <c r="B40" s="234" t="s">
        <v>348</v>
      </c>
      <c r="C40" s="234" t="s">
        <v>348</v>
      </c>
      <c r="D40" s="234" t="s">
        <v>348</v>
      </c>
    </row>
    <row r="41" spans="1:4" ht="39.950000000000003" customHeight="1">
      <c r="A41" s="160" t="s">
        <v>365</v>
      </c>
      <c r="B41" s="276">
        <v>-918</v>
      </c>
      <c r="C41" s="274">
        <v>153</v>
      </c>
      <c r="D41" s="276">
        <v>-264</v>
      </c>
    </row>
    <row r="42" spans="1:4" ht="39.950000000000003" customHeight="1">
      <c r="A42" s="160" t="s">
        <v>366</v>
      </c>
      <c r="B42" s="274">
        <v>4618</v>
      </c>
      <c r="C42" s="274">
        <v>1268</v>
      </c>
      <c r="D42" s="274">
        <v>1055</v>
      </c>
    </row>
    <row r="43" spans="1:4" ht="39.950000000000003" customHeight="1">
      <c r="A43" s="160" t="s">
        <v>367</v>
      </c>
      <c r="B43" s="278">
        <v>-3568</v>
      </c>
      <c r="C43" s="276">
        <v>-870</v>
      </c>
      <c r="D43" s="276">
        <v>-431</v>
      </c>
    </row>
    <row r="44" spans="1:4" ht="39.950000000000003" customHeight="1">
      <c r="A44" s="160" t="s">
        <v>368</v>
      </c>
      <c r="B44" s="276">
        <v>-144</v>
      </c>
      <c r="C44" s="274">
        <v>0</v>
      </c>
      <c r="D44" s="274">
        <v>0</v>
      </c>
    </row>
    <row r="45" spans="1:4" ht="39.950000000000003" customHeight="1">
      <c r="A45" s="160" t="s">
        <v>369</v>
      </c>
      <c r="B45" s="274">
        <v>368</v>
      </c>
      <c r="C45" s="274">
        <v>97</v>
      </c>
      <c r="D45" s="274">
        <v>167</v>
      </c>
    </row>
    <row r="46" spans="1:4" ht="39.950000000000003" customHeight="1">
      <c r="A46" s="160" t="s">
        <v>370</v>
      </c>
      <c r="B46" s="276">
        <v>-426</v>
      </c>
      <c r="C46" s="276">
        <v>-516</v>
      </c>
      <c r="D46" s="276">
        <v>-320</v>
      </c>
    </row>
    <row r="47" spans="1:4" ht="39.950000000000003" customHeight="1">
      <c r="A47" s="160" t="s">
        <v>371</v>
      </c>
      <c r="B47" s="276">
        <v>-64</v>
      </c>
      <c r="C47" s="274">
        <v>53</v>
      </c>
      <c r="D47" s="274">
        <v>18</v>
      </c>
    </row>
    <row r="48" spans="1:4" ht="39.950000000000003" customHeight="1">
      <c r="A48" s="160" t="s">
        <v>372</v>
      </c>
      <c r="B48" s="274">
        <v>0</v>
      </c>
      <c r="C48" s="274">
        <v>0</v>
      </c>
      <c r="D48" s="276">
        <v>-11</v>
      </c>
    </row>
    <row r="49" spans="1:4" ht="39.950000000000003" customHeight="1">
      <c r="A49" s="160" t="s">
        <v>373</v>
      </c>
      <c r="B49" s="274">
        <v>29</v>
      </c>
      <c r="C49" s="274">
        <v>1</v>
      </c>
      <c r="D49" s="274">
        <v>40</v>
      </c>
    </row>
    <row r="50" spans="1:4" ht="39.950000000000003" customHeight="1">
      <c r="A50" s="160" t="s">
        <v>374</v>
      </c>
      <c r="B50" s="274">
        <v>280</v>
      </c>
      <c r="C50" s="274">
        <v>281</v>
      </c>
      <c r="D50" s="274">
        <v>321</v>
      </c>
    </row>
    <row r="51" spans="1:4" ht="39.950000000000003" customHeight="1">
      <c r="A51" s="160" t="s">
        <v>375</v>
      </c>
      <c r="B51" s="274">
        <v>251</v>
      </c>
      <c r="C51" s="274">
        <v>280</v>
      </c>
      <c r="D51" s="274">
        <v>281</v>
      </c>
    </row>
    <row r="52" spans="1:4" ht="39.950000000000003" customHeight="1">
      <c r="A52" s="91" t="s">
        <v>376</v>
      </c>
      <c r="B52" s="277">
        <v>-786</v>
      </c>
      <c r="C52" s="277">
        <v>-604</v>
      </c>
      <c r="D52" s="277">
        <v>-566</v>
      </c>
    </row>
    <row r="53" spans="1:4" ht="39.950000000000003" customHeight="1">
      <c r="A53" s="160"/>
      <c r="B53" s="234"/>
      <c r="C53" s="234"/>
      <c r="D53" s="234"/>
    </row>
    <row r="54" spans="1:4" ht="39.950000000000003" customHeight="1">
      <c r="A54" s="91" t="s">
        <v>112</v>
      </c>
      <c r="B54" s="234"/>
      <c r="C54" s="234"/>
      <c r="D54" s="234"/>
    </row>
    <row r="55" spans="1:4" ht="39.950000000000003" customHeight="1">
      <c r="A55" s="160"/>
      <c r="B55" s="234"/>
      <c r="C55" s="234"/>
      <c r="D55" s="234"/>
    </row>
    <row r="56" spans="1:4" ht="39.950000000000003" customHeight="1">
      <c r="A56" s="160" t="s">
        <v>377</v>
      </c>
      <c r="B56" s="274">
        <v>256</v>
      </c>
      <c r="C56" s="274">
        <v>352</v>
      </c>
      <c r="D56" s="274">
        <v>188</v>
      </c>
    </row>
    <row r="57" spans="1:4" ht="39.950000000000003" customHeight="1">
      <c r="A57" s="160" t="s">
        <v>378</v>
      </c>
      <c r="B57" s="274">
        <v>405</v>
      </c>
      <c r="C57" s="274">
        <v>258</v>
      </c>
      <c r="D57" s="274">
        <v>280</v>
      </c>
    </row>
    <row r="58" spans="1:4" ht="39.950000000000003" customHeight="1">
      <c r="A58" s="161" t="s">
        <v>379</v>
      </c>
      <c r="B58" s="279">
        <v>764</v>
      </c>
      <c r="C58" s="280">
        <v>-98</v>
      </c>
      <c r="D58" s="279">
        <v>958</v>
      </c>
    </row>
    <row r="59" spans="1:4" ht="39.950000000000003" customHeight="1">
      <c r="B59" s="236"/>
      <c r="C59" s="236"/>
      <c r="D59" s="236"/>
    </row>
    <row r="60" spans="1:4" ht="39.950000000000003" customHeight="1">
      <c r="B60" s="236"/>
      <c r="C60" s="236"/>
      <c r="D60" s="236"/>
    </row>
    <row r="61" spans="1:4" ht="39.950000000000003" customHeight="1">
      <c r="B61" s="236"/>
      <c r="C61" s="236"/>
      <c r="D61" s="236"/>
    </row>
    <row r="62" spans="1:4" ht="39.950000000000003" customHeight="1">
      <c r="B62" s="236"/>
      <c r="C62" s="236"/>
      <c r="D62" s="236"/>
    </row>
    <row r="63" spans="1:4" ht="39.950000000000003" customHeight="1">
      <c r="B63" s="236"/>
      <c r="C63" s="236"/>
      <c r="D63" s="236"/>
    </row>
    <row r="64" spans="1:4" ht="39.950000000000003" customHeight="1">
      <c r="B64" s="236"/>
      <c r="C64" s="236"/>
      <c r="D64" s="236"/>
    </row>
    <row r="65" spans="2:4" ht="39.950000000000003" customHeight="1">
      <c r="B65" s="236"/>
      <c r="C65" s="236"/>
      <c r="D65" s="236"/>
    </row>
    <row r="66" spans="2:4" ht="39.950000000000003" customHeight="1">
      <c r="B66" s="236"/>
      <c r="C66" s="236"/>
      <c r="D66" s="236"/>
    </row>
    <row r="67" spans="2:4" ht="39.950000000000003" customHeight="1">
      <c r="B67" s="236"/>
      <c r="C67" s="236"/>
      <c r="D67" s="236"/>
    </row>
  </sheetData>
  <mergeCells count="1">
    <mergeCell ref="A3: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4"/>
  <sheetViews>
    <sheetView topLeftCell="A16" zoomScaleNormal="100" workbookViewId="0">
      <selection activeCell="B23" sqref="B23"/>
    </sheetView>
  </sheetViews>
  <sheetFormatPr defaultColWidth="40.83203125" defaultRowHeight="39.950000000000003" customHeight="1"/>
  <sheetData>
    <row r="1" spans="1:4" ht="39.950000000000003" customHeight="1">
      <c r="A1" s="219" t="s">
        <v>535</v>
      </c>
    </row>
    <row r="3" spans="1:4" ht="39.950000000000003" customHeight="1">
      <c r="A3" s="548" t="s">
        <v>123</v>
      </c>
      <c r="B3" s="540"/>
      <c r="C3" s="540"/>
      <c r="D3" s="541"/>
    </row>
    <row r="4" spans="1:4" ht="39.950000000000003" customHeight="1">
      <c r="A4" s="549"/>
      <c r="B4" s="549"/>
      <c r="C4" s="549"/>
      <c r="D4" s="549"/>
    </row>
    <row r="5" spans="1:4" ht="39.950000000000003" customHeight="1">
      <c r="A5" s="455" t="s">
        <v>554</v>
      </c>
      <c r="B5" s="456" t="s">
        <v>331</v>
      </c>
      <c r="C5" s="456" t="s">
        <v>332</v>
      </c>
      <c r="D5" s="457" t="s">
        <v>333</v>
      </c>
    </row>
    <row r="6" spans="1:4" ht="39.950000000000003" customHeight="1">
      <c r="A6" s="550"/>
      <c r="B6" s="551"/>
      <c r="C6" s="551"/>
      <c r="D6" s="552"/>
    </row>
    <row r="7" spans="1:4" ht="39.950000000000003" customHeight="1">
      <c r="A7" s="12"/>
      <c r="B7" s="17"/>
      <c r="C7" s="17"/>
      <c r="D7" s="18"/>
    </row>
    <row r="8" spans="1:4" ht="39.950000000000003" customHeight="1">
      <c r="A8" s="9" t="s">
        <v>49</v>
      </c>
      <c r="B8" s="19"/>
      <c r="C8" s="19"/>
      <c r="D8" s="19"/>
    </row>
    <row r="9" spans="1:4" ht="39.950000000000003" customHeight="1">
      <c r="A9" s="13"/>
      <c r="B9" s="20"/>
      <c r="C9" s="20"/>
      <c r="D9" s="20"/>
    </row>
    <row r="10" spans="1:4" ht="39.950000000000003" customHeight="1">
      <c r="A10" s="237" t="s">
        <v>50</v>
      </c>
      <c r="B10" s="281">
        <f>'Balance Sheet - As Reported'!B19</f>
        <v>3569</v>
      </c>
      <c r="C10" s="282">
        <f>'Balance Sheet - As Reported'!C19</f>
        <v>3716</v>
      </c>
      <c r="D10" s="283">
        <f>'Balance Sheet - As Reported'!D19</f>
        <v>3731</v>
      </c>
    </row>
    <row r="11" spans="1:4" ht="39.950000000000003" customHeight="1">
      <c r="A11" s="237" t="s">
        <v>51</v>
      </c>
      <c r="B11" s="281">
        <f>'Balance Sheet - As Reported'!B20+'Balance Sheet - As Reported'!B22</f>
        <v>7535</v>
      </c>
      <c r="C11" s="282">
        <f>'Balance Sheet - As Reported'!C20+'Balance Sheet - As Reported'!C22</f>
        <v>8143</v>
      </c>
      <c r="D11" s="281">
        <f>'Balance Sheet - As Reported'!D20+'Balance Sheet - As Reported'!D22</f>
        <v>9411</v>
      </c>
    </row>
    <row r="12" spans="1:4" ht="39.950000000000003" customHeight="1">
      <c r="A12" s="238" t="s">
        <v>52</v>
      </c>
      <c r="B12" s="284">
        <f>SUM(B10:B11)</f>
        <v>11104</v>
      </c>
      <c r="C12" s="284">
        <f t="shared" ref="C12:D12" si="0">SUM(C10:C11)</f>
        <v>11859</v>
      </c>
      <c r="D12" s="284">
        <f t="shared" si="0"/>
        <v>13142</v>
      </c>
    </row>
    <row r="13" spans="1:4" ht="39.950000000000003" customHeight="1">
      <c r="A13" s="238"/>
      <c r="B13" s="257"/>
      <c r="C13" s="285"/>
      <c r="D13" s="257"/>
    </row>
    <row r="14" spans="1:4" ht="39.950000000000003" customHeight="1">
      <c r="A14" s="238" t="s">
        <v>48</v>
      </c>
      <c r="B14" s="232"/>
      <c r="C14" s="239"/>
      <c r="D14" s="231"/>
    </row>
    <row r="15" spans="1:4" ht="39.950000000000003" customHeight="1">
      <c r="A15" s="240"/>
      <c r="B15" s="232"/>
      <c r="C15" s="239"/>
      <c r="D15" s="232"/>
    </row>
    <row r="16" spans="1:4" ht="39.950000000000003" customHeight="1">
      <c r="A16" s="241" t="s">
        <v>601</v>
      </c>
      <c r="B16" s="286">
        <f>1106</f>
        <v>1106</v>
      </c>
      <c r="C16" s="282">
        <f>1250</f>
        <v>1250</v>
      </c>
      <c r="D16" s="283">
        <f>1163</f>
        <v>1163</v>
      </c>
    </row>
    <row r="17" spans="1:4" ht="39.950000000000003" customHeight="1">
      <c r="A17" s="241" t="s">
        <v>602</v>
      </c>
      <c r="B17" s="292">
        <f>-'Balance Sheet - As Reported'!B31-'Balance Sheet - As Reported'!B37</f>
        <v>-2061</v>
      </c>
      <c r="C17" s="291">
        <f>-'Balance Sheet - As Reported'!C31</f>
        <v>-2269</v>
      </c>
      <c r="D17" s="293">
        <f>-'Balance Sheet - As Reported'!D31</f>
        <v>-2427</v>
      </c>
    </row>
    <row r="18" spans="1:4" ht="39.950000000000003" customHeight="1">
      <c r="A18" s="241" t="s">
        <v>72</v>
      </c>
      <c r="B18" s="287">
        <f>-'Balance Sheet - As Reported'!B34-'Balance Sheet - As Reported'!B35</f>
        <v>-754</v>
      </c>
      <c r="C18" s="282">
        <v>0</v>
      </c>
      <c r="D18" s="286">
        <v>0</v>
      </c>
    </row>
    <row r="19" spans="1:4" ht="39.950000000000003" customHeight="1">
      <c r="A19" s="241" t="s">
        <v>53</v>
      </c>
      <c r="B19" s="281">
        <f>'Balance Sheet - As Reported'!B12</f>
        <v>1238</v>
      </c>
      <c r="C19" s="282">
        <f>'Balance Sheet - As Reported'!C12</f>
        <v>1217</v>
      </c>
      <c r="D19" s="281">
        <f>'Balance Sheet - As Reported'!D12</f>
        <v>1330</v>
      </c>
    </row>
    <row r="20" spans="1:4" ht="39.950000000000003" customHeight="1">
      <c r="A20" s="241" t="s">
        <v>268</v>
      </c>
      <c r="B20" s="288">
        <f>-355</f>
        <v>-355</v>
      </c>
      <c r="C20" s="289">
        <f>-110</f>
        <v>-110</v>
      </c>
      <c r="D20" s="288">
        <f>-484</f>
        <v>-484</v>
      </c>
    </row>
    <row r="21" spans="1:4" ht="39.950000000000003" customHeight="1">
      <c r="A21" s="241" t="s">
        <v>79</v>
      </c>
      <c r="B21" s="288">
        <v>-8</v>
      </c>
      <c r="C21" s="289">
        <v>-10</v>
      </c>
      <c r="D21" s="288">
        <v>-10</v>
      </c>
    </row>
    <row r="22" spans="1:4" ht="39.950000000000003" customHeight="1">
      <c r="A22" s="241" t="s">
        <v>269</v>
      </c>
      <c r="B22" s="287">
        <f>-288</f>
        <v>-288</v>
      </c>
      <c r="C22" s="291">
        <f>-1171</f>
        <v>-1171</v>
      </c>
      <c r="D22" s="292">
        <f>-1056</f>
        <v>-1056</v>
      </c>
    </row>
    <row r="23" spans="1:4" ht="39.950000000000003" customHeight="1">
      <c r="A23" s="238" t="s">
        <v>56</v>
      </c>
      <c r="B23" s="290">
        <f>SUM(B15:B22)</f>
        <v>-1122</v>
      </c>
      <c r="C23" s="290">
        <f t="shared" ref="C23" si="1">SUM(C15:C22)</f>
        <v>-1093</v>
      </c>
      <c r="D23" s="290">
        <f>SUM(D15:D22)</f>
        <v>-1484</v>
      </c>
    </row>
    <row r="24" spans="1:4" ht="39.950000000000003" customHeight="1">
      <c r="A24" s="238" t="s">
        <v>57</v>
      </c>
      <c r="B24" s="257">
        <f>SUM(B12,B23)</f>
        <v>9982</v>
      </c>
      <c r="C24" s="257">
        <f t="shared" ref="C24" si="2">SUM(C12,C23)</f>
        <v>10766</v>
      </c>
      <c r="D24" s="257">
        <f>SUM(D12,D23)</f>
        <v>11658</v>
      </c>
    </row>
    <row r="25" spans="1:4" ht="39.950000000000003" customHeight="1">
      <c r="A25" s="238"/>
      <c r="B25" s="231"/>
      <c r="C25" s="231"/>
      <c r="D25" s="231"/>
    </row>
    <row r="26" spans="1:4" ht="39.950000000000003" customHeight="1">
      <c r="A26" s="238" t="s">
        <v>60</v>
      </c>
      <c r="B26" s="231"/>
      <c r="C26" s="231"/>
      <c r="D26" s="231"/>
    </row>
    <row r="27" spans="1:4" ht="39.950000000000003" customHeight="1">
      <c r="A27" s="238"/>
      <c r="B27" s="231"/>
      <c r="C27" s="231"/>
      <c r="D27" s="231"/>
    </row>
    <row r="28" spans="1:4" ht="39.950000000000003" customHeight="1">
      <c r="A28" s="241" t="s">
        <v>78</v>
      </c>
      <c r="B28" s="256">
        <f>'Balance Sheet - As Reported'!B21</f>
        <v>438</v>
      </c>
      <c r="C28" s="256">
        <f>'Balance Sheet - As Reported'!C21</f>
        <v>429</v>
      </c>
      <c r="D28" s="256">
        <f>'Balance Sheet - As Reported'!D21</f>
        <v>413</v>
      </c>
    </row>
    <row r="29" spans="1:4" ht="39.950000000000003" customHeight="1">
      <c r="A29" s="241" t="s">
        <v>599</v>
      </c>
      <c r="B29" s="256">
        <v>458</v>
      </c>
      <c r="C29" s="256">
        <v>782</v>
      </c>
      <c r="D29" s="256">
        <v>822</v>
      </c>
    </row>
    <row r="30" spans="1:4" ht="39.950000000000003" customHeight="1">
      <c r="A30" s="241" t="s">
        <v>600</v>
      </c>
      <c r="B30" s="295">
        <f>-1423</f>
        <v>-1423</v>
      </c>
      <c r="C30" s="295">
        <f>-1390</f>
        <v>-1390</v>
      </c>
      <c r="D30" s="295">
        <v>-1133</v>
      </c>
    </row>
    <row r="31" spans="1:4" ht="39.950000000000003" customHeight="1">
      <c r="A31" s="238" t="s">
        <v>77</v>
      </c>
      <c r="B31" s="296">
        <f>SUM(B28:B30)</f>
        <v>-527</v>
      </c>
      <c r="C31" s="296">
        <f t="shared" ref="C31:D31" si="3">SUM(C28:C30)</f>
        <v>-179</v>
      </c>
      <c r="D31" s="257">
        <f t="shared" si="3"/>
        <v>102</v>
      </c>
    </row>
    <row r="32" spans="1:4" ht="39.950000000000003" customHeight="1">
      <c r="A32" s="238"/>
      <c r="B32" s="294"/>
      <c r="C32" s="284"/>
      <c r="D32" s="284"/>
    </row>
    <row r="33" spans="1:4" ht="39.950000000000003" customHeight="1">
      <c r="A33" s="238" t="s">
        <v>61</v>
      </c>
      <c r="B33" s="284">
        <f>SUM(B24,B31)</f>
        <v>9455</v>
      </c>
      <c r="C33" s="284">
        <f t="shared" ref="C33" si="4">SUM(C24,C31)</f>
        <v>10587</v>
      </c>
      <c r="D33" s="284">
        <f>SUM(D24,D31)</f>
        <v>11760</v>
      </c>
    </row>
    <row r="34" spans="1:4" ht="39.950000000000003" customHeight="1">
      <c r="A34" s="238"/>
      <c r="B34" s="231"/>
      <c r="C34" s="231"/>
      <c r="D34" s="231"/>
    </row>
    <row r="35" spans="1:4" ht="39.950000000000003" customHeight="1">
      <c r="A35" s="553"/>
      <c r="B35" s="554"/>
      <c r="C35" s="554"/>
      <c r="D35" s="555"/>
    </row>
    <row r="36" spans="1:4" ht="39.950000000000003" customHeight="1">
      <c r="A36" s="242"/>
      <c r="B36" s="243"/>
      <c r="C36" s="243"/>
      <c r="D36" s="243"/>
    </row>
    <row r="37" spans="1:4" ht="39.950000000000003" customHeight="1">
      <c r="A37" s="238" t="s">
        <v>62</v>
      </c>
      <c r="B37" s="243"/>
      <c r="C37" s="243"/>
      <c r="D37" s="243"/>
    </row>
    <row r="38" spans="1:4" ht="39.950000000000003" customHeight="1">
      <c r="A38" s="244"/>
      <c r="B38" s="232"/>
      <c r="C38" s="232"/>
      <c r="D38" s="232"/>
    </row>
    <row r="39" spans="1:4" ht="39.950000000000003" customHeight="1">
      <c r="A39" s="241" t="s">
        <v>604</v>
      </c>
      <c r="B39" s="256">
        <f>'Balance Sheet - As Reported'!B33+'Balance Sheet - As Reported'!B32</f>
        <v>1069</v>
      </c>
      <c r="C39" s="256">
        <f>'Balance Sheet - As Reported'!C33+'Balance Sheet - As Reported'!C32</f>
        <v>779</v>
      </c>
      <c r="D39" s="256">
        <f>'Balance Sheet - As Reported'!D33+'Balance Sheet - As Reported'!D32</f>
        <v>686</v>
      </c>
    </row>
    <row r="40" spans="1:4" ht="39.950000000000003" customHeight="1">
      <c r="A40" s="241" t="s">
        <v>603</v>
      </c>
      <c r="B40" s="256">
        <f>'Balance Sheet - As Reported'!B42</f>
        <v>6698</v>
      </c>
      <c r="C40" s="256">
        <f>'Balance Sheet - As Reported'!C42</f>
        <v>7836</v>
      </c>
      <c r="D40" s="256">
        <f>'Balance Sheet - As Reported'!D42</f>
        <v>8207</v>
      </c>
    </row>
    <row r="41" spans="1:4" ht="39.950000000000003" customHeight="1">
      <c r="A41" s="241" t="s">
        <v>75</v>
      </c>
      <c r="B41" s="288">
        <v>-22</v>
      </c>
      <c r="C41" s="256">
        <v>5</v>
      </c>
      <c r="D41" s="256">
        <v>7</v>
      </c>
    </row>
    <row r="42" spans="1:4" ht="39.950000000000003" customHeight="1">
      <c r="A42" s="241" t="s">
        <v>76</v>
      </c>
      <c r="B42" s="256">
        <v>64</v>
      </c>
      <c r="C42" s="256">
        <v>54</v>
      </c>
      <c r="D42" s="256">
        <v>22</v>
      </c>
    </row>
    <row r="43" spans="1:4" ht="39.950000000000003" customHeight="1">
      <c r="A43" s="245" t="s">
        <v>68</v>
      </c>
      <c r="B43" s="257">
        <f>SUM(B39:B42)</f>
        <v>7809</v>
      </c>
      <c r="C43" s="257">
        <f t="shared" ref="C43:D43" si="5">SUM(C39:C42)</f>
        <v>8674</v>
      </c>
      <c r="D43" s="257">
        <f t="shared" si="5"/>
        <v>8922</v>
      </c>
    </row>
    <row r="44" spans="1:4" ht="39.950000000000003" customHeight="1">
      <c r="A44" s="241" t="s">
        <v>387</v>
      </c>
      <c r="B44" s="295">
        <f>-'Balance Sheet - As Reported'!B10</f>
        <v>-280</v>
      </c>
      <c r="C44" s="295">
        <f>-'Balance Sheet - As Reported'!C10</f>
        <v>-281</v>
      </c>
      <c r="D44" s="295">
        <f>-'Balance Sheet - As Reported'!D10</f>
        <v>-321</v>
      </c>
    </row>
    <row r="45" spans="1:4" ht="39.950000000000003" customHeight="1">
      <c r="A45" s="245" t="s">
        <v>69</v>
      </c>
      <c r="B45" s="257">
        <f>SUM(B43:B44)</f>
        <v>7529</v>
      </c>
      <c r="C45" s="257">
        <f t="shared" ref="C45:D45" si="6">SUM(C43:C44)</f>
        <v>8393</v>
      </c>
      <c r="D45" s="257">
        <f t="shared" si="6"/>
        <v>8601</v>
      </c>
    </row>
    <row r="46" spans="1:4" ht="39.950000000000003" customHeight="1">
      <c r="A46" s="241"/>
      <c r="B46" s="229"/>
      <c r="C46" s="229"/>
      <c r="D46" s="229"/>
    </row>
    <row r="47" spans="1:4" ht="39.950000000000003" customHeight="1">
      <c r="A47" s="245" t="s">
        <v>70</v>
      </c>
      <c r="B47" s="229"/>
      <c r="C47" s="233"/>
      <c r="D47" s="233"/>
    </row>
    <row r="48" spans="1:4" ht="39.950000000000003" customHeight="1">
      <c r="A48" s="245"/>
      <c r="B48" s="229"/>
      <c r="C48" s="233"/>
      <c r="D48" s="233"/>
    </row>
    <row r="49" spans="1:4" ht="39.950000000000003" customHeight="1">
      <c r="A49" s="241" t="s">
        <v>605</v>
      </c>
      <c r="B49" s="256">
        <f>'Balance Sheet - As Reported'!B62</f>
        <v>1910</v>
      </c>
      <c r="C49" s="256">
        <f>'Balance Sheet - As Reported'!C62</f>
        <v>2178</v>
      </c>
      <c r="D49" s="256">
        <f>'Balance Sheet - As Reported'!D62</f>
        <v>2601</v>
      </c>
    </row>
    <row r="50" spans="1:4" ht="39.950000000000003" customHeight="1">
      <c r="A50" s="241" t="s">
        <v>279</v>
      </c>
      <c r="B50" s="256">
        <f>'Balance Sheet - As Reported'!B51</f>
        <v>16</v>
      </c>
      <c r="C50" s="256">
        <f>'Balance Sheet - As Reported'!C51</f>
        <v>16</v>
      </c>
      <c r="D50" s="256">
        <f>'Balance Sheet - As Reported'!D51</f>
        <v>558</v>
      </c>
    </row>
    <row r="51" spans="1:4" ht="39.950000000000003" customHeight="1">
      <c r="A51" s="245" t="s">
        <v>71</v>
      </c>
      <c r="B51" s="297">
        <f>SUM(B49:B50)</f>
        <v>1926</v>
      </c>
      <c r="C51" s="297">
        <f t="shared" ref="C51:D51" si="7">SUM(C49:C50)</f>
        <v>2194</v>
      </c>
      <c r="D51" s="297">
        <f t="shared" si="7"/>
        <v>3159</v>
      </c>
    </row>
    <row r="52" spans="1:4" ht="39.950000000000003" customHeight="1">
      <c r="A52" s="238"/>
      <c r="B52" s="259"/>
      <c r="C52" s="259"/>
      <c r="D52" s="259"/>
    </row>
    <row r="53" spans="1:4" ht="39.950000000000003" customHeight="1">
      <c r="A53" s="246" t="s">
        <v>61</v>
      </c>
      <c r="B53" s="298">
        <f>SUM(B45,B51)</f>
        <v>9455</v>
      </c>
      <c r="C53" s="298">
        <f t="shared" ref="C53:D53" si="8">SUM(C45,C51)</f>
        <v>10587</v>
      </c>
      <c r="D53" s="298">
        <f t="shared" si="8"/>
        <v>11760</v>
      </c>
    </row>
    <row r="54" spans="1:4" ht="39.950000000000003" customHeight="1">
      <c r="A54" s="247"/>
      <c r="B54" s="247"/>
      <c r="C54" s="247"/>
      <c r="D54" s="247"/>
    </row>
  </sheetData>
  <mergeCells count="4">
    <mergeCell ref="A3:D3"/>
    <mergeCell ref="A4:D4"/>
    <mergeCell ref="A6:D6"/>
    <mergeCell ref="A35:D35"/>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
  <sheetViews>
    <sheetView topLeftCell="A19" zoomScaleNormal="100" workbookViewId="0">
      <selection activeCell="B2" sqref="B2"/>
    </sheetView>
  </sheetViews>
  <sheetFormatPr defaultRowHeight="39.950000000000003" customHeight="1"/>
  <cols>
    <col min="1" max="4" width="40.83203125" customWidth="1"/>
    <col min="5" max="5" width="16.5" customWidth="1"/>
    <col min="6" max="6" width="23.6640625" customWidth="1"/>
    <col min="7" max="7" width="29.83203125" customWidth="1"/>
  </cols>
  <sheetData>
    <row r="1" spans="1:8" ht="39.950000000000003" customHeight="1">
      <c r="A1" s="172" t="s">
        <v>536</v>
      </c>
    </row>
    <row r="2" spans="1:8" ht="39.950000000000003" customHeight="1">
      <c r="A2" s="570" t="s">
        <v>81</v>
      </c>
    </row>
    <row r="3" spans="1:8" ht="39.950000000000003" customHeight="1">
      <c r="A3" s="548" t="s">
        <v>123</v>
      </c>
      <c r="B3" s="548"/>
      <c r="C3" s="548"/>
      <c r="D3" s="556"/>
    </row>
    <row r="4" spans="1:8" ht="39.950000000000003" customHeight="1">
      <c r="B4" s="153"/>
      <c r="C4" s="153"/>
      <c r="D4" s="153"/>
    </row>
    <row r="5" spans="1:8" ht="39.950000000000003" customHeight="1">
      <c r="A5" s="455" t="s">
        <v>554</v>
      </c>
      <c r="B5" s="456" t="s">
        <v>331</v>
      </c>
      <c r="C5" s="456" t="s">
        <v>332</v>
      </c>
      <c r="D5" s="457" t="s">
        <v>333</v>
      </c>
    </row>
    <row r="6" spans="1:8" ht="39.950000000000003" customHeight="1">
      <c r="A6" s="557"/>
      <c r="B6" s="557"/>
      <c r="C6" s="557"/>
      <c r="D6" s="558"/>
    </row>
    <row r="7" spans="1:8" ht="39.950000000000003" customHeight="1">
      <c r="A7" s="8"/>
      <c r="B7" s="7"/>
      <c r="C7" s="7"/>
      <c r="D7" s="7"/>
    </row>
    <row r="8" spans="1:8" ht="39.950000000000003" customHeight="1">
      <c r="A8" s="9" t="s">
        <v>82</v>
      </c>
      <c r="B8" s="257">
        <f>SUM(B9:B10)</f>
        <v>12965</v>
      </c>
      <c r="C8" s="257">
        <f>SUM(C9:C10)</f>
        <v>13371</v>
      </c>
      <c r="D8" s="257">
        <f>SUM(D9:D10)</f>
        <v>13547</v>
      </c>
    </row>
    <row r="9" spans="1:8" ht="39.950000000000003" customHeight="1">
      <c r="A9" s="30" t="s">
        <v>89</v>
      </c>
      <c r="B9" s="256">
        <f>'Income Statement - As Reported'!B9</f>
        <v>12965</v>
      </c>
      <c r="C9" s="256">
        <f>'Income Statement - As Reported'!C9</f>
        <v>12854</v>
      </c>
      <c r="D9" s="256">
        <f>'Income Statement - As Reported'!D9</f>
        <v>13547</v>
      </c>
    </row>
    <row r="10" spans="1:8" ht="39.950000000000003" customHeight="1">
      <c r="A10" s="30" t="s">
        <v>240</v>
      </c>
      <c r="B10" s="256">
        <v>0</v>
      </c>
      <c r="C10" s="256">
        <f>'Income Statement - As Reported'!C21</f>
        <v>517</v>
      </c>
      <c r="D10" s="256">
        <v>0</v>
      </c>
    </row>
    <row r="11" spans="1:8" ht="39.950000000000003" customHeight="1">
      <c r="A11" s="88" t="s">
        <v>83</v>
      </c>
      <c r="B11" s="297">
        <f>B12+B13+B14+B15</f>
        <v>11113</v>
      </c>
      <c r="C11" s="297">
        <f t="shared" ref="C11" si="0">C12+C13+C14+C15</f>
        <v>10986</v>
      </c>
      <c r="D11" s="297">
        <f>D12+D13+D14+D15</f>
        <v>11431</v>
      </c>
    </row>
    <row r="12" spans="1:8" ht="39.950000000000003" customHeight="1">
      <c r="A12" s="89" t="s">
        <v>108</v>
      </c>
      <c r="B12" s="299">
        <f>'Income Statement - As Reported'!B11</f>
        <v>8131</v>
      </c>
      <c r="C12" s="299">
        <f>'Income Statement - As Reported'!C11</f>
        <v>8155</v>
      </c>
      <c r="D12" s="299">
        <f>'Income Statement - As Reported'!D11</f>
        <v>8821</v>
      </c>
      <c r="F12" s="35"/>
    </row>
    <row r="13" spans="1:8" ht="39.950000000000003" customHeight="1">
      <c r="A13" s="89" t="s">
        <v>90</v>
      </c>
      <c r="B13" s="299">
        <f>'Income Statement - As Reported'!B12</f>
        <v>3351</v>
      </c>
      <c r="C13" s="299">
        <f>'Income Statement - As Reported'!C12</f>
        <v>3312</v>
      </c>
      <c r="D13" s="299">
        <f>'Income Statement - As Reported'!D12</f>
        <v>3020</v>
      </c>
    </row>
    <row r="14" spans="1:8" ht="39.950000000000003" customHeight="1">
      <c r="A14" s="37" t="s">
        <v>236</v>
      </c>
      <c r="B14" s="276">
        <f>-B17</f>
        <v>-517</v>
      </c>
      <c r="C14" s="276">
        <f t="shared" ref="C14:D14" si="1">-C17</f>
        <v>-481</v>
      </c>
      <c r="D14" s="276">
        <f t="shared" si="1"/>
        <v>-516</v>
      </c>
    </row>
    <row r="15" spans="1:8" ht="39.950000000000003" customHeight="1">
      <c r="A15" s="90" t="s">
        <v>237</v>
      </c>
      <c r="B15" s="274">
        <f>-'Income Statement - As Reported'!B21</f>
        <v>148</v>
      </c>
      <c r="C15" s="274">
        <v>0</v>
      </c>
      <c r="D15" s="274">
        <f>-'Income Statement - As Reported'!D21</f>
        <v>106</v>
      </c>
      <c r="F15" s="35"/>
      <c r="H15" s="35"/>
    </row>
    <row r="16" spans="1:8" ht="39.950000000000003" customHeight="1">
      <c r="A16" s="9" t="s">
        <v>84</v>
      </c>
      <c r="B16" s="257">
        <f>B8-B11</f>
        <v>1852</v>
      </c>
      <c r="C16" s="257">
        <f>C8-C11</f>
        <v>2385</v>
      </c>
      <c r="D16" s="257">
        <f>D8-D11</f>
        <v>2116</v>
      </c>
    </row>
    <row r="17" spans="1:4" ht="39.950000000000003" customHeight="1">
      <c r="A17" s="9" t="s">
        <v>85</v>
      </c>
      <c r="B17" s="297">
        <f>'Income Statement - As Reported'!B38</f>
        <v>517</v>
      </c>
      <c r="C17" s="297">
        <f>'Income Statement - As Reported'!C38</f>
        <v>481</v>
      </c>
      <c r="D17" s="297">
        <f>'Income Statement - As Reported'!D38</f>
        <v>516</v>
      </c>
    </row>
    <row r="18" spans="1:4" ht="39.950000000000003" customHeight="1">
      <c r="A18" s="36" t="s">
        <v>114</v>
      </c>
      <c r="B18" s="275">
        <f>B16-B17</f>
        <v>1335</v>
      </c>
      <c r="C18" s="275">
        <f>C16-C17</f>
        <v>1904</v>
      </c>
      <c r="D18" s="275">
        <f>D16-D17</f>
        <v>1600</v>
      </c>
    </row>
    <row r="19" spans="1:4" ht="39.950000000000003" customHeight="1">
      <c r="A19" s="36" t="s">
        <v>113</v>
      </c>
      <c r="B19" s="275">
        <f>'Income Statement - As Reported'!B39-'Income Statement - As Reported'!B40</f>
        <v>401</v>
      </c>
      <c r="C19" s="275">
        <f>'Income Statement - As Reported'!C39-'Income Statement - As Reported'!C40</f>
        <v>247</v>
      </c>
      <c r="D19" s="275">
        <f>'Income Statement - As Reported'!D39-'Income Statement - As Reported'!D40</f>
        <v>271</v>
      </c>
    </row>
    <row r="20" spans="1:4" ht="39.950000000000003" customHeight="1">
      <c r="A20" s="36" t="s">
        <v>115</v>
      </c>
      <c r="B20" s="275">
        <f>B18-B19</f>
        <v>934</v>
      </c>
      <c r="C20" s="275">
        <f t="shared" ref="C20" si="2">C18-C19</f>
        <v>1657</v>
      </c>
      <c r="D20" s="275">
        <f>D18-D19</f>
        <v>1329</v>
      </c>
    </row>
    <row r="21" spans="1:4" ht="39.950000000000003" customHeight="1">
      <c r="A21" s="36" t="s">
        <v>235</v>
      </c>
      <c r="B21" s="275">
        <f>'Income Statement - As Reported'!B19</f>
        <v>235</v>
      </c>
      <c r="C21" s="275">
        <f>'Income Statement - As Reported'!C19</f>
        <v>410</v>
      </c>
      <c r="D21" s="275">
        <f>'Income Statement - As Reported'!D19</f>
        <v>181</v>
      </c>
    </row>
    <row r="22" spans="1:4" ht="39.950000000000003" customHeight="1">
      <c r="A22" s="91" t="s">
        <v>122</v>
      </c>
      <c r="B22" s="275">
        <f>'Income Statement - As Reported'!B22</f>
        <v>1</v>
      </c>
      <c r="C22" s="275">
        <f>'Income Statement - As Reported'!C22</f>
        <v>7</v>
      </c>
      <c r="D22" s="275">
        <f>'Income Statement - As Reported'!D22</f>
        <v>196</v>
      </c>
    </row>
    <row r="23" spans="1:4" ht="39.950000000000003" customHeight="1">
      <c r="A23" s="36" t="s">
        <v>121</v>
      </c>
      <c r="B23" s="275">
        <f>B20-B21+B22</f>
        <v>700</v>
      </c>
      <c r="C23" s="275">
        <f t="shared" ref="C23" si="3">C20-C21+C22</f>
        <v>1254</v>
      </c>
      <c r="D23" s="275">
        <f>D20-D21+D22</f>
        <v>1344</v>
      </c>
    </row>
    <row r="24" spans="1:4" ht="39.950000000000003" customHeight="1">
      <c r="A24" s="34" t="s">
        <v>120</v>
      </c>
      <c r="B24" s="301">
        <f>'Income Statement - As Reported'!B24</f>
        <v>1</v>
      </c>
      <c r="C24" s="301">
        <f>'Income Statement - As Reported'!C24</f>
        <v>0</v>
      </c>
      <c r="D24" s="275">
        <f>'Income Statement - As Reported'!D24</f>
        <v>8</v>
      </c>
    </row>
    <row r="25" spans="1:4" ht="39.950000000000003" customHeight="1">
      <c r="A25" s="94" t="s">
        <v>103</v>
      </c>
      <c r="B25" s="302">
        <f>B23-B24</f>
        <v>699</v>
      </c>
      <c r="C25" s="302">
        <f t="shared" ref="C25" si="4">C23-C24</f>
        <v>1254</v>
      </c>
      <c r="D25" s="298">
        <f>D23-D24</f>
        <v>1336</v>
      </c>
    </row>
    <row r="26" spans="1:4" ht="39.950000000000003" customHeight="1">
      <c r="B26" s="247"/>
      <c r="C26" s="247"/>
      <c r="D26" s="247"/>
    </row>
    <row r="27" spans="1:4" ht="39.950000000000003" customHeight="1">
      <c r="B27" s="247"/>
      <c r="C27" s="247"/>
      <c r="D27" s="247"/>
    </row>
    <row r="28" spans="1:4" ht="39.950000000000003" customHeight="1">
      <c r="B28" s="247"/>
      <c r="C28" s="247"/>
      <c r="D28" s="247"/>
    </row>
    <row r="29" spans="1:4" ht="39.950000000000003" customHeight="1">
      <c r="B29" s="247"/>
      <c r="C29" s="247"/>
      <c r="D29" s="247"/>
    </row>
    <row r="30" spans="1:4" ht="39.950000000000003" customHeight="1">
      <c r="B30" s="247"/>
      <c r="C30" s="247"/>
      <c r="D30" s="247"/>
    </row>
    <row r="31" spans="1:4" ht="39.950000000000003" customHeight="1">
      <c r="B31" s="247"/>
      <c r="C31" s="247"/>
      <c r="D31" s="247"/>
    </row>
    <row r="32" spans="1:4" ht="39.950000000000003" customHeight="1">
      <c r="B32" s="247"/>
      <c r="C32" s="247"/>
      <c r="D32" s="247"/>
    </row>
  </sheetData>
  <mergeCells count="2">
    <mergeCell ref="A3:D3"/>
    <mergeCell ref="A6:D6"/>
  </mergeCells>
  <pageMargins left="0.7" right="0.7" top="0.75" bottom="0.75" header="0.3" footer="0.3"/>
  <ignoredErrors>
    <ignoredError sqref="B19:D19" formula="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75E93-2652-431B-9016-8EDE5F276E91}">
  <sheetPr>
    <tabColor rgb="FFD31245"/>
  </sheetPr>
  <dimension ref="A1"/>
  <sheetViews>
    <sheetView workbookViewId="0">
      <selection sqref="A1:XFD1048576"/>
    </sheetView>
  </sheetViews>
  <sheetFormatPr defaultRowHeight="12.75"/>
  <cols>
    <col min="1" max="16384" width="9.33203125" style="525"/>
  </cols>
  <sheetData/>
  <mergeCells count="1">
    <mergeCell ref="A1:XFD104857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47"/>
  <sheetViews>
    <sheetView topLeftCell="A13" workbookViewId="0">
      <selection activeCell="C30" sqref="C30"/>
    </sheetView>
  </sheetViews>
  <sheetFormatPr defaultRowHeight="12.75"/>
  <cols>
    <col min="1" max="7" width="25.83203125" customWidth="1"/>
  </cols>
  <sheetData>
    <row r="1" spans="1:14" ht="24.95" customHeight="1">
      <c r="A1" s="34" t="s">
        <v>282</v>
      </c>
      <c r="B1" s="60"/>
      <c r="C1" s="60"/>
      <c r="D1" s="60"/>
      <c r="E1" s="61"/>
      <c r="F1" s="60"/>
      <c r="G1" s="60"/>
    </row>
    <row r="2" spans="1:14" ht="24.95" customHeight="1">
      <c r="A2" s="34"/>
      <c r="B2" s="60"/>
      <c r="C2" s="60"/>
      <c r="D2" s="60"/>
      <c r="E2" s="61"/>
      <c r="F2" s="60"/>
      <c r="G2" s="60"/>
    </row>
    <row r="3" spans="1:14" ht="24.95" customHeight="1">
      <c r="A3" s="12" t="s">
        <v>49</v>
      </c>
      <c r="B3" s="60"/>
      <c r="C3" s="60"/>
      <c r="D3" s="60"/>
      <c r="E3" s="51"/>
      <c r="F3" s="51"/>
      <c r="G3" s="51"/>
    </row>
    <row r="4" spans="1:14" ht="24.95" customHeight="1">
      <c r="A4" s="12"/>
      <c r="B4" s="60"/>
      <c r="C4" s="60"/>
      <c r="D4" s="60"/>
      <c r="E4" s="51"/>
      <c r="F4" s="51"/>
      <c r="G4" s="51"/>
    </row>
    <row r="5" spans="1:14" ht="24.95" customHeight="1">
      <c r="A5" s="102" t="s">
        <v>50</v>
      </c>
      <c r="B5" s="21">
        <v>3569</v>
      </c>
      <c r="C5" s="21">
        <v>3716</v>
      </c>
      <c r="D5" s="21">
        <v>3731</v>
      </c>
      <c r="E5" s="21">
        <v>3787.2981200000004</v>
      </c>
      <c r="F5" s="21">
        <v>3851.7163117999999</v>
      </c>
      <c r="G5" s="21">
        <v>3916.7786855179997</v>
      </c>
    </row>
    <row r="6" spans="1:14" ht="24.95" customHeight="1">
      <c r="A6" s="102" t="s">
        <v>51</v>
      </c>
      <c r="B6" s="21">
        <v>7535</v>
      </c>
      <c r="C6" s="21">
        <v>8143</v>
      </c>
      <c r="D6" s="21">
        <v>9411</v>
      </c>
      <c r="E6" s="21">
        <v>8525.3033333333296</v>
      </c>
      <c r="F6" s="21">
        <v>8544.2633333333306</v>
      </c>
      <c r="G6" s="21">
        <v>8559.5333333333292</v>
      </c>
      <c r="L6">
        <v>2016</v>
      </c>
      <c r="M6">
        <v>2017</v>
      </c>
      <c r="N6">
        <v>2018</v>
      </c>
    </row>
    <row r="7" spans="1:14" ht="24.95" customHeight="1">
      <c r="A7" s="12" t="s">
        <v>52</v>
      </c>
      <c r="B7" s="83">
        <v>11104</v>
      </c>
      <c r="C7" s="83">
        <v>11859</v>
      </c>
      <c r="D7" s="83">
        <v>13142</v>
      </c>
      <c r="E7" s="83">
        <v>12312.601453333329</v>
      </c>
      <c r="F7" s="83">
        <v>12395.979645133331</v>
      </c>
      <c r="G7" s="83">
        <v>12476.312018851329</v>
      </c>
      <c r="J7" s="125" t="s">
        <v>407</v>
      </c>
    </row>
    <row r="8" spans="1:14" ht="24.95" customHeight="1">
      <c r="A8" s="12"/>
      <c r="B8" s="21"/>
      <c r="C8" s="21"/>
      <c r="D8" s="21"/>
      <c r="E8" s="83"/>
      <c r="F8" s="21"/>
      <c r="G8" s="21"/>
    </row>
    <row r="9" spans="1:14" ht="24.95" customHeight="1">
      <c r="A9" s="12" t="s">
        <v>48</v>
      </c>
      <c r="B9" s="21"/>
      <c r="C9" s="21"/>
      <c r="D9" s="21"/>
      <c r="E9" s="21"/>
      <c r="F9" s="21"/>
      <c r="G9" s="21"/>
    </row>
    <row r="10" spans="1:14" ht="24.95" customHeight="1">
      <c r="A10" s="12"/>
      <c r="B10" s="21"/>
      <c r="C10" s="21"/>
      <c r="D10" s="21"/>
      <c r="E10" s="21"/>
      <c r="F10" s="21"/>
      <c r="G10" s="21"/>
    </row>
    <row r="11" spans="1:14" ht="24.95" customHeight="1">
      <c r="A11" s="103" t="s">
        <v>73</v>
      </c>
      <c r="B11" s="21">
        <v>1106</v>
      </c>
      <c r="C11" s="21">
        <v>1250</v>
      </c>
      <c r="D11" s="21">
        <v>1163</v>
      </c>
      <c r="E11" s="21">
        <v>1424.50618916809</v>
      </c>
      <c r="F11" s="21">
        <v>1415.8064293247701</v>
      </c>
      <c r="G11" s="21">
        <v>1425.9915816852601</v>
      </c>
    </row>
    <row r="12" spans="1:14" ht="24.95" customHeight="1">
      <c r="A12" s="103" t="s">
        <v>74</v>
      </c>
      <c r="B12" s="21">
        <v>-2061</v>
      </c>
      <c r="C12" s="21">
        <v>-2269</v>
      </c>
      <c r="D12" s="21">
        <v>-2427</v>
      </c>
      <c r="E12" s="21">
        <v>-2336.62803901401</v>
      </c>
      <c r="F12" s="21">
        <v>-2320.4578680130703</v>
      </c>
      <c r="G12" s="21">
        <v>-2323.9653019442098</v>
      </c>
    </row>
    <row r="13" spans="1:14" ht="24.95" customHeight="1">
      <c r="A13" s="103" t="s">
        <v>72</v>
      </c>
      <c r="B13" s="21">
        <v>-754</v>
      </c>
      <c r="C13" s="21">
        <v>0</v>
      </c>
      <c r="D13" s="21">
        <v>0</v>
      </c>
      <c r="E13" s="21">
        <v>0</v>
      </c>
      <c r="F13" s="21">
        <v>0</v>
      </c>
      <c r="G13" s="21">
        <v>0</v>
      </c>
    </row>
    <row r="14" spans="1:14" ht="24.95" customHeight="1">
      <c r="A14" s="103" t="s">
        <v>53</v>
      </c>
      <c r="B14" s="21">
        <v>1238</v>
      </c>
      <c r="C14" s="21">
        <v>1217</v>
      </c>
      <c r="D14" s="21">
        <v>1330</v>
      </c>
      <c r="E14" s="21">
        <v>1344.4781744501599</v>
      </c>
      <c r="F14" s="21">
        <v>1352.3249754900899</v>
      </c>
      <c r="G14" s="21">
        <v>1361.6030958984102</v>
      </c>
    </row>
    <row r="15" spans="1:14" ht="24.95" customHeight="1">
      <c r="A15" s="103" t="s">
        <v>54</v>
      </c>
      <c r="B15" s="21">
        <v>-355</v>
      </c>
      <c r="C15" s="21">
        <v>-110</v>
      </c>
      <c r="D15" s="21">
        <v>-484</v>
      </c>
      <c r="E15" s="21">
        <v>-622.18352000000004</v>
      </c>
      <c r="F15" s="21">
        <v>-615.522850132234</v>
      </c>
      <c r="G15" s="21">
        <v>-610.33840722823504</v>
      </c>
    </row>
    <row r="16" spans="1:14" ht="24.95" customHeight="1">
      <c r="A16" s="103" t="s">
        <v>79</v>
      </c>
      <c r="B16" s="21">
        <v>-8</v>
      </c>
      <c r="C16" s="21">
        <v>-10</v>
      </c>
      <c r="D16" s="21">
        <v>-10</v>
      </c>
      <c r="E16" s="21">
        <v>0</v>
      </c>
      <c r="F16" s="21">
        <v>0</v>
      </c>
      <c r="G16" s="21">
        <v>0</v>
      </c>
    </row>
    <row r="17" spans="1:7" ht="24.95" customHeight="1">
      <c r="A17" s="103" t="s">
        <v>55</v>
      </c>
      <c r="B17" s="21">
        <v>-288</v>
      </c>
      <c r="C17" s="21">
        <v>-1171</v>
      </c>
      <c r="D17" s="21">
        <v>-1056</v>
      </c>
      <c r="E17" s="21">
        <v>-1412.1399980543931</v>
      </c>
      <c r="F17" s="21">
        <v>-1409.0537820449069</v>
      </c>
      <c r="G17" s="21">
        <v>-1414.7723911773219</v>
      </c>
    </row>
    <row r="18" spans="1:7" ht="24.95" customHeight="1">
      <c r="A18" s="12" t="s">
        <v>56</v>
      </c>
      <c r="B18" s="83">
        <v>-1122</v>
      </c>
      <c r="C18" s="83">
        <v>-1093</v>
      </c>
      <c r="D18" s="83">
        <v>-1484</v>
      </c>
      <c r="E18" s="83">
        <v>-1601.9671934501532</v>
      </c>
      <c r="F18" s="83">
        <v>-1576.9030953753513</v>
      </c>
      <c r="G18" s="83">
        <v>-1561.4814227660963</v>
      </c>
    </row>
    <row r="19" spans="1:7" ht="24.95" customHeight="1">
      <c r="A19" s="86"/>
      <c r="B19" s="105"/>
      <c r="C19" s="105"/>
      <c r="D19" s="105"/>
      <c r="E19" s="105"/>
      <c r="F19" s="105"/>
      <c r="G19" s="105"/>
    </row>
    <row r="20" spans="1:7" ht="24.95" customHeight="1">
      <c r="A20" s="12" t="s">
        <v>57</v>
      </c>
      <c r="B20" s="83">
        <v>9982</v>
      </c>
      <c r="C20" s="83">
        <v>10766</v>
      </c>
      <c r="D20" s="83">
        <v>11658</v>
      </c>
      <c r="E20" s="83">
        <v>10710.634259883176</v>
      </c>
      <c r="F20" s="83">
        <v>10819.07654975798</v>
      </c>
      <c r="G20" s="83">
        <v>10914.830596085234</v>
      </c>
    </row>
    <row r="21" spans="1:7" ht="24.95" customHeight="1">
      <c r="A21" s="34"/>
      <c r="B21" s="21"/>
      <c r="C21" s="21"/>
      <c r="D21" s="21"/>
      <c r="E21" s="21"/>
      <c r="F21" s="21"/>
      <c r="G21" s="21"/>
    </row>
    <row r="22" spans="1:7" ht="24.95" customHeight="1">
      <c r="A22" s="12" t="s">
        <v>60</v>
      </c>
      <c r="B22" s="21"/>
      <c r="C22" s="21"/>
      <c r="D22" s="21"/>
      <c r="E22" s="21"/>
      <c r="F22" s="21"/>
      <c r="G22" s="21"/>
    </row>
    <row r="23" spans="1:7" ht="24.95" customHeight="1">
      <c r="A23" s="12"/>
      <c r="B23" s="21"/>
      <c r="C23" s="21"/>
      <c r="D23" s="21"/>
      <c r="E23" s="21"/>
      <c r="F23" s="21"/>
      <c r="G23" s="21"/>
    </row>
    <row r="24" spans="1:7" ht="24.95" customHeight="1">
      <c r="A24" s="103" t="s">
        <v>78</v>
      </c>
      <c r="B24" s="21">
        <v>438</v>
      </c>
      <c r="C24" s="21">
        <v>429</v>
      </c>
      <c r="D24" s="21">
        <v>413</v>
      </c>
      <c r="E24" s="21">
        <v>0</v>
      </c>
      <c r="F24" s="21">
        <v>0</v>
      </c>
      <c r="G24" s="21">
        <v>0</v>
      </c>
    </row>
    <row r="25" spans="1:7" ht="24.95" customHeight="1">
      <c r="A25" s="103" t="s">
        <v>58</v>
      </c>
      <c r="B25" s="21">
        <v>458</v>
      </c>
      <c r="C25" s="21">
        <v>782</v>
      </c>
      <c r="D25" s="21">
        <v>822</v>
      </c>
      <c r="E25" s="21">
        <f>1601.23494347903</f>
        <v>1601.2349434790301</v>
      </c>
      <c r="F25" s="21">
        <f>1771.31693035983</f>
        <v>1771.3169303598299</v>
      </c>
      <c r="G25" s="21">
        <v>1864.35</v>
      </c>
    </row>
    <row r="26" spans="1:7" ht="24.95" customHeight="1">
      <c r="A26" s="103" t="s">
        <v>59</v>
      </c>
      <c r="B26" s="21">
        <v>-1423</v>
      </c>
      <c r="C26" s="21">
        <v>-1390</v>
      </c>
      <c r="D26" s="21">
        <v>-1133</v>
      </c>
      <c r="E26" s="21">
        <v>-620.33333333333303</v>
      </c>
      <c r="F26" s="21">
        <v>-620.33333333333303</v>
      </c>
      <c r="G26" s="21">
        <v>-620.33333333333303</v>
      </c>
    </row>
    <row r="27" spans="1:7" ht="24.95" customHeight="1">
      <c r="A27" s="12" t="s">
        <v>77</v>
      </c>
      <c r="B27" s="83">
        <v>-527</v>
      </c>
      <c r="C27" s="83">
        <v>-179</v>
      </c>
      <c r="D27" s="83">
        <v>102</v>
      </c>
      <c r="E27" s="83">
        <f>SUM(E24:E26)</f>
        <v>980.90161014569708</v>
      </c>
      <c r="F27" s="83">
        <f t="shared" ref="F27:G27" si="0">SUM(F24:F26)</f>
        <v>1150.9835970264969</v>
      </c>
      <c r="G27" s="83">
        <f t="shared" si="0"/>
        <v>1244.0166666666669</v>
      </c>
    </row>
    <row r="28" spans="1:7" ht="24.95" customHeight="1">
      <c r="A28" s="12"/>
      <c r="B28" s="21"/>
      <c r="C28" s="21"/>
      <c r="D28" s="21"/>
      <c r="E28" s="21"/>
      <c r="F28" s="21"/>
      <c r="G28" s="21"/>
    </row>
    <row r="29" spans="1:7" ht="24.95" customHeight="1">
      <c r="A29" s="12" t="s">
        <v>61</v>
      </c>
      <c r="B29" s="83">
        <v>9455</v>
      </c>
      <c r="C29" s="83">
        <v>10587</v>
      </c>
      <c r="D29" s="83">
        <v>11760</v>
      </c>
      <c r="E29" s="83">
        <f>SUM(E20,E27)</f>
        <v>11691.535870028873</v>
      </c>
      <c r="F29" s="83">
        <f t="shared" ref="F29" si="1">SUM(F20,F27)</f>
        <v>11970.060146784477</v>
      </c>
      <c r="G29" s="83">
        <f>SUM(G20,G27)</f>
        <v>12158.8472627519</v>
      </c>
    </row>
    <row r="30" spans="1:7" ht="24.95" customHeight="1">
      <c r="A30" s="12"/>
      <c r="B30" s="21"/>
      <c r="C30" s="21"/>
      <c r="D30" s="21"/>
      <c r="E30" s="21"/>
      <c r="F30" s="21"/>
      <c r="G30" s="21"/>
    </row>
    <row r="31" spans="1:7" ht="24.95" customHeight="1">
      <c r="A31" s="12" t="s">
        <v>62</v>
      </c>
      <c r="B31" s="21"/>
      <c r="C31" s="21"/>
      <c r="D31" s="21"/>
      <c r="E31" s="21"/>
      <c r="F31" s="21"/>
      <c r="G31" s="21"/>
    </row>
    <row r="32" spans="1:7" ht="24.95" customHeight="1">
      <c r="A32" s="12"/>
      <c r="B32" s="21"/>
      <c r="C32" s="21"/>
      <c r="D32" s="21"/>
      <c r="E32" s="21"/>
      <c r="F32" s="21"/>
      <c r="G32" s="21"/>
    </row>
    <row r="33" spans="1:7" ht="24.95" customHeight="1">
      <c r="A33" s="103" t="s">
        <v>63</v>
      </c>
      <c r="B33" s="21">
        <v>1069</v>
      </c>
      <c r="C33" s="21">
        <v>779</v>
      </c>
      <c r="D33" s="21">
        <v>686</v>
      </c>
      <c r="E33" s="21">
        <v>874.66195702932703</v>
      </c>
      <c r="F33" s="21">
        <v>887.78188638476684</v>
      </c>
      <c r="G33" s="21">
        <v>896.6597052486145</v>
      </c>
    </row>
    <row r="34" spans="1:7" ht="24.95" customHeight="1">
      <c r="A34" s="103" t="s">
        <v>64</v>
      </c>
      <c r="B34" s="21">
        <v>6698</v>
      </c>
      <c r="C34" s="21">
        <v>7836</v>
      </c>
      <c r="D34" s="21">
        <v>8207</v>
      </c>
      <c r="E34" s="21">
        <v>7898.4546381746368</v>
      </c>
      <c r="F34" s="21">
        <v>8220.0094330241336</v>
      </c>
      <c r="G34" s="21">
        <v>8555.1240367547089</v>
      </c>
    </row>
    <row r="35" spans="1:7" ht="24.95" customHeight="1">
      <c r="A35" s="103" t="s">
        <v>75</v>
      </c>
      <c r="B35" s="21">
        <v>-22</v>
      </c>
      <c r="C35" s="21">
        <v>5</v>
      </c>
      <c r="D35" s="21">
        <v>7</v>
      </c>
      <c r="E35" s="21">
        <v>0</v>
      </c>
      <c r="F35" s="21">
        <v>0</v>
      </c>
      <c r="G35" s="21">
        <v>0</v>
      </c>
    </row>
    <row r="36" spans="1:7" ht="24.95" customHeight="1">
      <c r="A36" s="103" t="s">
        <v>76</v>
      </c>
      <c r="B36" s="21">
        <v>64</v>
      </c>
      <c r="C36" s="21">
        <v>54</v>
      </c>
      <c r="D36" s="21">
        <v>22</v>
      </c>
      <c r="E36" s="21">
        <v>0</v>
      </c>
      <c r="F36" s="21">
        <v>0</v>
      </c>
      <c r="G36" s="21">
        <v>0</v>
      </c>
    </row>
    <row r="37" spans="1:7" ht="24.95" customHeight="1">
      <c r="A37" s="104" t="s">
        <v>68</v>
      </c>
      <c r="B37" s="83">
        <v>7809</v>
      </c>
      <c r="C37" s="83">
        <v>8674</v>
      </c>
      <c r="D37" s="83">
        <v>8922</v>
      </c>
      <c r="E37" s="83">
        <f>SUM(E33:E36)</f>
        <v>8773.1165952039646</v>
      </c>
      <c r="F37" s="83">
        <f>SUM(F33:F36)</f>
        <v>9107.7913194088997</v>
      </c>
      <c r="G37" s="83">
        <f t="shared" ref="G37" si="2">SUM(G33:G36)</f>
        <v>9451.7837420033229</v>
      </c>
    </row>
    <row r="38" spans="1:7" ht="24.95" customHeight="1">
      <c r="A38" s="103" t="s">
        <v>65</v>
      </c>
      <c r="B38" s="21">
        <v>-280</v>
      </c>
      <c r="C38" s="21">
        <v>-281</v>
      </c>
      <c r="D38" s="21">
        <v>-321</v>
      </c>
      <c r="E38" s="21">
        <v>-418.74356176902796</v>
      </c>
      <c r="F38" s="21">
        <v>-569.40495804908801</v>
      </c>
      <c r="G38" s="21">
        <v>-774.20581936576298</v>
      </c>
    </row>
    <row r="39" spans="1:7" ht="24.95" customHeight="1">
      <c r="A39" s="104" t="s">
        <v>69</v>
      </c>
      <c r="B39" s="83">
        <v>7529</v>
      </c>
      <c r="C39" s="83">
        <v>8393</v>
      </c>
      <c r="D39" s="83">
        <v>8601</v>
      </c>
      <c r="E39" s="83">
        <f>SUM(E37:E38)</f>
        <v>8354.3730334349366</v>
      </c>
      <c r="F39" s="83">
        <f t="shared" ref="F39:G39" si="3">SUM(F37:F38)</f>
        <v>8538.3863613598114</v>
      </c>
      <c r="G39" s="83">
        <f t="shared" si="3"/>
        <v>8677.5779226375598</v>
      </c>
    </row>
    <row r="40" spans="1:7" ht="24.95" customHeight="1">
      <c r="A40" s="34"/>
      <c r="B40" s="21"/>
      <c r="C40" s="21"/>
      <c r="D40" s="21"/>
      <c r="E40" s="21"/>
      <c r="F40" s="21"/>
      <c r="G40" s="21"/>
    </row>
    <row r="41" spans="1:7" ht="24.95" customHeight="1">
      <c r="A41" s="104" t="s">
        <v>70</v>
      </c>
      <c r="B41" s="21"/>
      <c r="C41" s="21"/>
      <c r="D41" s="21"/>
      <c r="E41" s="21"/>
      <c r="F41" s="21"/>
      <c r="G41" s="21"/>
    </row>
    <row r="42" spans="1:7" ht="24.95" customHeight="1">
      <c r="A42" s="104"/>
      <c r="B42" s="21"/>
      <c r="C42" s="21"/>
      <c r="D42" s="21"/>
      <c r="E42" s="21"/>
      <c r="F42" s="21"/>
      <c r="G42" s="21"/>
    </row>
    <row r="43" spans="1:7" ht="24.95" customHeight="1">
      <c r="A43" s="103" t="s">
        <v>66</v>
      </c>
      <c r="B43" s="21">
        <v>1910</v>
      </c>
      <c r="C43" s="21">
        <v>2178</v>
      </c>
      <c r="D43" s="21">
        <v>2601</v>
      </c>
      <c r="E43" s="21">
        <v>2779.1654471081242</v>
      </c>
      <c r="F43" s="21">
        <v>2873.6766251902613</v>
      </c>
      <c r="G43" s="21">
        <v>2923.2750340122689</v>
      </c>
    </row>
    <row r="44" spans="1:7" ht="24.95" customHeight="1">
      <c r="A44" s="103" t="s">
        <v>67</v>
      </c>
      <c r="B44" s="21">
        <v>16</v>
      </c>
      <c r="C44" s="21">
        <v>16</v>
      </c>
      <c r="D44" s="21">
        <v>558</v>
      </c>
      <c r="E44" s="21">
        <v>558</v>
      </c>
      <c r="F44" s="21">
        <v>558</v>
      </c>
      <c r="G44" s="21">
        <v>558</v>
      </c>
    </row>
    <row r="45" spans="1:7" ht="24.95" customHeight="1">
      <c r="A45" s="104" t="s">
        <v>71</v>
      </c>
      <c r="B45" s="83">
        <v>1926</v>
      </c>
      <c r="C45" s="83">
        <v>2194</v>
      </c>
      <c r="D45" s="83">
        <v>3159</v>
      </c>
      <c r="E45" s="83">
        <f>SUM(E43:E44)</f>
        <v>3337.1654471081242</v>
      </c>
      <c r="F45" s="83">
        <f t="shared" ref="F45:G45" si="4">SUM(F43:F44)</f>
        <v>3431.6766251902613</v>
      </c>
      <c r="G45" s="83">
        <f t="shared" si="4"/>
        <v>3481.2750340122689</v>
      </c>
    </row>
    <row r="46" spans="1:7" ht="24.95" customHeight="1">
      <c r="A46" s="104"/>
      <c r="B46" s="21"/>
      <c r="C46" s="21"/>
      <c r="D46" s="21"/>
      <c r="E46" s="21"/>
      <c r="F46" s="21"/>
      <c r="G46" s="21"/>
    </row>
    <row r="47" spans="1:7" ht="24.95" customHeight="1">
      <c r="A47" s="99" t="s">
        <v>61</v>
      </c>
      <c r="B47" s="83">
        <v>9455</v>
      </c>
      <c r="C47" s="83">
        <v>10587</v>
      </c>
      <c r="D47" s="83">
        <v>11760</v>
      </c>
      <c r="E47" s="83">
        <f>SUM(E39,E45)</f>
        <v>11691.53848054306</v>
      </c>
      <c r="F47" s="83">
        <f>SUM(F39,F45)</f>
        <v>11970.062986550072</v>
      </c>
      <c r="G47" s="83">
        <f>SUM(G39,G45)</f>
        <v>12158.852956649829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5"/>
  <sheetViews>
    <sheetView workbookViewId="0">
      <selection activeCell="F8" sqref="F8"/>
    </sheetView>
  </sheetViews>
  <sheetFormatPr defaultColWidth="25.83203125" defaultRowHeight="24.95" customHeight="1"/>
  <cols>
    <col min="1" max="1" width="44" style="173" customWidth="1"/>
    <col min="2" max="2" width="25.83203125" style="173"/>
    <col min="3" max="5" width="25.83203125" style="174"/>
    <col min="6" max="16384" width="25.83203125" style="173"/>
  </cols>
  <sheetData>
    <row r="1" spans="1:7" s="175" customFormat="1" ht="12.75">
      <c r="A1" s="175" t="s">
        <v>287</v>
      </c>
      <c r="C1" s="176">
        <v>1850.2561912300439</v>
      </c>
    </row>
    <row r="2" spans="1:7" s="175" customFormat="1" ht="24.95" customHeight="1">
      <c r="C2" s="176"/>
      <c r="D2" s="176"/>
      <c r="E2" s="176"/>
      <c r="F2" s="175" t="s">
        <v>434</v>
      </c>
      <c r="G2" s="176">
        <v>-345.79</v>
      </c>
    </row>
    <row r="3" spans="1:7" s="175" customFormat="1" ht="12.75">
      <c r="A3" s="175" t="s">
        <v>288</v>
      </c>
      <c r="C3" s="176">
        <v>-198.97383679378572</v>
      </c>
      <c r="F3" s="175" t="s">
        <v>435</v>
      </c>
      <c r="G3" s="176" t="e">
        <f ca="1">C19</f>
        <v>#REF!</v>
      </c>
    </row>
    <row r="4" spans="1:7" s="175" customFormat="1" ht="12.75">
      <c r="A4" s="175" t="s">
        <v>289</v>
      </c>
      <c r="C4" s="176" t="e">
        <f ca="1">IF($G$3&gt;0,$G$4*0.0426,$G$4*0.0318)</f>
        <v>#REF!</v>
      </c>
      <c r="D4" s="176" t="e">
        <f t="shared" ref="D4:E4" ca="1" si="0">IF($G$3&gt;0,$G$4*0.0426,$G$4*0.0318)</f>
        <v>#REF!</v>
      </c>
      <c r="E4" s="176" t="e">
        <f t="shared" ca="1" si="0"/>
        <v>#REF!</v>
      </c>
      <c r="F4" s="175" t="s">
        <v>436</v>
      </c>
      <c r="G4" s="175" t="e">
        <f ca="1">SUM(G2:G3)</f>
        <v>#REF!</v>
      </c>
    </row>
    <row r="5" spans="1:7" s="175" customFormat="1" ht="12.75">
      <c r="A5" s="175" t="s">
        <v>290</v>
      </c>
      <c r="C5" s="176">
        <v>-295.8345394107082</v>
      </c>
    </row>
    <row r="6" spans="1:7" s="175" customFormat="1" ht="24.95" customHeight="1">
      <c r="A6" s="175" t="s">
        <v>291</v>
      </c>
      <c r="C6" s="176">
        <v>0</v>
      </c>
      <c r="D6" s="176">
        <v>0</v>
      </c>
      <c r="E6" s="176">
        <v>0</v>
      </c>
    </row>
    <row r="7" spans="1:7" s="175" customFormat="1" ht="12.75">
      <c r="A7" s="175" t="s">
        <v>292</v>
      </c>
      <c r="C7" s="176">
        <v>0</v>
      </c>
      <c r="D7" s="176">
        <v>0</v>
      </c>
      <c r="E7" s="176">
        <v>0</v>
      </c>
    </row>
    <row r="8" spans="1:7" s="175" customFormat="1" ht="24.95" customHeight="1">
      <c r="C8" s="176"/>
      <c r="D8" s="176"/>
      <c r="E8" s="176"/>
    </row>
    <row r="9" spans="1:7" s="175" customFormat="1" ht="12.75">
      <c r="A9" s="175" t="s">
        <v>293</v>
      </c>
      <c r="B9" s="176"/>
      <c r="C9" s="176">
        <v>-93.03306964016997</v>
      </c>
    </row>
    <row r="10" spans="1:7" s="175" customFormat="1" ht="12.75">
      <c r="C10" s="176"/>
      <c r="D10" s="176"/>
      <c r="E10" s="176"/>
    </row>
    <row r="11" spans="1:7" s="175" customFormat="1" ht="12.75">
      <c r="A11" s="175" t="s">
        <v>385</v>
      </c>
      <c r="C11" s="176">
        <v>343.99242259442326</v>
      </c>
    </row>
    <row r="12" spans="1:7" s="175" customFormat="1" ht="12.75">
      <c r="C12" s="176"/>
      <c r="D12" s="176"/>
      <c r="E12" s="176"/>
    </row>
    <row r="13" spans="1:7" s="175" customFormat="1" ht="12.75">
      <c r="A13" s="175" t="s">
        <v>294</v>
      </c>
      <c r="C13" s="176" t="e">
        <f ca="1">SUM(C1:C11)</f>
        <v>#REF!</v>
      </c>
      <c r="D13" s="176" t="e">
        <f ca="1">SUM(D1:D11)</f>
        <v>#REF!</v>
      </c>
      <c r="E13" s="176" t="e">
        <f ca="1">SUM(E1:E11)</f>
        <v>#REF!</v>
      </c>
    </row>
    <row r="14" spans="1:7" s="175" customFormat="1" ht="24.95" customHeight="1">
      <c r="C14" s="176"/>
      <c r="D14" s="176"/>
      <c r="E14" s="176"/>
    </row>
    <row r="15" spans="1:7" s="175" customFormat="1" ht="12.75">
      <c r="A15" s="175" t="s">
        <v>295</v>
      </c>
      <c r="B15" s="176"/>
      <c r="C15" s="176" t="e">
        <f>'Operating Forecasts2'!G131</f>
        <v>#REF!</v>
      </c>
    </row>
    <row r="16" spans="1:7" s="175" customFormat="1" ht="24.95" customHeight="1">
      <c r="A16" s="175" t="s">
        <v>296</v>
      </c>
      <c r="C16" s="176" t="e">
        <f>'Operating Forecasts2'!G132</f>
        <v>#REF!</v>
      </c>
    </row>
    <row r="17" spans="1:5" s="175" customFormat="1" ht="12.75">
      <c r="A17" s="175" t="s">
        <v>297</v>
      </c>
      <c r="B17" s="176"/>
      <c r="C17" s="176">
        <v>0</v>
      </c>
      <c r="D17" s="176">
        <v>0</v>
      </c>
      <c r="E17" s="176">
        <v>0</v>
      </c>
    </row>
    <row r="18" spans="1:5" s="175" customFormat="1" ht="24.95" customHeight="1">
      <c r="C18" s="176"/>
      <c r="D18" s="176"/>
      <c r="E18" s="176"/>
    </row>
    <row r="19" spans="1:5" s="175" customFormat="1" ht="12.75">
      <c r="A19" s="175" t="s">
        <v>298</v>
      </c>
      <c r="C19" s="176" t="e">
        <f ca="1">SUM(C13:C17)</f>
        <v>#REF!</v>
      </c>
      <c r="D19" s="176" t="e">
        <f t="shared" ref="D19:E19" ca="1" si="1">SUM(D13:D17)</f>
        <v>#REF!</v>
      </c>
      <c r="E19" s="176" t="e">
        <f t="shared" ca="1" si="1"/>
        <v>#REF!</v>
      </c>
    </row>
    <row r="20" spans="1:5" s="175" customFormat="1" ht="24.95" customHeight="1">
      <c r="C20" s="176"/>
      <c r="D20" s="176"/>
      <c r="E20" s="176"/>
    </row>
    <row r="21" spans="1:5" s="175" customFormat="1" ht="12.75">
      <c r="A21" s="175" t="s">
        <v>412</v>
      </c>
      <c r="B21" s="176"/>
      <c r="C21" s="176">
        <f>G2</f>
        <v>-345.79</v>
      </c>
      <c r="D21" s="176">
        <v>264.25516841772878</v>
      </c>
      <c r="E21" s="176">
        <v>941.69933888695709</v>
      </c>
    </row>
    <row r="22" spans="1:5" s="175" customFormat="1" ht="12.75">
      <c r="A22" s="175" t="s">
        <v>386</v>
      </c>
      <c r="B22" s="176"/>
      <c r="C22" s="176" t="e">
        <f ca="1">C19</f>
        <v>#REF!</v>
      </c>
      <c r="D22" s="176" t="e">
        <f ca="1">D19</f>
        <v>#REF!</v>
      </c>
      <c r="E22" s="176" t="e">
        <f ca="1">E19</f>
        <v>#REF!</v>
      </c>
    </row>
    <row r="23" spans="1:5" s="175" customFormat="1" ht="12.75">
      <c r="A23" s="175" t="s">
        <v>413</v>
      </c>
      <c r="C23" s="176" t="e">
        <f ca="1">SUM(C21:C22)</f>
        <v>#REF!</v>
      </c>
      <c r="D23" s="176" t="e">
        <f t="shared" ref="D23:E23" ca="1" si="2">SUM(D21:D22)</f>
        <v>#REF!</v>
      </c>
      <c r="E23" s="176" t="e">
        <f t="shared" ca="1" si="2"/>
        <v>#REF!</v>
      </c>
    </row>
    <row r="25" spans="1:5" ht="12.75">
      <c r="A25" s="173" t="s">
        <v>298</v>
      </c>
      <c r="B25" s="173">
        <f>SUM(B19:B23)</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40"/>
  <sheetViews>
    <sheetView topLeftCell="A89" zoomScale="90" zoomScaleNormal="90" workbookViewId="0">
      <selection activeCell="E121" sqref="E121"/>
    </sheetView>
  </sheetViews>
  <sheetFormatPr defaultColWidth="25.83203125" defaultRowHeight="24.95" customHeight="1"/>
  <cols>
    <col min="1" max="1" width="44" style="34" customWidth="1"/>
    <col min="2" max="4" width="25.83203125" style="60"/>
    <col min="5" max="16384" width="25.83203125" style="39"/>
  </cols>
  <sheetData>
    <row r="1" spans="1:10" ht="24.95" customHeight="1">
      <c r="A1" s="164" t="s">
        <v>424</v>
      </c>
    </row>
    <row r="2" spans="1:10" ht="24.95" customHeight="1">
      <c r="A2" s="87" t="s">
        <v>81</v>
      </c>
      <c r="G2" s="149" t="s">
        <v>323</v>
      </c>
    </row>
    <row r="3" spans="1:10" s="171" customFormat="1" ht="24.95" customHeight="1">
      <c r="A3" s="150" t="s">
        <v>160</v>
      </c>
      <c r="B3" s="170" t="s">
        <v>86</v>
      </c>
      <c r="C3" s="170" t="s">
        <v>87</v>
      </c>
      <c r="D3" s="170" t="s">
        <v>88</v>
      </c>
      <c r="E3" s="170" t="s">
        <v>117</v>
      </c>
      <c r="F3" s="170" t="s">
        <v>118</v>
      </c>
      <c r="G3" s="170" t="s">
        <v>119</v>
      </c>
    </row>
    <row r="4" spans="1:10" ht="24.95" customHeight="1">
      <c r="A4" s="87"/>
      <c r="B4" s="51"/>
      <c r="C4" s="51"/>
      <c r="D4" s="51"/>
      <c r="E4" s="51"/>
      <c r="F4" s="51"/>
      <c r="G4" s="51"/>
    </row>
    <row r="5" spans="1:10" ht="24.95" customHeight="1">
      <c r="A5" s="34" t="s">
        <v>281</v>
      </c>
      <c r="B5" s="51"/>
      <c r="C5" s="51"/>
      <c r="D5" s="51"/>
    </row>
    <row r="6" spans="1:10" ht="24.95" customHeight="1">
      <c r="B6" s="51"/>
      <c r="C6" s="51"/>
      <c r="D6" s="51"/>
    </row>
    <row r="7" spans="1:10" ht="24.95" customHeight="1" thickBot="1">
      <c r="A7" s="82" t="s">
        <v>82</v>
      </c>
      <c r="B7" s="83">
        <v>12965</v>
      </c>
      <c r="C7" s="83">
        <v>13371</v>
      </c>
      <c r="D7" s="83">
        <v>13547</v>
      </c>
      <c r="E7" s="83" t="e">
        <f>D7*(1+Assumptions!#REF!/100)</f>
        <v>#REF!</v>
      </c>
      <c r="F7" s="83" t="e">
        <f>E7*(1+Assumptions!#REF!/100)</f>
        <v>#REF!</v>
      </c>
      <c r="G7" s="83" t="e">
        <f>F7*(1+Assumptions!#REF!/100)</f>
        <v>#REF!</v>
      </c>
    </row>
    <row r="8" spans="1:10" ht="24.95" customHeight="1" thickTop="1">
      <c r="A8" s="96" t="s">
        <v>260</v>
      </c>
      <c r="B8" s="21">
        <v>12965</v>
      </c>
      <c r="C8" s="21">
        <v>12854</v>
      </c>
      <c r="D8" s="21">
        <v>13547</v>
      </c>
      <c r="E8" s="21" t="e">
        <f>E7</f>
        <v>#REF!</v>
      </c>
      <c r="F8" s="21" t="e">
        <f>F7</f>
        <v>#REF!</v>
      </c>
      <c r="G8" s="21" t="e">
        <f>G7</f>
        <v>#REF!</v>
      </c>
    </row>
    <row r="9" spans="1:10" s="109" customFormat="1" ht="15" customHeight="1">
      <c r="A9" s="110" t="s">
        <v>139</v>
      </c>
      <c r="B9" s="111"/>
      <c r="C9" s="108">
        <v>-8.5615117624373311E-3</v>
      </c>
      <c r="D9" s="108">
        <v>5.3913178777034387E-2</v>
      </c>
      <c r="E9" s="108" t="e">
        <f>(E8-D8)/D8</f>
        <v>#REF!</v>
      </c>
      <c r="F9" s="108" t="e">
        <f t="shared" ref="F9:G9" si="0">(F8-E8)/E8</f>
        <v>#REF!</v>
      </c>
      <c r="G9" s="108" t="e">
        <f t="shared" si="0"/>
        <v>#REF!</v>
      </c>
    </row>
    <row r="10" spans="1:10" ht="24.95" customHeight="1">
      <c r="A10" s="96" t="s">
        <v>261</v>
      </c>
      <c r="B10" s="21">
        <v>0</v>
      </c>
      <c r="C10" s="21">
        <v>517</v>
      </c>
      <c r="D10" s="21">
        <v>0</v>
      </c>
      <c r="E10" s="21">
        <v>0</v>
      </c>
      <c r="F10" s="21">
        <v>0</v>
      </c>
      <c r="G10" s="21">
        <v>0</v>
      </c>
      <c r="H10" s="59"/>
    </row>
    <row r="11" spans="1:10" s="109" customFormat="1" ht="15" customHeight="1">
      <c r="A11" s="110" t="s">
        <v>139</v>
      </c>
      <c r="B11" s="111"/>
      <c r="C11" s="111" t="s">
        <v>262</v>
      </c>
      <c r="D11" s="111" t="s">
        <v>262</v>
      </c>
      <c r="E11" s="111" t="s">
        <v>262</v>
      </c>
      <c r="F11" s="111" t="s">
        <v>262</v>
      </c>
      <c r="G11" s="111" t="s">
        <v>262</v>
      </c>
    </row>
    <row r="12" spans="1:10" ht="24.95" customHeight="1">
      <c r="A12" s="96"/>
      <c r="B12" s="21"/>
      <c r="C12" s="21"/>
      <c r="D12" s="21"/>
    </row>
    <row r="13" spans="1:10" ht="24.95" customHeight="1" thickBot="1">
      <c r="A13" s="82" t="s">
        <v>83</v>
      </c>
      <c r="B13" s="83">
        <v>11113</v>
      </c>
      <c r="C13" s="83">
        <v>10986</v>
      </c>
      <c r="D13" s="83">
        <v>11431</v>
      </c>
      <c r="E13" s="83" t="e">
        <f>E15+E17-E19+E21</f>
        <v>#REF!</v>
      </c>
      <c r="F13" s="83" t="e">
        <f t="shared" ref="F13:G13" si="1">F15+F17-F19+F21</f>
        <v>#REF!</v>
      </c>
      <c r="G13" s="83" t="e">
        <f t="shared" si="1"/>
        <v>#REF!</v>
      </c>
    </row>
    <row r="14" spans="1:10" s="100" customFormat="1" ht="15" customHeight="1" thickTop="1">
      <c r="A14" s="114" t="s">
        <v>139</v>
      </c>
      <c r="B14" s="101"/>
      <c r="C14" s="101"/>
      <c r="D14" s="101"/>
      <c r="H14" s="59"/>
      <c r="I14" s="39"/>
      <c r="J14" s="39"/>
    </row>
    <row r="15" spans="1:10" ht="24.95" customHeight="1">
      <c r="A15" s="84" t="s">
        <v>108</v>
      </c>
      <c r="B15" s="85">
        <f>'Income Statement - As Reported'!B11</f>
        <v>8131</v>
      </c>
      <c r="C15" s="85">
        <f>'Income Statement - As Reported'!C11</f>
        <v>8155</v>
      </c>
      <c r="D15" s="85">
        <f>'Income Statement - As Reported'!D11</f>
        <v>8821</v>
      </c>
      <c r="E15" s="21" t="e">
        <f>E8*Assumptions!F16</f>
        <v>#REF!</v>
      </c>
      <c r="F15" s="21" t="e">
        <f>F8*Assumptions!G16</f>
        <v>#REF!</v>
      </c>
      <c r="G15" s="21" t="e">
        <f>G8*Assumptions!H16</f>
        <v>#REF!</v>
      </c>
      <c r="H15" s="109"/>
      <c r="I15" s="109"/>
      <c r="J15" s="109"/>
    </row>
    <row r="16" spans="1:10" s="109" customFormat="1" ht="15" customHeight="1">
      <c r="A16" s="106" t="s">
        <v>139</v>
      </c>
      <c r="B16" s="107"/>
      <c r="C16" s="108">
        <f>(C15-B15)/B15</f>
        <v>2.9516664616898291E-3</v>
      </c>
      <c r="D16" s="108">
        <f t="shared" ref="D16" si="2">(D15-C15)/C15</f>
        <v>8.1667688534641319E-2</v>
      </c>
      <c r="E16" s="108" t="e">
        <f t="shared" ref="E16" si="3">(E15-D15)/D15</f>
        <v>#REF!</v>
      </c>
      <c r="F16" s="108" t="e">
        <f t="shared" ref="F16" si="4">(F15-E15)/E15</f>
        <v>#REF!</v>
      </c>
      <c r="G16" s="108" t="e">
        <f t="shared" ref="G16" si="5">(G15-F15)/F15</f>
        <v>#REF!</v>
      </c>
      <c r="H16" s="59"/>
      <c r="I16" s="39"/>
      <c r="J16" s="39"/>
    </row>
    <row r="17" spans="1:10" s="109" customFormat="1" ht="15" customHeight="1">
      <c r="A17" s="84" t="s">
        <v>419</v>
      </c>
      <c r="B17" s="98">
        <f>'Income Statement - As Reported'!B12</f>
        <v>3351</v>
      </c>
      <c r="C17" s="98">
        <f>'Income Statement - As Reported'!C12</f>
        <v>3312</v>
      </c>
      <c r="D17" s="98">
        <f>'Income Statement - As Reported'!D12</f>
        <v>3020</v>
      </c>
      <c r="E17" s="167" t="e">
        <f>E8*Assumptions!F18</f>
        <v>#REF!</v>
      </c>
      <c r="F17" s="167" t="e">
        <f>F8*Assumptions!G18</f>
        <v>#REF!</v>
      </c>
      <c r="G17" s="167" t="e">
        <f>G8*Assumptions!H18</f>
        <v>#REF!</v>
      </c>
      <c r="H17" s="39"/>
      <c r="I17" s="39"/>
      <c r="J17" s="39"/>
    </row>
    <row r="18" spans="1:10" s="109" customFormat="1" ht="15" customHeight="1">
      <c r="B18" s="107"/>
      <c r="C18" s="108">
        <f>(C17-B17)/B17</f>
        <v>-1.1638316920322292E-2</v>
      </c>
      <c r="D18" s="108">
        <f t="shared" ref="D18:G18" si="6">(D17-C17)/C17</f>
        <v>-8.8164251207729472E-2</v>
      </c>
      <c r="E18" s="108" t="e">
        <f t="shared" si="6"/>
        <v>#REF!</v>
      </c>
      <c r="F18" s="108" t="e">
        <f t="shared" si="6"/>
        <v>#REF!</v>
      </c>
      <c r="G18" s="108" t="e">
        <f t="shared" si="6"/>
        <v>#REF!</v>
      </c>
    </row>
    <row r="19" spans="1:10" ht="24.95" customHeight="1">
      <c r="A19" s="61" t="s">
        <v>236</v>
      </c>
      <c r="B19" s="21">
        <v>517</v>
      </c>
      <c r="C19" s="21">
        <v>481</v>
      </c>
      <c r="D19" s="21">
        <v>516</v>
      </c>
      <c r="E19" s="21">
        <f>-'Investment Forecasts'!I25</f>
        <v>532.91322424242423</v>
      </c>
      <c r="F19" s="21">
        <f>-'Investment Forecasts'!J25</f>
        <v>567.16448594102553</v>
      </c>
      <c r="G19" s="21">
        <f>-'Investment Forecasts'!K25</f>
        <v>602.35442086137414</v>
      </c>
    </row>
    <row r="20" spans="1:10" s="109" customFormat="1" ht="15" customHeight="1">
      <c r="A20" s="112" t="s">
        <v>139</v>
      </c>
      <c r="B20" s="107"/>
      <c r="C20" s="108">
        <v>-6.9632495164410058E-2</v>
      </c>
      <c r="D20" s="108">
        <v>7.2765072765072769E-2</v>
      </c>
      <c r="E20" s="108">
        <f>(E19-D19)/D19</f>
        <v>3.2777566361287279E-2</v>
      </c>
      <c r="F20" s="108">
        <f t="shared" ref="F20" si="7">(F19-E19)/E19</f>
        <v>6.4271742828847997E-2</v>
      </c>
      <c r="G20" s="108">
        <f t="shared" ref="G20" si="8">(G19-F19)/F19</f>
        <v>6.2045378003459301E-2</v>
      </c>
      <c r="H20" s="39"/>
      <c r="I20" s="39"/>
      <c r="J20" s="39"/>
    </row>
    <row r="21" spans="1:10" ht="24.95" customHeight="1">
      <c r="A21" s="74" t="s">
        <v>237</v>
      </c>
      <c r="B21" s="21">
        <v>148</v>
      </c>
      <c r="C21" s="21">
        <v>0</v>
      </c>
      <c r="D21" s="21">
        <v>106</v>
      </c>
      <c r="E21" s="21">
        <v>226.48952477898649</v>
      </c>
      <c r="F21" s="21">
        <f>AVERAGE(B21:E21)</f>
        <v>120.12238119474662</v>
      </c>
      <c r="G21" s="21">
        <f>F21</f>
        <v>120.12238119474662</v>
      </c>
      <c r="H21" s="109"/>
      <c r="I21" s="109"/>
      <c r="J21" s="109"/>
    </row>
    <row r="22" spans="1:10" s="109" customFormat="1" ht="15" customHeight="1">
      <c r="A22" s="112" t="s">
        <v>139</v>
      </c>
      <c r="B22" s="107"/>
      <c r="C22" s="107" t="s">
        <v>262</v>
      </c>
      <c r="D22" s="107" t="s">
        <v>262</v>
      </c>
      <c r="E22" s="113">
        <f>(E21-D21)/D21</f>
        <v>1.1366936299904387</v>
      </c>
      <c r="F22" s="113">
        <f t="shared" ref="F22" si="9">(F21-E21)/E21</f>
        <v>-0.46963383268182179</v>
      </c>
      <c r="G22" s="113">
        <f t="shared" ref="G22" si="10">(G21-F21)/F21</f>
        <v>0</v>
      </c>
      <c r="H22" s="39"/>
      <c r="I22" s="39"/>
      <c r="J22" s="39"/>
    </row>
    <row r="23" spans="1:10" ht="24.95" customHeight="1">
      <c r="A23" s="61"/>
      <c r="B23" s="21"/>
      <c r="C23" s="52"/>
      <c r="D23" s="52"/>
    </row>
    <row r="24" spans="1:10" ht="24.95" customHeight="1" thickBot="1">
      <c r="A24" s="82" t="s">
        <v>84</v>
      </c>
      <c r="B24" s="83">
        <f>B7-B13</f>
        <v>1852</v>
      </c>
      <c r="C24" s="83">
        <v>2385</v>
      </c>
      <c r="D24" s="83">
        <v>2116</v>
      </c>
      <c r="E24" s="83" t="e">
        <f>E7-E15-E17+E19-E21</f>
        <v>#REF!</v>
      </c>
      <c r="F24" s="83" t="e">
        <f t="shared" ref="F24" si="11">F7-F15-F17+F19-F21</f>
        <v>#REF!</v>
      </c>
      <c r="G24" s="83" t="e">
        <f>G7-G15-G17+G19-G21</f>
        <v>#REF!</v>
      </c>
    </row>
    <row r="25" spans="1:10" s="109" customFormat="1" ht="15" customHeight="1" thickTop="1">
      <c r="A25" s="114" t="s">
        <v>139</v>
      </c>
      <c r="B25" s="107"/>
      <c r="C25" s="108">
        <v>5.9235325794291865E-3</v>
      </c>
      <c r="D25" s="108">
        <v>0.14132762312633834</v>
      </c>
      <c r="E25" s="108" t="e">
        <f>(E24-D24)/D24</f>
        <v>#REF!</v>
      </c>
      <c r="F25" s="108" t="e">
        <f t="shared" ref="F25" si="12">(F24-E24)/E24</f>
        <v>#REF!</v>
      </c>
      <c r="G25" s="108" t="e">
        <f t="shared" ref="G25" si="13">(G24-F24)/F24</f>
        <v>#REF!</v>
      </c>
      <c r="H25" s="39"/>
      <c r="I25" s="39"/>
      <c r="J25" s="39"/>
    </row>
    <row r="26" spans="1:10" ht="24.95" customHeight="1">
      <c r="A26" s="61"/>
      <c r="B26" s="21"/>
      <c r="C26" s="52"/>
      <c r="D26" s="52"/>
    </row>
    <row r="27" spans="1:10" ht="24.95" customHeight="1" thickBot="1">
      <c r="A27" s="82" t="s">
        <v>106</v>
      </c>
      <c r="B27" s="83">
        <v>517</v>
      </c>
      <c r="C27" s="83">
        <v>481</v>
      </c>
      <c r="D27" s="83">
        <v>516</v>
      </c>
      <c r="E27" s="83">
        <f>E19</f>
        <v>532.91322424242423</v>
      </c>
      <c r="F27" s="83">
        <f t="shared" ref="F27:G27" si="14">F19</f>
        <v>567.16448594102553</v>
      </c>
      <c r="G27" s="83">
        <f t="shared" si="14"/>
        <v>602.35442086137414</v>
      </c>
      <c r="H27" s="109"/>
      <c r="I27" s="109"/>
      <c r="J27" s="109"/>
    </row>
    <row r="28" spans="1:10" s="109" customFormat="1" ht="15" customHeight="1" thickTop="1">
      <c r="A28" s="114" t="s">
        <v>139</v>
      </c>
      <c r="B28" s="107"/>
      <c r="C28" s="108">
        <v>-6.9632495164410058E-2</v>
      </c>
      <c r="D28" s="108">
        <v>7.2765072765072769E-2</v>
      </c>
      <c r="E28" s="108">
        <f>(E27-D27)/D27</f>
        <v>3.2777566361287279E-2</v>
      </c>
      <c r="F28" s="108">
        <f t="shared" ref="F28" si="15">(F27-E27)/E27</f>
        <v>6.4271742828847997E-2</v>
      </c>
      <c r="G28" s="108">
        <f t="shared" ref="G28" si="16">(G27-F27)/F27</f>
        <v>6.2045378003459301E-2</v>
      </c>
      <c r="H28" s="39"/>
      <c r="I28" s="39"/>
      <c r="J28" s="39"/>
    </row>
    <row r="29" spans="1:10" ht="24.95" customHeight="1">
      <c r="B29" s="83"/>
      <c r="C29" s="52"/>
      <c r="D29" s="52"/>
    </row>
    <row r="30" spans="1:10" ht="24.95" customHeight="1" thickBot="1">
      <c r="A30" s="82" t="s">
        <v>114</v>
      </c>
      <c r="B30" s="83">
        <f>B24-B27</f>
        <v>1335</v>
      </c>
      <c r="C30" s="83">
        <v>1904</v>
      </c>
      <c r="D30" s="83">
        <v>1600</v>
      </c>
      <c r="E30" s="83" t="e">
        <f>E24-E27</f>
        <v>#REF!</v>
      </c>
      <c r="F30" s="83" t="e">
        <f t="shared" ref="F30:G30" si="17">F24-F27</f>
        <v>#REF!</v>
      </c>
      <c r="G30" s="83" t="e">
        <f t="shared" si="17"/>
        <v>#REF!</v>
      </c>
      <c r="H30" s="100"/>
      <c r="I30" s="100"/>
      <c r="J30" s="100"/>
    </row>
    <row r="31" spans="1:10" s="109" customFormat="1" ht="15" customHeight="1" thickTop="1">
      <c r="A31" s="114" t="s">
        <v>139</v>
      </c>
      <c r="B31" s="107"/>
      <c r="C31" s="108">
        <v>3.5074626865671643E-2</v>
      </c>
      <c r="D31" s="108">
        <v>0.1651045421773612</v>
      </c>
      <c r="E31" s="108" t="e">
        <f>(E30-D30)/D30</f>
        <v>#REF!</v>
      </c>
      <c r="F31" s="108" t="e">
        <f t="shared" ref="F31" si="18">(F30-E30)/E30</f>
        <v>#REF!</v>
      </c>
      <c r="G31" s="108" t="e">
        <f t="shared" ref="G31" si="19">(G30-F30)/F30</f>
        <v>#REF!</v>
      </c>
      <c r="H31" s="115"/>
      <c r="I31" s="115"/>
      <c r="J31" s="115"/>
    </row>
    <row r="32" spans="1:10" ht="24.95" customHeight="1">
      <c r="A32" s="61"/>
      <c r="C32" s="52"/>
      <c r="D32" s="52"/>
    </row>
    <row r="33" spans="1:10" ht="24.95" customHeight="1" thickBot="1">
      <c r="A33" s="82" t="s">
        <v>92</v>
      </c>
      <c r="B33" s="83">
        <f>-'Income Statement - As Reported'!B18</f>
        <v>-406</v>
      </c>
      <c r="C33" s="83">
        <f>-'Income Statement - As Reported'!C18</f>
        <v>-256</v>
      </c>
      <c r="D33" s="83">
        <f>-'Income Statement - As Reported'!D18</f>
        <v>-287</v>
      </c>
      <c r="E33" s="83">
        <f>-'Financing Forecasts '!G30</f>
        <v>-276.61240428171294</v>
      </c>
      <c r="F33" s="83">
        <f>-'Financing Forecasts '!H30</f>
        <v>-275.099517164286</v>
      </c>
      <c r="G33" s="83">
        <f>-'Financing Forecasts '!I30</f>
        <v>-280.78206915661764</v>
      </c>
    </row>
    <row r="34" spans="1:10" s="109" customFormat="1" ht="15" customHeight="1" thickTop="1">
      <c r="A34" s="114" t="s">
        <v>139</v>
      </c>
      <c r="B34" s="107"/>
      <c r="C34" s="108">
        <v>-0.36945812807881773</v>
      </c>
      <c r="D34" s="108">
        <v>0.12109375</v>
      </c>
      <c r="E34" s="108">
        <f>(E33-D33)/D33</f>
        <v>-3.6193713304136094E-2</v>
      </c>
      <c r="F34" s="108">
        <f t="shared" ref="F34" si="20">(F33-E33)/E33</f>
        <v>-5.4693393861186294E-3</v>
      </c>
      <c r="G34" s="108">
        <f t="shared" ref="G34" si="21">(G33-F33)/F33</f>
        <v>2.0656350294275833E-2</v>
      </c>
    </row>
    <row r="35" spans="1:10" ht="24.95" customHeight="1">
      <c r="A35" s="61"/>
      <c r="C35" s="52"/>
      <c r="D35" s="52"/>
    </row>
    <row r="36" spans="1:10" ht="24.95" customHeight="1" thickBot="1">
      <c r="A36" s="82" t="s">
        <v>334</v>
      </c>
      <c r="B36" s="83">
        <v>5</v>
      </c>
      <c r="C36" s="83">
        <v>9</v>
      </c>
      <c r="D36" s="83">
        <v>16</v>
      </c>
      <c r="E36" s="83" t="e">
        <f>E119</f>
        <v>#REF!</v>
      </c>
      <c r="F36" s="83" t="e">
        <f t="shared" ref="F36:G36" si="22">F119</f>
        <v>#REF!</v>
      </c>
      <c r="G36" s="83" t="e">
        <f t="shared" si="22"/>
        <v>#REF!</v>
      </c>
    </row>
    <row r="37" spans="1:10" ht="15" customHeight="1" thickTop="1">
      <c r="A37" s="114" t="s">
        <v>139</v>
      </c>
      <c r="C37" s="108">
        <v>0.8</v>
      </c>
      <c r="D37" s="108">
        <v>0.77777777777777779</v>
      </c>
      <c r="E37" s="108" t="s">
        <v>461</v>
      </c>
      <c r="F37" s="108" t="s">
        <v>461</v>
      </c>
      <c r="G37" s="108" t="s">
        <v>461</v>
      </c>
    </row>
    <row r="38" spans="1:10" ht="24.95" customHeight="1">
      <c r="A38" s="61"/>
      <c r="C38" s="52"/>
      <c r="D38" s="52"/>
    </row>
    <row r="39" spans="1:10" ht="24.95" customHeight="1" thickBot="1">
      <c r="A39" s="82" t="s">
        <v>115</v>
      </c>
      <c r="B39" s="83">
        <f>B30+B33+B36</f>
        <v>934</v>
      </c>
      <c r="C39" s="83">
        <f t="shared" ref="C39:D39" si="23">C30+C33+C36</f>
        <v>1657</v>
      </c>
      <c r="D39" s="83">
        <f t="shared" si="23"/>
        <v>1329</v>
      </c>
      <c r="E39" s="83" t="e">
        <f>E30+E33+E36</f>
        <v>#REF!</v>
      </c>
      <c r="F39" s="83" t="e">
        <f t="shared" ref="F39:G39" si="24">F30+F33+F36</f>
        <v>#REF!</v>
      </c>
      <c r="G39" s="83" t="e">
        <f t="shared" si="24"/>
        <v>#REF!</v>
      </c>
      <c r="H39" s="109"/>
      <c r="I39" s="109"/>
      <c r="J39" s="109"/>
    </row>
    <row r="40" spans="1:10" s="109" customFormat="1" ht="15" customHeight="1" thickTop="1">
      <c r="A40" s="114" t="s">
        <v>139</v>
      </c>
      <c r="B40" s="107"/>
      <c r="C40" s="108">
        <v>0.21092077087794434</v>
      </c>
      <c r="D40" s="108">
        <v>0.17506631299734748</v>
      </c>
      <c r="E40" s="108" t="e">
        <f>(E39-D39)/D39</f>
        <v>#REF!</v>
      </c>
      <c r="F40" s="108" t="e">
        <f t="shared" ref="F40" si="25">(F39-E39)/E39</f>
        <v>#REF!</v>
      </c>
      <c r="G40" s="108" t="e">
        <f t="shared" ref="G40" si="26">(G39-F39)/F39</f>
        <v>#REF!</v>
      </c>
      <c r="H40" s="39"/>
      <c r="I40" s="39"/>
      <c r="J40" s="39"/>
    </row>
    <row r="41" spans="1:10" ht="24.95" customHeight="1">
      <c r="A41" s="61"/>
      <c r="C41" s="52"/>
      <c r="D41" s="52"/>
    </row>
    <row r="42" spans="1:10" ht="24.95" customHeight="1" thickBot="1">
      <c r="A42" s="82" t="s">
        <v>235</v>
      </c>
      <c r="B42" s="83">
        <v>235</v>
      </c>
      <c r="C42" s="83">
        <v>410</v>
      </c>
      <c r="D42" s="83">
        <v>181</v>
      </c>
      <c r="E42" s="83" t="e">
        <f>E39*E43</f>
        <v>#REF!</v>
      </c>
      <c r="F42" s="83" t="e">
        <f t="shared" ref="F42:G42" si="27">F39*F43</f>
        <v>#REF!</v>
      </c>
      <c r="G42" s="83" t="e">
        <f t="shared" si="27"/>
        <v>#REF!</v>
      </c>
    </row>
    <row r="43" spans="1:10" s="100" customFormat="1" ht="24.95" customHeight="1" thickTop="1">
      <c r="A43" s="74" t="s">
        <v>263</v>
      </c>
      <c r="B43" s="143">
        <f>B42/B39</f>
        <v>0.25160599571734477</v>
      </c>
      <c r="C43" s="143">
        <f t="shared" ref="C43:D43" si="28">C42/C39</f>
        <v>0.24743512371756185</v>
      </c>
      <c r="D43" s="143">
        <f t="shared" si="28"/>
        <v>0.13619262603461249</v>
      </c>
      <c r="E43" s="143">
        <v>0.21</v>
      </c>
      <c r="F43" s="143">
        <v>0.21</v>
      </c>
      <c r="G43" s="143">
        <v>0.21</v>
      </c>
      <c r="H43" s="39"/>
      <c r="I43" s="39"/>
      <c r="J43" s="39"/>
    </row>
    <row r="44" spans="1:10" s="115" customFormat="1" ht="15" customHeight="1">
      <c r="A44" s="114" t="s">
        <v>139</v>
      </c>
      <c r="D44" s="113">
        <v>-0.6243076584264714</v>
      </c>
      <c r="E44" s="113">
        <f>(E43-D43)/D43</f>
        <v>0.54193370165745847</v>
      </c>
      <c r="F44" s="113">
        <f t="shared" ref="F44" si="29">(F43-E43)/E43</f>
        <v>0</v>
      </c>
      <c r="G44" s="113">
        <f t="shared" ref="G44" si="30">(G43-F43)/F43</f>
        <v>0</v>
      </c>
      <c r="H44" s="39"/>
      <c r="I44" s="39"/>
      <c r="J44" s="39"/>
    </row>
    <row r="45" spans="1:10" ht="24.95" customHeight="1">
      <c r="A45" s="39"/>
      <c r="B45" s="39"/>
      <c r="C45" s="39"/>
      <c r="D45" s="39"/>
    </row>
    <row r="46" spans="1:10" ht="24.95" customHeight="1" thickBot="1">
      <c r="A46" s="82" t="s">
        <v>238</v>
      </c>
      <c r="B46" s="98">
        <v>0</v>
      </c>
      <c r="C46" s="98">
        <v>7</v>
      </c>
      <c r="D46" s="98">
        <v>188</v>
      </c>
      <c r="E46" s="21">
        <v>0</v>
      </c>
      <c r="F46" s="21">
        <v>0</v>
      </c>
      <c r="G46" s="21">
        <v>0</v>
      </c>
    </row>
    <row r="47" spans="1:10" s="109" customFormat="1" ht="15" customHeight="1" thickTop="1">
      <c r="A47" s="114" t="s">
        <v>139</v>
      </c>
      <c r="C47" s="116" t="s">
        <v>262</v>
      </c>
      <c r="D47" s="116" t="s">
        <v>262</v>
      </c>
      <c r="E47" s="116" t="s">
        <v>262</v>
      </c>
      <c r="F47" s="116" t="s">
        <v>262</v>
      </c>
      <c r="G47" s="116" t="s">
        <v>262</v>
      </c>
      <c r="H47" s="39"/>
      <c r="I47" s="39"/>
      <c r="J47" s="39"/>
    </row>
    <row r="48" spans="1:10" ht="24.95" customHeight="1">
      <c r="A48" s="73" t="s">
        <v>122</v>
      </c>
      <c r="B48" s="98">
        <v>1</v>
      </c>
      <c r="C48" s="98">
        <v>7</v>
      </c>
      <c r="D48" s="98">
        <v>196</v>
      </c>
      <c r="E48" s="21">
        <v>0</v>
      </c>
      <c r="F48" s="21">
        <v>0</v>
      </c>
      <c r="G48" s="21">
        <v>0</v>
      </c>
    </row>
    <row r="49" spans="1:10" ht="24.95" customHeight="1">
      <c r="A49" s="74" t="s">
        <v>120</v>
      </c>
      <c r="B49" s="98">
        <v>1</v>
      </c>
      <c r="C49" s="98">
        <v>0</v>
      </c>
      <c r="D49" s="98">
        <v>8</v>
      </c>
      <c r="E49" s="21">
        <v>0</v>
      </c>
      <c r="F49" s="21">
        <v>0</v>
      </c>
      <c r="G49" s="21">
        <v>0</v>
      </c>
    </row>
    <row r="50" spans="1:10" ht="24.95" customHeight="1">
      <c r="A50" s="61"/>
      <c r="B50" s="21"/>
      <c r="C50" s="52"/>
      <c r="D50" s="52"/>
    </row>
    <row r="51" spans="1:10" ht="24.95" customHeight="1" thickBot="1">
      <c r="A51" s="82" t="s">
        <v>239</v>
      </c>
      <c r="B51" s="83">
        <f>B39-B42-B49+B48</f>
        <v>699</v>
      </c>
      <c r="C51" s="83">
        <v>1245</v>
      </c>
      <c r="D51" s="83">
        <v>1132</v>
      </c>
      <c r="E51" s="83" t="e">
        <f>E39-E42</f>
        <v>#REF!</v>
      </c>
      <c r="F51" s="83" t="e">
        <f t="shared" ref="F51:G51" si="31">F39-F42</f>
        <v>#REF!</v>
      </c>
      <c r="G51" s="83" t="e">
        <f t="shared" si="31"/>
        <v>#REF!</v>
      </c>
    </row>
    <row r="52" spans="1:10" s="109" customFormat="1" ht="15" customHeight="1" thickTop="1">
      <c r="A52" s="114" t="s">
        <v>139</v>
      </c>
      <c r="B52" s="107"/>
      <c r="C52" s="108">
        <v>4.1487839771101577E-2</v>
      </c>
      <c r="D52" s="108">
        <v>0.8351648351648352</v>
      </c>
      <c r="E52" s="108" t="e">
        <f>(E51-D51)/D51</f>
        <v>#REF!</v>
      </c>
      <c r="F52" s="108" t="e">
        <f t="shared" ref="F52" si="32">(F51-E51)/E51</f>
        <v>#REF!</v>
      </c>
      <c r="G52" s="108" t="e">
        <f t="shared" ref="G52" si="33">(G51-F51)/F51</f>
        <v>#REF!</v>
      </c>
      <c r="H52" s="39"/>
      <c r="I52" s="39"/>
      <c r="J52" s="39"/>
    </row>
    <row r="53" spans="1:10" ht="24.95" customHeight="1">
      <c r="A53" s="61"/>
      <c r="C53" s="52"/>
      <c r="D53" s="52"/>
    </row>
    <row r="54" spans="1:10" ht="24.95" customHeight="1">
      <c r="A54" s="118" t="s">
        <v>160</v>
      </c>
      <c r="B54" s="117" t="s">
        <v>86</v>
      </c>
      <c r="C54" s="117" t="s">
        <v>87</v>
      </c>
      <c r="D54" s="117" t="s">
        <v>88</v>
      </c>
      <c r="E54" s="117" t="s">
        <v>117</v>
      </c>
      <c r="F54" s="117" t="s">
        <v>118</v>
      </c>
      <c r="G54" s="117" t="s">
        <v>119</v>
      </c>
    </row>
    <row r="55" spans="1:10" ht="24.95" customHeight="1">
      <c r="E55" s="61"/>
    </row>
    <row r="56" spans="1:10" ht="24.95" customHeight="1">
      <c r="A56" s="34" t="s">
        <v>282</v>
      </c>
      <c r="E56" s="61"/>
      <c r="F56" s="60"/>
      <c r="G56" s="60"/>
    </row>
    <row r="57" spans="1:10" ht="24.95" customHeight="1">
      <c r="E57" s="61"/>
      <c r="F57" s="60"/>
      <c r="G57" s="60"/>
    </row>
    <row r="58" spans="1:10" ht="24.95" customHeight="1">
      <c r="A58" s="12" t="s">
        <v>49</v>
      </c>
      <c r="E58" s="177"/>
      <c r="F58" s="177"/>
      <c r="G58" s="177"/>
    </row>
    <row r="59" spans="1:10" ht="24.95" customHeight="1">
      <c r="A59" s="12"/>
      <c r="E59" s="83"/>
      <c r="F59" s="83"/>
      <c r="G59" s="83"/>
    </row>
    <row r="60" spans="1:10" ht="24.95" customHeight="1">
      <c r="A60" s="102" t="s">
        <v>50</v>
      </c>
      <c r="B60" s="21">
        <v>3569</v>
      </c>
      <c r="C60" s="21">
        <v>3716</v>
      </c>
      <c r="D60" s="21">
        <v>3731</v>
      </c>
      <c r="E60" s="21">
        <f>'Investment Forecasts'!I11</f>
        <v>3756.223175757576</v>
      </c>
      <c r="F60" s="21">
        <f>'Investment Forecasts'!J11</f>
        <v>3795.4651875689938</v>
      </c>
      <c r="G60" s="21">
        <f>'Investment Forecasts'!K11</f>
        <v>3817.4133179456339</v>
      </c>
      <c r="H60" s="34"/>
      <c r="I60" s="60"/>
      <c r="J60" s="60"/>
    </row>
    <row r="61" spans="1:10" ht="24.95" customHeight="1">
      <c r="A61" s="102" t="s">
        <v>51</v>
      </c>
      <c r="B61" s="21">
        <v>7535</v>
      </c>
      <c r="C61" s="21">
        <v>8143</v>
      </c>
      <c r="D61" s="21">
        <v>9411</v>
      </c>
      <c r="E61" s="21">
        <v>9485.8259788186078</v>
      </c>
      <c r="F61" s="21">
        <v>9574.445599053357</v>
      </c>
      <c r="G61" s="21">
        <v>9684.1979390627221</v>
      </c>
    </row>
    <row r="62" spans="1:10" ht="24.95" customHeight="1">
      <c r="A62" s="12" t="s">
        <v>52</v>
      </c>
      <c r="B62" s="83">
        <v>11104</v>
      </c>
      <c r="C62" s="83">
        <v>11859</v>
      </c>
      <c r="D62" s="83">
        <v>13142</v>
      </c>
      <c r="E62" s="83">
        <f>SUM(E60:E61)</f>
        <v>13242.049154576183</v>
      </c>
      <c r="F62" s="83">
        <f t="shared" ref="F62:G62" si="34">SUM(F60:F61)</f>
        <v>13369.910786622351</v>
      </c>
      <c r="G62" s="83">
        <f t="shared" si="34"/>
        <v>13501.611257008357</v>
      </c>
    </row>
    <row r="63" spans="1:10" ht="24.95" customHeight="1">
      <c r="A63" s="12"/>
      <c r="B63" s="21"/>
      <c r="C63" s="21"/>
      <c r="D63" s="21"/>
      <c r="E63" s="83"/>
      <c r="F63" s="21"/>
      <c r="G63" s="21"/>
    </row>
    <row r="64" spans="1:10" ht="24.95" customHeight="1">
      <c r="A64" s="12" t="s">
        <v>48</v>
      </c>
      <c r="B64" s="21"/>
      <c r="C64" s="21"/>
      <c r="D64" s="21"/>
      <c r="E64" s="21"/>
      <c r="F64" s="21"/>
      <c r="G64" s="21"/>
    </row>
    <row r="65" spans="1:11" ht="24.95" customHeight="1">
      <c r="A65" s="12"/>
      <c r="B65" s="21"/>
      <c r="C65" s="21"/>
      <c r="D65" s="21"/>
      <c r="E65" s="21"/>
      <c r="F65" s="21"/>
      <c r="G65" s="21"/>
    </row>
    <row r="66" spans="1:11" ht="24.95" customHeight="1">
      <c r="A66" s="103" t="s">
        <v>73</v>
      </c>
      <c r="B66" s="21">
        <v>1106</v>
      </c>
      <c r="C66" s="21">
        <v>1250</v>
      </c>
      <c r="D66" s="21">
        <v>1163</v>
      </c>
      <c r="E66" s="21">
        <f>'Investment Forecasts'!I31</f>
        <v>1323.2761251521197</v>
      </c>
      <c r="F66" s="21">
        <f>'Investment Forecasts'!J31</f>
        <v>1356.5131458023959</v>
      </c>
      <c r="G66" s="21">
        <f>'Investment Forecasts'!K31</f>
        <v>1396.7171110844376</v>
      </c>
    </row>
    <row r="67" spans="1:11" ht="24.95" customHeight="1">
      <c r="A67" s="103" t="s">
        <v>74</v>
      </c>
      <c r="B67" s="21">
        <v>-2061</v>
      </c>
      <c r="C67" s="21">
        <v>-2269</v>
      </c>
      <c r="D67" s="21">
        <v>-2427</v>
      </c>
      <c r="E67" s="21">
        <f>-'Investment Forecasts'!I32</f>
        <v>-2258.7353099889538</v>
      </c>
      <c r="F67" s="21">
        <f>-'Investment Forecasts'!J32</f>
        <v>-2315.4684669730868</v>
      </c>
      <c r="G67" s="21">
        <f>-'Investment Forecasts'!K32</f>
        <v>-2384.0936875586085</v>
      </c>
    </row>
    <row r="68" spans="1:11" ht="24.95" customHeight="1">
      <c r="A68" s="103" t="s">
        <v>72</v>
      </c>
      <c r="B68" s="21">
        <v>-754</v>
      </c>
      <c r="C68" s="21">
        <v>0</v>
      </c>
      <c r="D68" s="21">
        <v>0</v>
      </c>
      <c r="E68" s="21">
        <v>0</v>
      </c>
      <c r="F68" s="21">
        <v>0</v>
      </c>
      <c r="G68" s="21">
        <v>0</v>
      </c>
    </row>
    <row r="69" spans="1:11" ht="24.95" customHeight="1">
      <c r="A69" s="103" t="s">
        <v>53</v>
      </c>
      <c r="B69" s="21">
        <v>1238</v>
      </c>
      <c r="C69" s="21">
        <v>1217</v>
      </c>
      <c r="D69" s="21">
        <v>1330</v>
      </c>
      <c r="E69" s="21">
        <f>'Investment Forecasts'!I33</f>
        <v>1341.1239521447203</v>
      </c>
      <c r="F69" s="21">
        <f>'Investment Forecasts'!J33</f>
        <v>1374.8092606338234</v>
      </c>
      <c r="G69" s="21">
        <f>'Investment Forecasts'!K33</f>
        <v>1415.5554811588424</v>
      </c>
    </row>
    <row r="70" spans="1:11" ht="24.95" customHeight="1">
      <c r="A70" s="103" t="s">
        <v>54</v>
      </c>
      <c r="B70" s="21">
        <v>-355</v>
      </c>
      <c r="C70" s="21">
        <v>-110</v>
      </c>
      <c r="D70" s="21">
        <v>-484</v>
      </c>
      <c r="E70" s="21">
        <f>AVERAGE(B70:D70)</f>
        <v>-316.33333333333331</v>
      </c>
      <c r="F70" s="21">
        <f t="shared" ref="F70:G70" si="35">AVERAGE(C70:E70)</f>
        <v>-303.4444444444444</v>
      </c>
      <c r="G70" s="21">
        <f t="shared" si="35"/>
        <v>-367.92592592592587</v>
      </c>
    </row>
    <row r="71" spans="1:11" ht="24.95" customHeight="1">
      <c r="A71" s="103" t="s">
        <v>79</v>
      </c>
      <c r="B71" s="21">
        <v>-8</v>
      </c>
      <c r="C71" s="21">
        <v>-10</v>
      </c>
      <c r="D71" s="21">
        <v>-10</v>
      </c>
      <c r="E71" s="21">
        <f>'Investment Forecasts'!I40</f>
        <v>0</v>
      </c>
      <c r="F71" s="21">
        <f>'Investment Forecasts'!J40</f>
        <v>0</v>
      </c>
      <c r="G71" s="21">
        <f>'Investment Forecasts'!K40</f>
        <v>0</v>
      </c>
    </row>
    <row r="72" spans="1:11" ht="24.95" customHeight="1">
      <c r="A72" s="103" t="s">
        <v>55</v>
      </c>
      <c r="B72" s="21">
        <v>-288</v>
      </c>
      <c r="C72" s="21">
        <v>-1171</v>
      </c>
      <c r="D72" s="21">
        <v>-1056</v>
      </c>
      <c r="E72" s="21">
        <f>AVERAGE(B72:D72)</f>
        <v>-838.33333333333337</v>
      </c>
      <c r="F72" s="21">
        <f>AVERAGE(C72:E72)</f>
        <v>-1021.7777777777778</v>
      </c>
      <c r="G72" s="21">
        <f t="shared" ref="G72" si="36">AVERAGE(D72:F72)</f>
        <v>-972.03703703703707</v>
      </c>
    </row>
    <row r="73" spans="1:11" ht="24.95" customHeight="1">
      <c r="A73" s="12" t="s">
        <v>56</v>
      </c>
      <c r="B73" s="83">
        <v>-1122</v>
      </c>
      <c r="C73" s="83">
        <v>-1093</v>
      </c>
      <c r="D73" s="83">
        <v>-1484</v>
      </c>
      <c r="E73" s="83">
        <f>SUM(E66:E72)</f>
        <v>-749.00189935878052</v>
      </c>
      <c r="F73" s="83">
        <f>SUM(F66:F72)</f>
        <v>-909.36828275908965</v>
      </c>
      <c r="G73" s="83">
        <f t="shared" ref="G73" si="37">SUM(G66:G72)</f>
        <v>-911.78405827829135</v>
      </c>
      <c r="K73" s="60"/>
    </row>
    <row r="74" spans="1:11" s="86" customFormat="1" ht="24.95" customHeight="1">
      <c r="B74" s="105"/>
      <c r="C74" s="105"/>
      <c r="D74" s="105"/>
      <c r="E74" s="105"/>
      <c r="F74" s="105"/>
      <c r="G74" s="105"/>
      <c r="H74" s="39"/>
      <c r="I74" s="39"/>
      <c r="J74" s="39"/>
    </row>
    <row r="75" spans="1:11" ht="24.95" customHeight="1">
      <c r="A75" s="12" t="s">
        <v>57</v>
      </c>
      <c r="B75" s="83">
        <v>9982</v>
      </c>
      <c r="C75" s="83">
        <v>10766</v>
      </c>
      <c r="D75" s="83">
        <v>11658</v>
      </c>
      <c r="E75" s="83">
        <f>SUM(E62,E73)</f>
        <v>12493.047255217403</v>
      </c>
      <c r="F75" s="83">
        <f>SUM(F62,F73)</f>
        <v>12460.542503863262</v>
      </c>
      <c r="G75" s="83">
        <f>SUM(G62,G73)</f>
        <v>12589.827198730065</v>
      </c>
    </row>
    <row r="76" spans="1:11" ht="24.95" customHeight="1">
      <c r="B76" s="21"/>
      <c r="C76" s="21"/>
      <c r="D76" s="21"/>
      <c r="E76" s="21"/>
      <c r="F76" s="21"/>
      <c r="G76" s="21"/>
    </row>
    <row r="77" spans="1:11" ht="24.95" customHeight="1">
      <c r="A77" s="12" t="s">
        <v>60</v>
      </c>
      <c r="B77" s="21"/>
      <c r="C77" s="21"/>
      <c r="D77" s="21"/>
      <c r="E77" s="21"/>
      <c r="F77" s="21"/>
      <c r="G77" s="21"/>
    </row>
    <row r="78" spans="1:11" ht="24.95" customHeight="1">
      <c r="A78" s="12"/>
      <c r="B78" s="21"/>
      <c r="C78" s="21"/>
      <c r="D78" s="21"/>
      <c r="E78" s="21"/>
      <c r="F78" s="21"/>
      <c r="G78" s="21"/>
    </row>
    <row r="79" spans="1:11" ht="24.95" customHeight="1">
      <c r="A79" s="103" t="s">
        <v>78</v>
      </c>
      <c r="B79" s="21">
        <v>438</v>
      </c>
      <c r="C79" s="21">
        <v>429</v>
      </c>
      <c r="D79" s="21">
        <v>413</v>
      </c>
      <c r="E79" s="21">
        <v>0</v>
      </c>
      <c r="F79" s="21">
        <v>0</v>
      </c>
      <c r="G79" s="21">
        <v>0</v>
      </c>
    </row>
    <row r="80" spans="1:11" ht="24.95" customHeight="1">
      <c r="A80" s="103" t="s">
        <v>58</v>
      </c>
      <c r="B80" s="21">
        <v>458</v>
      </c>
      <c r="C80" s="21">
        <v>782</v>
      </c>
      <c r="D80" s="21">
        <v>822</v>
      </c>
      <c r="E80" s="21">
        <f>AVERAGE(B80:D80)</f>
        <v>687.33333333333337</v>
      </c>
      <c r="F80" s="21">
        <f t="shared" ref="F80:G80" si="38">AVERAGE(C80:E80)</f>
        <v>763.77777777777783</v>
      </c>
      <c r="G80" s="21">
        <f t="shared" si="38"/>
        <v>757.70370370370381</v>
      </c>
    </row>
    <row r="81" spans="1:10" ht="24.95" customHeight="1">
      <c r="A81" s="103" t="s">
        <v>59</v>
      </c>
      <c r="B81" s="21">
        <v>-1423</v>
      </c>
      <c r="C81" s="21">
        <v>-1390</v>
      </c>
      <c r="D81" s="21">
        <v>-1133</v>
      </c>
      <c r="E81" s="21">
        <f>AVERAGE(B81:D81)</f>
        <v>-1315.3333333333333</v>
      </c>
      <c r="F81" s="21">
        <f t="shared" ref="F81:G81" si="39">AVERAGE(C81:E81)</f>
        <v>-1279.4444444444443</v>
      </c>
      <c r="G81" s="21">
        <f t="shared" si="39"/>
        <v>-1242.5925925925924</v>
      </c>
      <c r="H81" s="59"/>
      <c r="I81" s="59"/>
      <c r="J81" s="59"/>
    </row>
    <row r="82" spans="1:10" ht="24.95" customHeight="1">
      <c r="A82" s="12" t="s">
        <v>77</v>
      </c>
      <c r="B82" s="83">
        <v>-527</v>
      </c>
      <c r="C82" s="83">
        <v>-179</v>
      </c>
      <c r="D82" s="83">
        <v>102</v>
      </c>
      <c r="E82" s="83">
        <f>SUM(E79:E81)</f>
        <v>-627.99999999999989</v>
      </c>
      <c r="F82" s="83">
        <f t="shared" ref="F82:G82" si="40">SUM(F79:F81)</f>
        <v>-515.66666666666652</v>
      </c>
      <c r="G82" s="83">
        <f t="shared" si="40"/>
        <v>-484.88888888888857</v>
      </c>
    </row>
    <row r="83" spans="1:10" ht="24.95" customHeight="1">
      <c r="A83" s="12"/>
      <c r="B83" s="21"/>
      <c r="C83" s="21"/>
      <c r="D83" s="21"/>
      <c r="E83" s="21"/>
      <c r="F83" s="21"/>
      <c r="G83" s="21"/>
    </row>
    <row r="84" spans="1:10" ht="24.95" customHeight="1">
      <c r="A84" s="12" t="s">
        <v>61</v>
      </c>
      <c r="B84" s="83">
        <v>9455</v>
      </c>
      <c r="C84" s="83">
        <v>10587</v>
      </c>
      <c r="D84" s="83">
        <v>11760</v>
      </c>
      <c r="E84" s="83">
        <f>SUM(E75,E82)</f>
        <v>11865.047255217403</v>
      </c>
      <c r="F84" s="83">
        <f t="shared" ref="F84:G84" si="41">SUM(F75,F82)</f>
        <v>11944.875837196596</v>
      </c>
      <c r="G84" s="83">
        <f t="shared" si="41"/>
        <v>12104.938309841176</v>
      </c>
    </row>
    <row r="85" spans="1:10" ht="24.95" customHeight="1">
      <c r="A85" s="12"/>
      <c r="B85" s="21"/>
      <c r="C85" s="21"/>
      <c r="D85" s="21"/>
      <c r="E85" s="21"/>
      <c r="F85" s="21"/>
      <c r="G85" s="21"/>
    </row>
    <row r="86" spans="1:10" ht="24.95" customHeight="1">
      <c r="A86" s="12" t="s">
        <v>62</v>
      </c>
      <c r="B86" s="21"/>
      <c r="C86" s="21"/>
      <c r="D86" s="21"/>
      <c r="E86" s="21"/>
      <c r="F86" s="21"/>
      <c r="G86" s="21"/>
    </row>
    <row r="87" spans="1:10" ht="24.95" customHeight="1">
      <c r="A87" s="12"/>
      <c r="B87" s="21"/>
      <c r="C87" s="21"/>
      <c r="D87" s="21"/>
      <c r="E87" s="21"/>
      <c r="F87" s="21"/>
      <c r="G87" s="21"/>
    </row>
    <row r="88" spans="1:10" ht="24.95" customHeight="1">
      <c r="A88" s="103" t="s">
        <v>63</v>
      </c>
      <c r="B88" s="21">
        <v>1069</v>
      </c>
      <c r="C88" s="21">
        <v>779</v>
      </c>
      <c r="D88" s="21">
        <v>686</v>
      </c>
      <c r="E88" s="21">
        <f>'Financing Forecasts '!G26</f>
        <v>900.90181574020687</v>
      </c>
      <c r="F88" s="21">
        <f>'Financing Forecasts '!H26</f>
        <v>923.52996695104071</v>
      </c>
      <c r="G88" s="21">
        <f>'Financing Forecasts '!I26</f>
        <v>950.90129530352965</v>
      </c>
      <c r="H88" s="59"/>
    </row>
    <row r="89" spans="1:10" ht="24.95" customHeight="1">
      <c r="A89" s="103" t="s">
        <v>64</v>
      </c>
      <c r="B89" s="21">
        <v>6698</v>
      </c>
      <c r="C89" s="21">
        <v>7836</v>
      </c>
      <c r="D89" s="21">
        <v>8207</v>
      </c>
      <c r="E89" s="21">
        <f>'Financing Forecasts '!G28</f>
        <v>7580.333333333333</v>
      </c>
      <c r="F89" s="21">
        <f>'Financing Forecasts '!H28</f>
        <v>7874.4444444444443</v>
      </c>
      <c r="G89" s="21">
        <f>'Financing Forecasts '!I28</f>
        <v>7887.2592592592591</v>
      </c>
    </row>
    <row r="90" spans="1:10" ht="24.95" customHeight="1">
      <c r="A90" s="103" t="s">
        <v>75</v>
      </c>
      <c r="B90" s="21">
        <v>-22</v>
      </c>
      <c r="C90" s="21">
        <v>5</v>
      </c>
      <c r="D90" s="21">
        <v>7</v>
      </c>
      <c r="E90" s="21">
        <v>0</v>
      </c>
      <c r="F90" s="21">
        <v>0</v>
      </c>
      <c r="G90" s="21">
        <v>0</v>
      </c>
    </row>
    <row r="91" spans="1:10" ht="24.95" customHeight="1">
      <c r="A91" s="103" t="s">
        <v>76</v>
      </c>
      <c r="B91" s="21">
        <v>64</v>
      </c>
      <c r="C91" s="21">
        <v>54</v>
      </c>
      <c r="D91" s="21">
        <v>22</v>
      </c>
      <c r="E91" s="21">
        <v>0</v>
      </c>
      <c r="F91" s="21">
        <v>0</v>
      </c>
      <c r="G91" s="21">
        <v>0</v>
      </c>
      <c r="I91" s="59"/>
    </row>
    <row r="92" spans="1:10" ht="24.95" customHeight="1">
      <c r="A92" s="104" t="s">
        <v>68</v>
      </c>
      <c r="B92" s="83">
        <v>7809</v>
      </c>
      <c r="C92" s="83">
        <v>8674</v>
      </c>
      <c r="D92" s="83">
        <v>8922</v>
      </c>
      <c r="E92" s="83">
        <f>SUM(E88:E91)</f>
        <v>8481.23514907354</v>
      </c>
      <c r="F92" s="83">
        <f>SUM(F88:F91)</f>
        <v>8797.9744113954857</v>
      </c>
      <c r="G92" s="83">
        <f>SUM(G88:G91)</f>
        <v>8838.1605545627881</v>
      </c>
    </row>
    <row r="93" spans="1:10" ht="24.95" customHeight="1">
      <c r="A93" s="103" t="s">
        <v>65</v>
      </c>
      <c r="B93" s="21">
        <v>-280</v>
      </c>
      <c r="C93" s="21">
        <v>-281</v>
      </c>
      <c r="D93" s="21">
        <v>-321</v>
      </c>
      <c r="E93" s="21" t="e">
        <f>-E139</f>
        <v>#REF!</v>
      </c>
      <c r="F93" s="21" t="e">
        <f t="shared" ref="F93:G93" si="42">-F139</f>
        <v>#REF!</v>
      </c>
      <c r="G93" s="21" t="e">
        <f t="shared" si="42"/>
        <v>#REF!</v>
      </c>
    </row>
    <row r="94" spans="1:10" ht="24.95" customHeight="1">
      <c r="A94" s="104" t="s">
        <v>69</v>
      </c>
      <c r="B94" s="83">
        <v>7529</v>
      </c>
      <c r="C94" s="83">
        <v>8393</v>
      </c>
      <c r="D94" s="83">
        <v>8601</v>
      </c>
      <c r="E94" s="83" t="e">
        <f>E92+E93</f>
        <v>#REF!</v>
      </c>
      <c r="F94" s="83" t="e">
        <f t="shared" ref="F94:G94" si="43">F92+F93</f>
        <v>#REF!</v>
      </c>
      <c r="G94" s="83" t="e">
        <f t="shared" si="43"/>
        <v>#REF!</v>
      </c>
    </row>
    <row r="95" spans="1:10" ht="24.95" customHeight="1">
      <c r="B95" s="21"/>
      <c r="C95" s="21"/>
      <c r="D95" s="21"/>
      <c r="E95" s="21"/>
      <c r="F95" s="21"/>
      <c r="G95" s="21"/>
    </row>
    <row r="96" spans="1:10" ht="24.95" customHeight="1">
      <c r="A96" s="104" t="s">
        <v>70</v>
      </c>
      <c r="B96" s="21"/>
      <c r="C96" s="21"/>
      <c r="D96" s="21"/>
      <c r="E96" s="21" t="e">
        <f>E102-E84</f>
        <v>#REF!</v>
      </c>
      <c r="F96" s="21" t="e">
        <f t="shared" ref="F96:G96" si="44">F102-F84</f>
        <v>#REF!</v>
      </c>
      <c r="G96" s="21" t="e">
        <f t="shared" si="44"/>
        <v>#REF!</v>
      </c>
    </row>
    <row r="97" spans="1:8" ht="24.95" customHeight="1">
      <c r="A97" s="104"/>
      <c r="B97" s="21"/>
      <c r="C97" s="21"/>
      <c r="D97" s="21"/>
      <c r="E97" s="21"/>
      <c r="F97" s="21"/>
      <c r="G97" s="21"/>
    </row>
    <row r="98" spans="1:8" ht="24.95" customHeight="1">
      <c r="A98" s="103" t="s">
        <v>66</v>
      </c>
      <c r="B98" s="21">
        <v>1910</v>
      </c>
      <c r="C98" s="21">
        <v>2178</v>
      </c>
      <c r="D98" s="21">
        <v>2601</v>
      </c>
      <c r="E98" s="21">
        <f>AVERAGE(B98:D98)</f>
        <v>2229.6666666666665</v>
      </c>
      <c r="F98" s="21">
        <f t="shared" ref="F98:G98" si="45">AVERAGE(C98:E98)</f>
        <v>2336.2222222222222</v>
      </c>
      <c r="G98" s="21">
        <f t="shared" si="45"/>
        <v>2388.962962962963</v>
      </c>
    </row>
    <row r="99" spans="1:8" ht="24.95" customHeight="1">
      <c r="A99" s="103" t="s">
        <v>67</v>
      </c>
      <c r="B99" s="21">
        <v>16</v>
      </c>
      <c r="C99" s="21">
        <v>16</v>
      </c>
      <c r="D99" s="21">
        <v>558</v>
      </c>
      <c r="E99" s="21">
        <v>558</v>
      </c>
      <c r="F99" s="21">
        <v>558</v>
      </c>
      <c r="G99" s="21">
        <v>558</v>
      </c>
    </row>
    <row r="100" spans="1:8" ht="24.95" customHeight="1">
      <c r="A100" s="104" t="s">
        <v>71</v>
      </c>
      <c r="B100" s="83">
        <v>1926</v>
      </c>
      <c r="C100" s="83">
        <v>2194</v>
      </c>
      <c r="D100" s="83">
        <v>3159</v>
      </c>
      <c r="E100" s="83">
        <f>SUM(E98:E99)</f>
        <v>2787.6666666666665</v>
      </c>
      <c r="F100" s="83">
        <f t="shared" ref="F100:G100" si="46">SUM(F98:F99)</f>
        <v>2894.2222222222222</v>
      </c>
      <c r="G100" s="83">
        <f t="shared" si="46"/>
        <v>2946.962962962963</v>
      </c>
    </row>
    <row r="101" spans="1:8" ht="24.95" customHeight="1">
      <c r="A101" s="104"/>
      <c r="B101" s="21"/>
      <c r="C101" s="21"/>
      <c r="D101" s="21"/>
      <c r="E101" s="21"/>
      <c r="F101" s="21"/>
      <c r="G101" s="21"/>
    </row>
    <row r="102" spans="1:8" ht="24.95" customHeight="1">
      <c r="A102" s="99" t="s">
        <v>61</v>
      </c>
      <c r="B102" s="83">
        <v>9455</v>
      </c>
      <c r="C102" s="83">
        <v>10587</v>
      </c>
      <c r="D102" s="83">
        <v>11760</v>
      </c>
      <c r="E102" s="83" t="e">
        <f>E94+E100</f>
        <v>#REF!</v>
      </c>
      <c r="F102" s="83" t="e">
        <f t="shared" ref="F102:G102" si="47">F94+F100</f>
        <v>#REF!</v>
      </c>
      <c r="G102" s="83" t="e">
        <f t="shared" si="47"/>
        <v>#REF!</v>
      </c>
    </row>
    <row r="104" spans="1:8" ht="24.95" customHeight="1">
      <c r="A104" s="118" t="s">
        <v>160</v>
      </c>
      <c r="B104" s="117" t="s">
        <v>86</v>
      </c>
      <c r="C104" s="117" t="s">
        <v>87</v>
      </c>
      <c r="D104" s="117" t="s">
        <v>88</v>
      </c>
      <c r="E104" s="117" t="s">
        <v>117</v>
      </c>
      <c r="F104" s="117" t="s">
        <v>118</v>
      </c>
      <c r="G104" s="117" t="s">
        <v>119</v>
      </c>
    </row>
    <row r="106" spans="1:8" ht="24.95" customHeight="1">
      <c r="A106" s="12" t="s">
        <v>283</v>
      </c>
    </row>
    <row r="108" spans="1:8" ht="24.95" customHeight="1">
      <c r="A108" s="119" t="s">
        <v>114</v>
      </c>
      <c r="B108" s="21"/>
      <c r="C108" s="21">
        <v>1904</v>
      </c>
      <c r="D108" s="21">
        <v>1600</v>
      </c>
      <c r="E108" s="21" t="e">
        <f>E30</f>
        <v>#REF!</v>
      </c>
      <c r="F108" s="21" t="e">
        <f t="shared" ref="F108:G108" si="48">F30</f>
        <v>#REF!</v>
      </c>
      <c r="G108" s="21" t="e">
        <f t="shared" si="48"/>
        <v>#REF!</v>
      </c>
    </row>
    <row r="109" spans="1:8" ht="24.95" customHeight="1">
      <c r="A109" s="119" t="s">
        <v>284</v>
      </c>
      <c r="C109" s="21" t="e">
        <f>-Assumptions!#REF!</f>
        <v>#REF!</v>
      </c>
      <c r="D109" s="21" t="e">
        <f>-Assumptions!#REF!</f>
        <v>#REF!</v>
      </c>
      <c r="E109" s="21" t="e">
        <f>-Assumptions!#REF!</f>
        <v>#REF!</v>
      </c>
      <c r="F109" s="21" t="e">
        <f>-Assumptions!#REF!</f>
        <v>#REF!</v>
      </c>
      <c r="G109" s="21" t="e">
        <f>-Assumptions!#REF!</f>
        <v>#REF!</v>
      </c>
      <c r="H109" s="21"/>
    </row>
    <row r="110" spans="1:8" ht="24.95" customHeight="1">
      <c r="A110" s="119" t="s">
        <v>85</v>
      </c>
      <c r="B110" s="93"/>
      <c r="C110" s="93">
        <f>C27</f>
        <v>481</v>
      </c>
      <c r="D110" s="93">
        <f t="shared" ref="D110" si="49">D27</f>
        <v>516</v>
      </c>
      <c r="E110" s="93">
        <f>E27</f>
        <v>532.91322424242423</v>
      </c>
      <c r="F110" s="93">
        <f>F27</f>
        <v>567.16448594102553</v>
      </c>
      <c r="G110" s="93">
        <f>G27</f>
        <v>602.35442086137414</v>
      </c>
    </row>
    <row r="111" spans="1:8" ht="24.95" customHeight="1">
      <c r="A111" s="121" t="s">
        <v>285</v>
      </c>
      <c r="B111" s="21"/>
      <c r="C111" s="83" t="e">
        <f>SUM(C108:C110)</f>
        <v>#REF!</v>
      </c>
      <c r="D111" s="83" t="e">
        <f t="shared" ref="D111:G111" si="50">SUM(D108:D110)</f>
        <v>#REF!</v>
      </c>
      <c r="E111" s="83" t="e">
        <f t="shared" si="50"/>
        <v>#REF!</v>
      </c>
      <c r="F111" s="83" t="e">
        <f t="shared" si="50"/>
        <v>#REF!</v>
      </c>
      <c r="G111" s="83" t="e">
        <f t="shared" si="50"/>
        <v>#REF!</v>
      </c>
    </row>
    <row r="112" spans="1:8" ht="24.95" customHeight="1">
      <c r="A112" s="14"/>
    </row>
    <row r="113" spans="1:7" ht="24.95" customHeight="1">
      <c r="A113" s="14" t="s">
        <v>338</v>
      </c>
      <c r="C113" s="21">
        <f>(C73-B73)</f>
        <v>29</v>
      </c>
      <c r="D113" s="21">
        <f t="shared" ref="D113:G113" si="51">(D73-C73)</f>
        <v>-391</v>
      </c>
      <c r="E113" s="21">
        <f>(E73-D73)</f>
        <v>734.99810064121948</v>
      </c>
      <c r="F113" s="21">
        <f t="shared" si="51"/>
        <v>-160.36638340030913</v>
      </c>
      <c r="G113" s="21">
        <f t="shared" si="51"/>
        <v>-2.4157755192017021</v>
      </c>
    </row>
    <row r="114" spans="1:7" ht="24.95" customHeight="1">
      <c r="A114" s="119" t="s">
        <v>286</v>
      </c>
      <c r="C114" s="21">
        <v>-29</v>
      </c>
      <c r="D114" s="21">
        <v>391</v>
      </c>
      <c r="E114" s="21">
        <f>-E113</f>
        <v>-734.99810064121948</v>
      </c>
      <c r="F114" s="21">
        <f>-F113</f>
        <v>160.36638340030913</v>
      </c>
      <c r="G114" s="21">
        <f>-G113</f>
        <v>2.4157755192017021</v>
      </c>
    </row>
    <row r="115" spans="1:7" ht="24.95" customHeight="1">
      <c r="A115" s="92" t="s">
        <v>140</v>
      </c>
      <c r="B115" s="155"/>
      <c r="C115" s="93">
        <f>'Cash Flow Statement - As Repor.'!C30</f>
        <v>-501</v>
      </c>
      <c r="D115" s="93">
        <f>'Cash Flow Statement - As Repor.'!D30</f>
        <v>-578</v>
      </c>
      <c r="E115" s="93">
        <f>-'Investment Forecasts'!I9</f>
        <v>-558.13639999999998</v>
      </c>
      <c r="F115" s="93">
        <f>-'Investment Forecasts'!J9</f>
        <v>-572.15523605384192</v>
      </c>
      <c r="G115" s="93">
        <f>-'Investment Forecasts'!K9</f>
        <v>-589.11261631766581</v>
      </c>
    </row>
    <row r="116" spans="1:7" ht="24.95" customHeight="1">
      <c r="A116" s="104" t="s">
        <v>287</v>
      </c>
      <c r="C116" s="83" t="e">
        <f>SUM(C111,C114,C115)</f>
        <v>#REF!</v>
      </c>
      <c r="D116" s="83" t="e">
        <f t="shared" ref="D116:G116" si="52">SUM(D111,D114,D115)</f>
        <v>#REF!</v>
      </c>
      <c r="E116" s="83" t="e">
        <f>SUM(E111,E114,E115)</f>
        <v>#REF!</v>
      </c>
      <c r="F116" s="83" t="e">
        <f>SUM(F111,F114,F115)</f>
        <v>#REF!</v>
      </c>
      <c r="G116" s="83" t="e">
        <f t="shared" si="52"/>
        <v>#REF!</v>
      </c>
    </row>
    <row r="117" spans="1:7" ht="24.95" customHeight="1">
      <c r="A117" s="14"/>
    </row>
    <row r="118" spans="1:7" ht="24.95" customHeight="1">
      <c r="A118" s="119" t="s">
        <v>439</v>
      </c>
      <c r="C118" s="21" t="e">
        <f>-(C109-C33)</f>
        <v>#REF!</v>
      </c>
      <c r="D118" s="21" t="e">
        <f>-(D109-D33)</f>
        <v>#REF!</v>
      </c>
      <c r="E118" s="21" t="e">
        <f>E109+E33</f>
        <v>#REF!</v>
      </c>
      <c r="F118" s="21" t="e">
        <f>F109+F33</f>
        <v>#REF!</v>
      </c>
      <c r="G118" s="21" t="e">
        <f>G109+G33</f>
        <v>#REF!</v>
      </c>
    </row>
    <row r="119" spans="1:7" ht="24.95" customHeight="1">
      <c r="A119" s="14" t="s">
        <v>438</v>
      </c>
      <c r="C119" s="21">
        <v>9</v>
      </c>
      <c r="D119" s="21">
        <v>16</v>
      </c>
      <c r="E119" s="21" t="e">
        <f>IF(E138&gt;0,E139*Assumptions!$B$64,E139*Assumptions!$B$67)</f>
        <v>#REF!</v>
      </c>
      <c r="F119" s="21" t="e">
        <f>IF(F138&gt;0,F139*Assumptions!$B$64,F139*Assumptions!$B$67)</f>
        <v>#REF!</v>
      </c>
      <c r="G119" s="21" t="e">
        <f>IF(G138&gt;0,G139*Assumptions!$B$64,G139*Assumptions!$B$67)</f>
        <v>#REF!</v>
      </c>
    </row>
    <row r="120" spans="1:7" ht="24.95" customHeight="1">
      <c r="A120" s="14" t="s">
        <v>92</v>
      </c>
      <c r="B120" s="39"/>
      <c r="C120" s="21">
        <v>-256</v>
      </c>
      <c r="D120" s="21">
        <v>-287</v>
      </c>
      <c r="E120" s="21">
        <f>-E33</f>
        <v>276.61240428171294</v>
      </c>
      <c r="F120" s="21">
        <f>-F33</f>
        <v>275.099517164286</v>
      </c>
      <c r="G120" s="21">
        <f>-G33</f>
        <v>280.78206915661764</v>
      </c>
    </row>
    <row r="121" spans="1:7" ht="24.95" customHeight="1">
      <c r="A121" s="119" t="s">
        <v>440</v>
      </c>
      <c r="B121" s="39"/>
      <c r="C121" s="21">
        <v>0</v>
      </c>
      <c r="D121" s="21">
        <v>-8</v>
      </c>
      <c r="E121" s="21">
        <v>0</v>
      </c>
      <c r="F121" s="21">
        <v>0</v>
      </c>
      <c r="G121" s="21">
        <v>0</v>
      </c>
    </row>
    <row r="122" spans="1:7" ht="24.95" customHeight="1">
      <c r="A122" s="119" t="s">
        <v>441</v>
      </c>
      <c r="C122" s="21">
        <v>7</v>
      </c>
      <c r="D122" s="21">
        <v>196</v>
      </c>
      <c r="E122" s="21">
        <v>0</v>
      </c>
      <c r="F122" s="21">
        <v>0</v>
      </c>
      <c r="G122" s="21">
        <v>0</v>
      </c>
    </row>
    <row r="123" spans="1:7" ht="24.95" customHeight="1">
      <c r="A123" s="119"/>
      <c r="C123" s="39"/>
      <c r="D123" s="39"/>
    </row>
    <row r="124" spans="1:7" ht="24.95" customHeight="1">
      <c r="A124" s="119" t="s">
        <v>383</v>
      </c>
      <c r="C124" s="21">
        <f>(C82-B82)</f>
        <v>348</v>
      </c>
      <c r="D124" s="21">
        <f t="shared" ref="D124:G124" si="53">(D82-C82)</f>
        <v>281</v>
      </c>
      <c r="E124" s="21">
        <f>(E82-D82)</f>
        <v>-729.99999999999989</v>
      </c>
      <c r="F124" s="21">
        <f t="shared" si="53"/>
        <v>112.33333333333337</v>
      </c>
      <c r="G124" s="21">
        <f t="shared" si="53"/>
        <v>30.777777777777942</v>
      </c>
    </row>
    <row r="125" spans="1:7" ht="24.95" customHeight="1">
      <c r="A125" s="119" t="s">
        <v>293</v>
      </c>
      <c r="C125" s="21">
        <f>-C124</f>
        <v>-348</v>
      </c>
      <c r="D125" s="21">
        <f t="shared" ref="D125:G125" si="54">-D124</f>
        <v>-281</v>
      </c>
      <c r="E125" s="21">
        <f t="shared" si="54"/>
        <v>729.99999999999989</v>
      </c>
      <c r="F125" s="21">
        <f t="shared" si="54"/>
        <v>-112.33333333333337</v>
      </c>
      <c r="G125" s="21">
        <f t="shared" si="54"/>
        <v>-30.777777777777942</v>
      </c>
    </row>
    <row r="126" spans="1:7" ht="24.95" customHeight="1">
      <c r="A126" s="119"/>
      <c r="C126" s="21"/>
      <c r="D126" s="21"/>
      <c r="E126" s="21"/>
      <c r="F126" s="21"/>
      <c r="G126" s="21"/>
    </row>
    <row r="127" spans="1:7" ht="24.95" customHeight="1">
      <c r="A127" s="119" t="s">
        <v>384</v>
      </c>
      <c r="C127" s="21">
        <f>(C92-B92)</f>
        <v>865</v>
      </c>
      <c r="D127" s="21">
        <f t="shared" ref="D127:G127" si="55">(D92-C92)</f>
        <v>248</v>
      </c>
      <c r="E127" s="21">
        <f>(E92-D92)</f>
        <v>-440.76485092645999</v>
      </c>
      <c r="F127" s="21">
        <f t="shared" si="55"/>
        <v>316.73926232194572</v>
      </c>
      <c r="G127" s="21">
        <f t="shared" si="55"/>
        <v>40.186143167302362</v>
      </c>
    </row>
    <row r="128" spans="1:7" ht="24.95" customHeight="1">
      <c r="A128" s="92" t="s">
        <v>385</v>
      </c>
      <c r="B128" s="162"/>
      <c r="C128" s="93">
        <v>865</v>
      </c>
      <c r="D128" s="93">
        <v>248</v>
      </c>
      <c r="E128" s="93">
        <f>E127</f>
        <v>-440.76485092645999</v>
      </c>
      <c r="F128" s="93">
        <f t="shared" ref="F128:G128" si="56">F127</f>
        <v>316.73926232194572</v>
      </c>
      <c r="G128" s="93">
        <f t="shared" si="56"/>
        <v>40.186143167302362</v>
      </c>
    </row>
    <row r="129" spans="1:7" ht="24.95" customHeight="1">
      <c r="A129" s="104" t="s">
        <v>294</v>
      </c>
      <c r="C129" s="83" t="e">
        <f>SUM(C116:C128)</f>
        <v>#REF!</v>
      </c>
      <c r="D129" s="83" t="e">
        <f t="shared" ref="D129" si="57">SUM(D116:D128)</f>
        <v>#REF!</v>
      </c>
      <c r="E129" s="83" t="e">
        <f>SUM(E116:E122,E125,E128)</f>
        <v>#REF!</v>
      </c>
      <c r="F129" s="83" t="e">
        <f t="shared" ref="F129:G129" si="58">SUM(F116:F122,F125,F128)</f>
        <v>#REF!</v>
      </c>
      <c r="G129" s="83" t="e">
        <f t="shared" si="58"/>
        <v>#REF!</v>
      </c>
    </row>
    <row r="130" spans="1:7" ht="24.95" customHeight="1">
      <c r="A130" s="14"/>
    </row>
    <row r="131" spans="1:7" ht="24.95" customHeight="1">
      <c r="A131" s="119" t="s">
        <v>295</v>
      </c>
      <c r="C131" s="21">
        <v>-736</v>
      </c>
      <c r="D131" s="21">
        <v>-773</v>
      </c>
      <c r="E131" s="21" t="e">
        <f>-E51*Assumptions!$B$61</f>
        <v>#REF!</v>
      </c>
      <c r="F131" s="21" t="e">
        <f>-F51*Assumptions!$B$61</f>
        <v>#REF!</v>
      </c>
      <c r="G131" s="21" t="e">
        <f>-G51*Assumptions!$B$61</f>
        <v>#REF!</v>
      </c>
    </row>
    <row r="132" spans="1:7" ht="24.95" customHeight="1">
      <c r="A132" s="119" t="s">
        <v>296</v>
      </c>
      <c r="C132" s="21">
        <f>C100-B100-C51-C131</f>
        <v>-241</v>
      </c>
      <c r="D132" s="21">
        <f>D100-C100-D51-D131</f>
        <v>606</v>
      </c>
      <c r="E132" s="21" t="e">
        <f>E100-D100-E51-E131</f>
        <v>#REF!</v>
      </c>
      <c r="F132" s="21" t="e">
        <f t="shared" ref="F132:G132" si="59">F100-E100-F51-F131</f>
        <v>#REF!</v>
      </c>
      <c r="G132" s="21" t="e">
        <f t="shared" si="59"/>
        <v>#REF!</v>
      </c>
    </row>
    <row r="133" spans="1:7" ht="24.95" customHeight="1">
      <c r="A133" s="119" t="s">
        <v>297</v>
      </c>
      <c r="C133" s="21">
        <v>0</v>
      </c>
      <c r="D133" s="21">
        <v>542</v>
      </c>
      <c r="E133" s="21">
        <f>E99-D99</f>
        <v>0</v>
      </c>
      <c r="F133" s="21">
        <v>0</v>
      </c>
      <c r="G133" s="21">
        <v>0</v>
      </c>
    </row>
    <row r="134" spans="1:7" ht="24.95" customHeight="1">
      <c r="A134" s="14"/>
    </row>
    <row r="135" spans="1:7" ht="24.95" customHeight="1">
      <c r="A135" s="120" t="s">
        <v>298</v>
      </c>
      <c r="C135" s="83">
        <v>1565</v>
      </c>
      <c r="D135" s="83">
        <v>1827.0000000000005</v>
      </c>
      <c r="E135" s="83" t="e">
        <f>SUM(E129:E133)</f>
        <v>#REF!</v>
      </c>
      <c r="F135" s="83" t="e">
        <f t="shared" ref="F135:G135" si="60">SUM(F129:F133)</f>
        <v>#REF!</v>
      </c>
      <c r="G135" s="83" t="e">
        <f t="shared" si="60"/>
        <v>#REF!</v>
      </c>
    </row>
    <row r="137" spans="1:7" ht="24.95" customHeight="1">
      <c r="A137" s="34" t="s">
        <v>412</v>
      </c>
      <c r="D137" s="21"/>
      <c r="E137" s="21">
        <v>321</v>
      </c>
      <c r="F137" s="21" t="e">
        <f>E139</f>
        <v>#REF!</v>
      </c>
      <c r="G137" s="21" t="e">
        <f>F139</f>
        <v>#REF!</v>
      </c>
    </row>
    <row r="138" spans="1:7" ht="24.95" customHeight="1">
      <c r="A138" s="94" t="s">
        <v>386</v>
      </c>
      <c r="B138" s="155"/>
      <c r="C138" s="155"/>
      <c r="D138" s="93"/>
      <c r="E138" s="93" t="e">
        <f>E135</f>
        <v>#REF!</v>
      </c>
      <c r="F138" s="93" t="e">
        <f>F135</f>
        <v>#REF!</v>
      </c>
      <c r="G138" s="93" t="e">
        <f>G135</f>
        <v>#REF!</v>
      </c>
    </row>
    <row r="139" spans="1:7" ht="24.95" customHeight="1">
      <c r="A139" s="34" t="s">
        <v>413</v>
      </c>
      <c r="D139" s="83">
        <v>321</v>
      </c>
      <c r="E139" s="83" t="e">
        <f>SUM(E137:E138)</f>
        <v>#REF!</v>
      </c>
      <c r="F139" s="83" t="e">
        <f>SUM(F137:F138)</f>
        <v>#REF!</v>
      </c>
      <c r="G139" s="83" t="e">
        <f>SUM(G137:G138)</f>
        <v>#REF!</v>
      </c>
    </row>
    <row r="140" spans="1:7" ht="24.95" customHeight="1">
      <c r="F140" s="59"/>
    </row>
  </sheetData>
  <phoneticPr fontId="40"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67F9D-EEFC-4017-9E4B-2990E3EEEDEA}">
  <dimension ref="A1:L19"/>
  <sheetViews>
    <sheetView zoomScaleNormal="100" workbookViewId="0"/>
  </sheetViews>
  <sheetFormatPr defaultColWidth="25.83203125" defaultRowHeight="24.95" customHeight="1"/>
  <cols>
    <col min="1" max="1" width="49.1640625" customWidth="1"/>
  </cols>
  <sheetData>
    <row r="1" spans="1:12" ht="24.95" customHeight="1">
      <c r="A1" s="172" t="s">
        <v>597</v>
      </c>
      <c r="B1" s="172"/>
    </row>
    <row r="2" spans="1:12" ht="24.95" customHeight="1">
      <c r="A2" s="172"/>
      <c r="B2" s="172"/>
    </row>
    <row r="3" spans="1:12" ht="34.5" customHeight="1">
      <c r="A3" s="453" t="s">
        <v>675</v>
      </c>
      <c r="B3" s="464"/>
      <c r="C3" s="464"/>
      <c r="D3" s="454" t="s">
        <v>86</v>
      </c>
      <c r="E3" s="454" t="s">
        <v>87</v>
      </c>
      <c r="F3" s="454" t="s">
        <v>88</v>
      </c>
      <c r="G3" s="454" t="s">
        <v>117</v>
      </c>
      <c r="H3" s="454" t="s">
        <v>118</v>
      </c>
      <c r="I3" s="454" t="s">
        <v>119</v>
      </c>
      <c r="J3" s="454" t="s">
        <v>548</v>
      </c>
      <c r="K3" s="454" t="s">
        <v>549</v>
      </c>
      <c r="L3" s="454" t="s">
        <v>550</v>
      </c>
    </row>
    <row r="5" spans="1:12" ht="24.95" customHeight="1">
      <c r="A5" s="61" t="s">
        <v>268</v>
      </c>
      <c r="B5" s="39"/>
      <c r="C5" s="39"/>
      <c r="D5" s="307">
        <f>'Balance Sheet - Restated'!B20</f>
        <v>-355</v>
      </c>
      <c r="E5" s="307">
        <f>'Balance Sheet - Restated'!C20</f>
        <v>-110</v>
      </c>
      <c r="F5" s="307">
        <f>'Balance Sheet - Restated'!D20</f>
        <v>-484</v>
      </c>
      <c r="G5" s="308">
        <f t="shared" ref="G5:L5" si="0">AVERAGE(D5:F5)</f>
        <v>-316.33333333333331</v>
      </c>
      <c r="H5" s="308">
        <f t="shared" si="0"/>
        <v>-303.4444444444444</v>
      </c>
      <c r="I5" s="308">
        <f t="shared" si="0"/>
        <v>-367.92592592592587</v>
      </c>
      <c r="J5" s="308">
        <f t="shared" si="0"/>
        <v>-329.23456790123453</v>
      </c>
      <c r="K5" s="308">
        <f t="shared" si="0"/>
        <v>-333.53497942386826</v>
      </c>
      <c r="L5" s="308">
        <f t="shared" si="0"/>
        <v>-343.56515775034291</v>
      </c>
    </row>
    <row r="6" spans="1:12" ht="24.95" customHeight="1">
      <c r="A6" s="61" t="s">
        <v>433</v>
      </c>
      <c r="B6" s="39"/>
      <c r="C6" s="39"/>
      <c r="D6" s="307">
        <f>'Balance Sheet - Restated'!B21</f>
        <v>-8</v>
      </c>
      <c r="E6" s="307">
        <f>'Balance Sheet - Restated'!C21</f>
        <v>-10</v>
      </c>
      <c r="F6" s="307">
        <f>'Balance Sheet - Restated'!D21</f>
        <v>-10</v>
      </c>
      <c r="G6" s="308">
        <v>-10</v>
      </c>
      <c r="H6" s="308">
        <v>-10</v>
      </c>
      <c r="I6" s="308">
        <v>-10</v>
      </c>
      <c r="J6" s="308">
        <v>-10</v>
      </c>
      <c r="K6" s="308">
        <v>-10</v>
      </c>
      <c r="L6" s="308">
        <v>-10</v>
      </c>
    </row>
    <row r="7" spans="1:12" ht="24.95" customHeight="1">
      <c r="A7" s="438" t="str">
        <f>'Balance Sheet - Restated'!A22</f>
        <v>Other Current Assets and Liabilities</v>
      </c>
      <c r="D7" s="307">
        <f>'Balance Sheet - Restated'!B22</f>
        <v>-288</v>
      </c>
      <c r="E7" s="307">
        <f>'Balance Sheet - Restated'!C22</f>
        <v>-1171</v>
      </c>
      <c r="F7" s="307">
        <f>'Balance Sheet - Restated'!D22</f>
        <v>-1056</v>
      </c>
      <c r="G7" s="308">
        <f>AVERAGE(D7:F7)</f>
        <v>-838.33333333333337</v>
      </c>
      <c r="H7" s="308">
        <f t="shared" ref="H7:L7" si="1">AVERAGE(E7:G7)</f>
        <v>-1021.7777777777778</v>
      </c>
      <c r="I7" s="308">
        <f t="shared" si="1"/>
        <v>-972.03703703703707</v>
      </c>
      <c r="J7" s="308">
        <f t="shared" si="1"/>
        <v>-944.04938271604942</v>
      </c>
      <c r="K7" s="308">
        <f t="shared" si="1"/>
        <v>-979.28806584362144</v>
      </c>
      <c r="L7" s="308">
        <f t="shared" si="1"/>
        <v>-965.12482853223594</v>
      </c>
    </row>
    <row r="8" spans="1:12" ht="24.95" customHeight="1">
      <c r="A8" s="63" t="s">
        <v>72</v>
      </c>
      <c r="D8" s="307">
        <f>'Balance Sheet - Restated'!B18</f>
        <v>-754</v>
      </c>
      <c r="E8" s="307">
        <f>'Balance Sheet - Restated'!C18</f>
        <v>0</v>
      </c>
      <c r="F8" s="307">
        <f>'Balance Sheet - Restated'!D18</f>
        <v>0</v>
      </c>
      <c r="G8" s="300">
        <v>0</v>
      </c>
      <c r="H8" s="300">
        <v>0</v>
      </c>
      <c r="I8" s="300">
        <v>0</v>
      </c>
      <c r="J8" s="300">
        <v>0</v>
      </c>
      <c r="K8" s="300">
        <v>0</v>
      </c>
      <c r="L8" s="300">
        <v>0</v>
      </c>
    </row>
    <row r="9" spans="1:12" ht="24.95" customHeight="1">
      <c r="A9" s="63"/>
      <c r="D9" s="307"/>
      <c r="E9" s="307"/>
      <c r="F9" s="307"/>
      <c r="G9" s="300"/>
      <c r="H9" s="300"/>
      <c r="I9" s="300"/>
      <c r="J9" s="300"/>
      <c r="K9" s="300"/>
      <c r="L9" s="300"/>
    </row>
    <row r="10" spans="1:12" ht="34.5" customHeight="1">
      <c r="A10" s="453" t="s">
        <v>676</v>
      </c>
      <c r="B10" s="464"/>
      <c r="C10" s="464"/>
      <c r="D10" s="454" t="s">
        <v>86</v>
      </c>
      <c r="E10" s="454" t="s">
        <v>87</v>
      </c>
      <c r="F10" s="454" t="s">
        <v>88</v>
      </c>
      <c r="G10" s="454" t="s">
        <v>117</v>
      </c>
      <c r="H10" s="454" t="s">
        <v>118</v>
      </c>
      <c r="I10" s="454" t="s">
        <v>119</v>
      </c>
      <c r="J10" s="454" t="s">
        <v>548</v>
      </c>
      <c r="K10" s="454" t="s">
        <v>549</v>
      </c>
      <c r="L10" s="454" t="s">
        <v>550</v>
      </c>
    </row>
    <row r="11" spans="1:12" ht="24.95" customHeight="1">
      <c r="A11" s="163"/>
      <c r="B11" s="441"/>
      <c r="C11" s="441"/>
      <c r="D11" s="442"/>
      <c r="E11" s="442"/>
      <c r="F11" s="442"/>
      <c r="G11" s="442"/>
      <c r="H11" s="442"/>
      <c r="I11" s="442"/>
      <c r="J11" s="442"/>
      <c r="K11" s="442"/>
      <c r="L11" s="442"/>
    </row>
    <row r="12" spans="1:12" s="61" customFormat="1" ht="24.95" customHeight="1">
      <c r="A12" s="102" t="s">
        <v>611</v>
      </c>
      <c r="B12" s="188"/>
      <c r="C12" s="392"/>
      <c r="D12" s="216">
        <f>'Income Statement - Restated'!B8</f>
        <v>12965</v>
      </c>
      <c r="E12" s="216">
        <f>'Income Statement - Restated'!C8</f>
        <v>13371</v>
      </c>
      <c r="F12" s="216">
        <f>'Income Statement - Restated'!D8</f>
        <v>13547</v>
      </c>
      <c r="G12" s="448">
        <f>F12*(1+Assumptions!F14)</f>
        <v>13953.41</v>
      </c>
      <c r="H12" s="448">
        <f>G12*(1+Assumptions!G14)</f>
        <v>14303.880901346049</v>
      </c>
      <c r="I12" s="448">
        <f>H12*(1+Assumptions!H14)</f>
        <v>14727.815407941645</v>
      </c>
      <c r="J12" s="448">
        <f>I12*(1+Assumptions!I14)</f>
        <v>14918.049690294225</v>
      </c>
      <c r="K12" s="448">
        <f>J12*(1+Assumptions!J14)</f>
        <v>15009.733537349157</v>
      </c>
      <c r="L12" s="448">
        <f>K12*(1+Assumptions!K14)</f>
        <v>15137.550799503146</v>
      </c>
    </row>
    <row r="13" spans="1:12" ht="24.95" customHeight="1">
      <c r="A13" s="61" t="s">
        <v>240</v>
      </c>
      <c r="D13" s="216">
        <f>'Income Statement - Restated'!B10</f>
        <v>0</v>
      </c>
      <c r="E13" s="216">
        <f>'Income Statement - Restated'!C10</f>
        <v>517</v>
      </c>
      <c r="F13" s="216">
        <f>'Income Statement - Restated'!D10</f>
        <v>0</v>
      </c>
      <c r="G13" s="300">
        <v>0</v>
      </c>
      <c r="H13" s="300">
        <v>0</v>
      </c>
      <c r="I13" s="300">
        <v>0</v>
      </c>
      <c r="J13" s="300">
        <v>0</v>
      </c>
      <c r="K13" s="300">
        <v>0</v>
      </c>
      <c r="L13" s="300">
        <v>0</v>
      </c>
    </row>
    <row r="14" spans="1:12" ht="24.95" customHeight="1">
      <c r="A14" s="61"/>
      <c r="D14" s="216"/>
      <c r="E14" s="216"/>
      <c r="F14" s="216"/>
      <c r="G14" s="300"/>
      <c r="H14" s="300"/>
      <c r="I14" s="300"/>
      <c r="J14" s="300"/>
      <c r="K14" s="300"/>
      <c r="L14" s="300"/>
    </row>
    <row r="15" spans="1:12" ht="24.95" customHeight="1">
      <c r="A15" s="61" t="s">
        <v>108</v>
      </c>
      <c r="D15" s="216">
        <f>'Income Statement - Restated'!B12</f>
        <v>8131</v>
      </c>
      <c r="E15" s="216">
        <f>'Income Statement - Restated'!C12</f>
        <v>8155</v>
      </c>
      <c r="F15" s="216">
        <f>'Income Statement - Restated'!D12</f>
        <v>8821</v>
      </c>
      <c r="G15" s="300">
        <f>G12*Assumptions!$B$17</f>
        <v>8902.2755799999995</v>
      </c>
      <c r="H15" s="300">
        <f>H12*Assumptions!$B$17</f>
        <v>9125.8760150587786</v>
      </c>
      <c r="I15" s="300">
        <f>I12*Assumptions!$B$17</f>
        <v>9396.3462302667704</v>
      </c>
      <c r="J15" s="300">
        <f>J12*Assumptions!$B$17</f>
        <v>9517.7157024077151</v>
      </c>
      <c r="K15" s="300">
        <f>K12*Assumptions!$B$17</f>
        <v>9576.2099968287621</v>
      </c>
      <c r="L15" s="300">
        <f>L12*Assumptions!$B$17</f>
        <v>9657.7574100830079</v>
      </c>
    </row>
    <row r="16" spans="1:12" ht="24.95" customHeight="1">
      <c r="A16" s="61" t="s">
        <v>609</v>
      </c>
      <c r="D16" s="216">
        <f>'Income Statement - Restated'!B13</f>
        <v>3351</v>
      </c>
      <c r="E16" s="216">
        <f>'Income Statement - Restated'!C13</f>
        <v>3312</v>
      </c>
      <c r="F16" s="216">
        <f>'Income Statement - Restated'!D13</f>
        <v>3020</v>
      </c>
      <c r="G16" s="300">
        <f>G12*Assumptions!$B$19</f>
        <v>3437.4489164682445</v>
      </c>
      <c r="H16" s="300">
        <f>H12*Assumptions!$B$19</f>
        <v>3523.7880851793784</v>
      </c>
      <c r="I16" s="300">
        <f>I12*Assumptions!$B$19</f>
        <v>3628.225151842691</v>
      </c>
      <c r="J16" s="300">
        <f>J12*Assumptions!$B$19</f>
        <v>3675.0897267206592</v>
      </c>
      <c r="K16" s="300">
        <f>K12*Assumptions!$B$19</f>
        <v>3697.6762156661298</v>
      </c>
      <c r="L16" s="300">
        <f>L12*Assumptions!$B$19</f>
        <v>3729.1642396901616</v>
      </c>
    </row>
    <row r="17" spans="1:12" ht="24.95" customHeight="1">
      <c r="A17" s="61" t="s">
        <v>610</v>
      </c>
      <c r="D17" s="216">
        <f>'Income Statement - Restated'!B15</f>
        <v>148</v>
      </c>
      <c r="E17" s="216">
        <f>'Income Statement - Restated'!C15</f>
        <v>0</v>
      </c>
      <c r="F17" s="216">
        <f>'Income Statement - Restated'!D15</f>
        <v>106</v>
      </c>
      <c r="G17" s="300">
        <f>AVERAGE(D17:F17)</f>
        <v>84.666666666666671</v>
      </c>
      <c r="H17" s="300">
        <f t="shared" ref="H17:L17" si="2">AVERAGE(E17:G17)</f>
        <v>63.555555555555564</v>
      </c>
      <c r="I17" s="300">
        <f t="shared" si="2"/>
        <v>84.740740740740748</v>
      </c>
      <c r="J17" s="300">
        <f t="shared" si="2"/>
        <v>77.65432098765433</v>
      </c>
      <c r="K17" s="300">
        <f t="shared" si="2"/>
        <v>75.31687242798354</v>
      </c>
      <c r="L17" s="300">
        <f t="shared" si="2"/>
        <v>79.237311385459535</v>
      </c>
    </row>
    <row r="19" spans="1:12" ht="24.95" customHeight="1">
      <c r="A19" s="61" t="s">
        <v>336</v>
      </c>
      <c r="D19" s="216">
        <f>'Income Statement - Restated'!B18*('Income Statement - Restated'!B21/'Income Statement - Restated'!B20)</f>
        <v>335.89400428265526</v>
      </c>
      <c r="E19" s="216">
        <f>'Income Statement - Restated'!C18*('Income Statement - Restated'!C21/'Income Statement - Restated'!C20)</f>
        <v>471.11647555823777</v>
      </c>
      <c r="F19" s="216">
        <f>'Income Statement - Restated'!D18*('Income Statement - Restated'!D21/'Income Statement - Restated'!D20)</f>
        <v>217.90820165538</v>
      </c>
      <c r="G19" s="300">
        <f>'Operating Forecasts'!E31*Assumptions!$B$69</f>
        <v>323.76145421175295</v>
      </c>
      <c r="H19" s="300">
        <f>'Operating Forecasts'!F31*Assumptions!$B$69</f>
        <v>336.81390026180731</v>
      </c>
      <c r="I19" s="300">
        <f>'Operating Forecasts'!G31*Assumptions!$B$69</f>
        <v>342.70930128111956</v>
      </c>
      <c r="J19" s="300">
        <f>'Operating Forecasts'!H31*Assumptions!$B$69</f>
        <v>348.86824289909907</v>
      </c>
      <c r="K19" s="300">
        <f>'Operating Forecasts'!I31*Assumptions!$B$69</f>
        <v>351.60832625364736</v>
      </c>
      <c r="L19" s="300">
        <f>'Operating Forecasts'!J31*Assumptions!$B$69</f>
        <v>353.90816587292443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41"/>
  <sheetViews>
    <sheetView topLeftCell="D10" zoomScaleNormal="100" workbookViewId="0">
      <selection activeCell="K10" sqref="K10"/>
    </sheetView>
  </sheetViews>
  <sheetFormatPr defaultColWidth="25.83203125" defaultRowHeight="26.1" customHeight="1"/>
  <cols>
    <col min="1" max="1" width="32.6640625" style="39" customWidth="1"/>
    <col min="2" max="16384" width="25.83203125" style="39"/>
  </cols>
  <sheetData>
    <row r="1" spans="1:14" ht="24.95" customHeight="1">
      <c r="A1" s="172" t="s">
        <v>423</v>
      </c>
    </row>
    <row r="2" spans="1:14" ht="26.1" customHeight="1">
      <c r="A2" s="87"/>
      <c r="N2" s="493"/>
    </row>
    <row r="3" spans="1:14" ht="26.1" customHeight="1">
      <c r="A3" s="454" t="s">
        <v>677</v>
      </c>
      <c r="B3" s="454"/>
      <c r="C3" s="454" t="s">
        <v>474</v>
      </c>
      <c r="D3" s="454"/>
      <c r="E3" s="454"/>
      <c r="F3" s="454" t="s">
        <v>86</v>
      </c>
      <c r="G3" s="454" t="s">
        <v>87</v>
      </c>
      <c r="H3" s="454" t="s">
        <v>88</v>
      </c>
      <c r="I3" s="454" t="s">
        <v>117</v>
      </c>
      <c r="J3" s="454" t="s">
        <v>118</v>
      </c>
      <c r="K3" s="454" t="s">
        <v>119</v>
      </c>
      <c r="L3" s="454" t="s">
        <v>548</v>
      </c>
      <c r="M3" s="454" t="s">
        <v>549</v>
      </c>
      <c r="N3" s="454" t="s">
        <v>550</v>
      </c>
    </row>
    <row r="4" spans="1:14" ht="26.1" customHeight="1" thickBot="1">
      <c r="A4" s="62" t="s">
        <v>150</v>
      </c>
      <c r="I4" s="315"/>
      <c r="J4" s="315"/>
      <c r="K4" s="315"/>
      <c r="L4" s="315"/>
      <c r="M4" s="315"/>
      <c r="N4" s="315"/>
    </row>
    <row r="5" spans="1:14" ht="26.1" customHeight="1" thickTop="1">
      <c r="A5" s="63" t="s">
        <v>149</v>
      </c>
      <c r="F5" s="216">
        <f>'Balance Sheet - Restated'!B11</f>
        <v>7535</v>
      </c>
      <c r="G5" s="216">
        <f>'Balance Sheet - Restated'!C11</f>
        <v>8143</v>
      </c>
      <c r="H5" s="216">
        <f>'Balance Sheet - Restated'!D11</f>
        <v>9411</v>
      </c>
      <c r="I5" s="300">
        <v>9411</v>
      </c>
      <c r="J5" s="300">
        <v>9376.7000000000007</v>
      </c>
      <c r="K5" s="300">
        <v>9341.5</v>
      </c>
      <c r="L5" s="300">
        <v>9305.6</v>
      </c>
      <c r="M5" s="300">
        <v>9269.2999999999993</v>
      </c>
      <c r="N5" s="300">
        <v>9269.2999999999993</v>
      </c>
    </row>
    <row r="6" spans="1:14" ht="26.1" customHeight="1">
      <c r="A6" s="61"/>
      <c r="F6" s="194"/>
      <c r="G6" s="194"/>
      <c r="H6" s="194"/>
      <c r="I6" s="194"/>
      <c r="J6" s="194"/>
      <c r="K6" s="194"/>
      <c r="L6" s="194"/>
      <c r="M6" s="194"/>
    </row>
    <row r="7" spans="1:14" ht="26.1" customHeight="1" thickBot="1">
      <c r="A7" s="62" t="s">
        <v>151</v>
      </c>
      <c r="F7" s="60"/>
      <c r="G7" s="60"/>
      <c r="H7" s="60"/>
      <c r="I7" s="60"/>
      <c r="J7" s="60"/>
      <c r="K7" s="60"/>
    </row>
    <row r="8" spans="1:14" ht="26.1" customHeight="1" thickTop="1">
      <c r="A8" s="61" t="s">
        <v>155</v>
      </c>
      <c r="F8" s="216">
        <f>'Balance Sheet - Restated'!B10</f>
        <v>3569</v>
      </c>
      <c r="G8" s="216">
        <f>'Balance Sheet - Restated'!C10</f>
        <v>3716</v>
      </c>
      <c r="H8" s="216">
        <f>'Balance Sheet - Restated'!D10</f>
        <v>3731</v>
      </c>
      <c r="I8" s="216">
        <f>H8</f>
        <v>3731</v>
      </c>
      <c r="J8" s="216">
        <f>I11</f>
        <v>3756.223175757576</v>
      </c>
      <c r="K8" s="216">
        <f>J11</f>
        <v>3795.4651875689938</v>
      </c>
      <c r="L8" s="216">
        <f>K11</f>
        <v>3817.4133179456339</v>
      </c>
      <c r="M8" s="216">
        <f t="shared" ref="M8:N8" si="0">L11</f>
        <v>3811.7808846960288</v>
      </c>
      <c r="N8" s="216">
        <f t="shared" si="0"/>
        <v>3773.8814233913654</v>
      </c>
    </row>
    <row r="9" spans="1:14" ht="26.1" customHeight="1">
      <c r="A9" s="61" t="s">
        <v>140</v>
      </c>
      <c r="F9" s="216"/>
      <c r="G9" s="216"/>
      <c r="H9" s="216"/>
      <c r="I9" s="300">
        <f>$C$13*'Operating Forecasts'!E8</f>
        <v>558.13639999999998</v>
      </c>
      <c r="J9" s="300">
        <f>$C$13*'Operating Forecasts'!F8</f>
        <v>572.15523605384192</v>
      </c>
      <c r="K9" s="300">
        <f>$C$13*'Operating Forecasts'!G8</f>
        <v>589.11261631766581</v>
      </c>
      <c r="L9" s="300">
        <f>$C$13*'Operating Forecasts'!H8</f>
        <v>596.72198761176901</v>
      </c>
      <c r="M9" s="300">
        <f>$C$13*'Operating Forecasts'!I8</f>
        <v>600.3893414939663</v>
      </c>
      <c r="N9" s="300">
        <f>$C$13*'Operating Forecasts'!J8</f>
        <v>605.50203198012582</v>
      </c>
    </row>
    <row r="10" spans="1:14" ht="26.1" customHeight="1" thickBot="1">
      <c r="A10" s="66" t="s">
        <v>161</v>
      </c>
      <c r="B10" s="65"/>
      <c r="C10" s="65"/>
      <c r="D10" s="65"/>
      <c r="E10" s="65"/>
      <c r="F10" s="313"/>
      <c r="G10" s="313"/>
      <c r="H10" s="313"/>
      <c r="I10" s="313">
        <f>-I25</f>
        <v>532.91322424242423</v>
      </c>
      <c r="J10" s="313">
        <f t="shared" ref="J10:M10" si="1">-I25</f>
        <v>532.91322424242423</v>
      </c>
      <c r="K10" s="313">
        <f t="shared" si="1"/>
        <v>567.16448594102553</v>
      </c>
      <c r="L10" s="313">
        <f t="shared" si="1"/>
        <v>602.35442086137414</v>
      </c>
      <c r="M10" s="313">
        <f t="shared" si="1"/>
        <v>638.28880279862983</v>
      </c>
      <c r="N10" s="313">
        <f>-N25</f>
        <v>605.50203198012582</v>
      </c>
    </row>
    <row r="11" spans="1:14" ht="26.1" customHeight="1">
      <c r="A11" s="61" t="s">
        <v>156</v>
      </c>
      <c r="H11" s="216">
        <f>H8</f>
        <v>3731</v>
      </c>
      <c r="I11" s="300">
        <f>I8+I9-I10</f>
        <v>3756.223175757576</v>
      </c>
      <c r="J11" s="300">
        <f t="shared" ref="J11" si="2">J8+J9-J10</f>
        <v>3795.4651875689938</v>
      </c>
      <c r="K11" s="300">
        <f>K8+K9-K10</f>
        <v>3817.4133179456339</v>
      </c>
      <c r="L11" s="300">
        <f t="shared" ref="L11" si="3">L8+L9-L10</f>
        <v>3811.7808846960288</v>
      </c>
      <c r="M11" s="300">
        <f>M8+M9-M10</f>
        <v>3773.8814233913654</v>
      </c>
      <c r="N11" s="300">
        <f>N8+N9-N10</f>
        <v>3773.8814233913654</v>
      </c>
    </row>
    <row r="12" spans="1:14" ht="26.1" customHeight="1">
      <c r="C12" s="60"/>
      <c r="D12" s="60"/>
      <c r="E12" s="60"/>
    </row>
    <row r="13" spans="1:14" ht="26.1" customHeight="1">
      <c r="A13" s="61" t="s">
        <v>704</v>
      </c>
      <c r="B13" s="61"/>
      <c r="C13" s="252">
        <f>Assumptions!$B$40</f>
        <v>0.04</v>
      </c>
      <c r="D13" s="60"/>
      <c r="E13" s="60"/>
      <c r="I13" s="21"/>
      <c r="J13" s="21"/>
      <c r="K13" s="21"/>
    </row>
    <row r="14" spans="1:14" ht="26.1" customHeight="1">
      <c r="A14" s="63" t="s">
        <v>162</v>
      </c>
      <c r="B14" s="60"/>
      <c r="C14" s="216">
        <f>Assumptions!B41</f>
        <v>16.5</v>
      </c>
      <c r="D14" s="60"/>
      <c r="E14" s="60"/>
    </row>
    <row r="15" spans="1:14" ht="26.1" customHeight="1">
      <c r="A15" s="61"/>
      <c r="B15" s="60"/>
      <c r="C15" s="60"/>
    </row>
    <row r="16" spans="1:14" ht="26.1" customHeight="1">
      <c r="A16" s="61"/>
      <c r="B16" s="60"/>
      <c r="C16" s="60"/>
      <c r="H16" s="21"/>
      <c r="I16" s="21"/>
      <c r="J16" s="21"/>
      <c r="K16" s="21"/>
    </row>
    <row r="17" spans="1:14" ht="26.1" customHeight="1">
      <c r="A17" s="61"/>
      <c r="B17" s="60"/>
      <c r="C17" s="60"/>
    </row>
    <row r="18" spans="1:14" ht="26.1" customHeight="1">
      <c r="A18" s="61"/>
      <c r="B18" s="60"/>
      <c r="C18" s="60"/>
    </row>
    <row r="19" spans="1:14" ht="26.1" customHeight="1">
      <c r="A19" s="61" t="s">
        <v>141</v>
      </c>
      <c r="B19" s="60">
        <v>2018</v>
      </c>
      <c r="C19" s="216">
        <f>+H8</f>
        <v>3731</v>
      </c>
      <c r="I19" s="306">
        <f>-MIN($C$19+SUM($H19:H19),'Operating Forecasts'!$D$28)</f>
        <v>-516</v>
      </c>
      <c r="J19" s="306">
        <f>-MIN($C$19+SUM($H19:I19),'Operating Forecasts'!$D$28)</f>
        <v>-516</v>
      </c>
      <c r="K19" s="306">
        <f>-MIN($C$19+SUM($H19:J19),'Operating Forecasts'!$D$28)</f>
        <v>-516</v>
      </c>
      <c r="L19" s="306">
        <f>-MIN($C$19+SUM($H19:K19),'Operating Forecasts'!$D$28)</f>
        <v>-516</v>
      </c>
      <c r="M19" s="306">
        <f>-MIN($C$19+SUM($H19:L19),'Operating Forecasts'!$D$28)</f>
        <v>-516</v>
      </c>
    </row>
    <row r="20" spans="1:14" ht="26.1" customHeight="1">
      <c r="A20" s="61" t="s">
        <v>157</v>
      </c>
      <c r="B20" s="60" t="str">
        <f>+I3</f>
        <v>FY 2019</v>
      </c>
      <c r="C20" s="216">
        <f>I9</f>
        <v>558.13639999999998</v>
      </c>
      <c r="D20" s="59"/>
      <c r="E20" s="59"/>
      <c r="I20" s="306">
        <f>-MIN($C$20+SUM($H20:H20),$C20/$C$14)*(I$3&gt;=$B20)*(IF(I$3=$B20,0.5,1))</f>
        <v>-16.913224242424242</v>
      </c>
      <c r="J20" s="306">
        <f>-MIN($C$20+SUM($H20:I20),$C20/$C$14)*(J$3&gt;=$B20)*(IF(J$3=$B20,0.5,1))</f>
        <v>-33.826448484848484</v>
      </c>
      <c r="K20" s="306">
        <f>-MIN($C$20+SUM($H20:J20),$C20/$C$14)*(K$3&gt;=$B20)*(IF(K$3=$B20,0.5,1))</f>
        <v>-33.826448484848484</v>
      </c>
      <c r="L20" s="306">
        <f>-MIN($C$20+SUM($H20:K20),$C20/$C$14)*(L$3&gt;=$B20)*(IF(L$3=$B20,0.5,1))</f>
        <v>-33.826448484848484</v>
      </c>
      <c r="M20" s="306">
        <f>-MIN($C$20+SUM($H20:L20),$C20/$C$14)*(M$3&gt;=$B20)*(IF(M$3=$B20,0.5,1))</f>
        <v>-33.826448484848484</v>
      </c>
    </row>
    <row r="21" spans="1:14" ht="26.1" customHeight="1">
      <c r="A21" s="61" t="s">
        <v>158</v>
      </c>
      <c r="B21" s="60" t="str">
        <f>+J3</f>
        <v>FY 2020</v>
      </c>
      <c r="C21" s="216">
        <f>J9</f>
        <v>572.15523605384192</v>
      </c>
      <c r="D21" s="59"/>
      <c r="E21" s="59"/>
      <c r="I21" s="216">
        <f>-MIN($J$16+SUM($H21:H21),$C21/$C$14)*(I$3&gt;=$B21)*(IF(I$3=$B21,0.5,1))</f>
        <v>0</v>
      </c>
      <c r="J21" s="306">
        <f>-MIN($C$21+SUM($H21:I21),$C21/$C$14)*(J$3&gt;=$B21)*(IF(J$3=$B21,0.5,1))</f>
        <v>-17.338037456177027</v>
      </c>
      <c r="K21" s="306">
        <f>-MIN($C$21+SUM($H21:J21),$C21/$C$14)*(K$3&gt;=$B21)*(IF(K$3=$B21,0.5,1))</f>
        <v>-34.676074912354053</v>
      </c>
      <c r="L21" s="306">
        <f>-MIN($C$21+SUM($H21:K21),$C21/$C$14)*(L$3&gt;=$B21)*(IF(L$3=$B21,0.5,1))</f>
        <v>-34.676074912354053</v>
      </c>
      <c r="M21" s="306">
        <f>-MIN($C$21+SUM($H21:L21),$C21/$C$14)*(M$3&gt;=$B21)*(IF(M$3=$B21,0.5,1))</f>
        <v>-34.676074912354053</v>
      </c>
    </row>
    <row r="22" spans="1:14" ht="26.1" customHeight="1">
      <c r="A22" s="61" t="s">
        <v>551</v>
      </c>
      <c r="B22" s="60" t="str">
        <f>+K3</f>
        <v>FY 2021</v>
      </c>
      <c r="C22" s="216">
        <f>K9</f>
        <v>589.11261631766581</v>
      </c>
      <c r="D22" s="59"/>
      <c r="E22" s="59"/>
      <c r="I22" s="216">
        <f>-MIN($C$22+SUM($H22:H22),$C22/$C$14)*(I$3&gt;=$B22)*(IF(I$3=$B22,0.5,1))</f>
        <v>0</v>
      </c>
      <c r="J22" s="216">
        <f>-MIN($C$22+SUM($H22:I22),$C22/$C$14)*(J$3&gt;=$B22)*(IF(J$3=$B22,0.5,1))</f>
        <v>0</v>
      </c>
      <c r="K22" s="306">
        <f>-MIN($C$22+SUM($H22:J22),$C22/$C$14)*(K$3&gt;=$B22)*(IF(K$3=$B22,0.5,1))</f>
        <v>-17.851897464171692</v>
      </c>
      <c r="L22" s="306">
        <f>-MIN($C$22+SUM($H22:K22),$C22/$C$14)*(L$3&gt;=$B22)*(IF(L$3=$B22,0.5,1))</f>
        <v>-35.703794928343385</v>
      </c>
      <c r="M22" s="306">
        <f>-MIN($C$22+SUM($H22:L22),$C22/$C$14)*(M$3&gt;=$B22)*(IF(M$3=$B22,0.5,1))</f>
        <v>-35.703794928343385</v>
      </c>
    </row>
    <row r="23" spans="1:14" ht="26.1" customHeight="1">
      <c r="A23" s="61" t="s">
        <v>552</v>
      </c>
      <c r="B23" s="60" t="str">
        <f>+L3</f>
        <v>FY 2022</v>
      </c>
      <c r="C23" s="216">
        <f>L9</f>
        <v>596.72198761176901</v>
      </c>
      <c r="I23" s="216">
        <f>-MIN($C$22+SUM($H23:H23),$C23/$C$14)*(I$3&gt;=$B23)*(IF(I$3=$B23,0.5,1))</f>
        <v>0</v>
      </c>
      <c r="J23" s="216">
        <f>-MIN($C$22+SUM($H23:I23),$C23/$C$14)*(J$3&gt;=$B23)*(IF(J$3=$B23,0.5,1))</f>
        <v>0</v>
      </c>
      <c r="K23" s="216">
        <f>-MIN($C$22+SUM($H23:J23),$C23/$C$14)*(K$3&gt;=$B23)*(IF(K$3=$B23,0.5,1))</f>
        <v>0</v>
      </c>
      <c r="L23" s="306">
        <f>-MIN($C$22+SUM($H23:K23),$C23/$C$14)*(L$3&gt;=$B23)*(IF(L$3=$B23,0.5,1))</f>
        <v>-18.082484473083909</v>
      </c>
      <c r="M23" s="306">
        <f>-MIN($C$22+SUM($H23:L23),$C23/$C$14)*(M$3&gt;=$B23)*(IF(M$3=$B23,0.5,1))</f>
        <v>-36.164968946167818</v>
      </c>
    </row>
    <row r="24" spans="1:14" ht="26.1" customHeight="1">
      <c r="A24" s="92" t="s">
        <v>553</v>
      </c>
      <c r="B24" s="155" t="str">
        <f>+M3</f>
        <v>FY 2023</v>
      </c>
      <c r="C24" s="314">
        <f>M9</f>
        <v>600.3893414939663</v>
      </c>
      <c r="D24" s="95"/>
      <c r="E24" s="95"/>
      <c r="F24" s="95"/>
      <c r="G24" s="95"/>
      <c r="H24" s="95"/>
      <c r="I24" s="314">
        <f>-MIN($C$22+SUM($H24:H24),$C24/$C$14)*(I$3&gt;=$B24)*(IF(I$3=$B24,0.5,1))</f>
        <v>0</v>
      </c>
      <c r="J24" s="314">
        <f>-MIN($C$22+SUM($H24:I24),$C24/$C$14)*(J$3&gt;=$B24)*(IF(J$3=$B24,0.5,1))</f>
        <v>0</v>
      </c>
      <c r="K24" s="314">
        <f>-MIN($C$22+SUM($H24:J24),$C24/$C$14)*(K$3&gt;=$B24)*(IF(K$3=$B24,0.5,1))</f>
        <v>0</v>
      </c>
      <c r="L24" s="314">
        <f>-MIN($C$22+SUM($H24:K24),$C24/$C$14)*(L$3&gt;=$B24)*(IF(L$3=$B24,0.5,1))</f>
        <v>0</v>
      </c>
      <c r="M24" s="323">
        <f>-MIN($C$22+SUM($H24:L24),$C24/$C$14)*(M$3&gt;=$B24)*(IF(M$3=$B24,0.5,1))</f>
        <v>-18.193616408908071</v>
      </c>
      <c r="N24" s="95"/>
    </row>
    <row r="25" spans="1:14" ht="26.1" customHeight="1">
      <c r="A25" s="34" t="s">
        <v>142</v>
      </c>
      <c r="I25" s="322">
        <f t="shared" ref="I25:J25" si="4">SUM(I19:I24)</f>
        <v>-532.91322424242423</v>
      </c>
      <c r="J25" s="322">
        <f t="shared" si="4"/>
        <v>-567.16448594102553</v>
      </c>
      <c r="K25" s="322">
        <f>SUM(K19:K24)</f>
        <v>-602.35442086137414</v>
      </c>
      <c r="L25" s="322">
        <f>SUM(L19:L24)</f>
        <v>-638.28880279862983</v>
      </c>
      <c r="M25" s="322">
        <f>SUM(M19:M24)</f>
        <v>-674.5649036806218</v>
      </c>
      <c r="N25" s="322">
        <f>-N9</f>
        <v>-605.50203198012582</v>
      </c>
    </row>
    <row r="26" spans="1:14" ht="26.1" customHeight="1">
      <c r="I26" s="21"/>
      <c r="J26" s="21"/>
      <c r="K26" s="21"/>
    </row>
    <row r="28" spans="1:14" ht="26.1" customHeight="1">
      <c r="A28" s="61"/>
    </row>
    <row r="29" spans="1:14" ht="26.1" customHeight="1">
      <c r="A29" s="454" t="s">
        <v>703</v>
      </c>
      <c r="B29" s="454"/>
      <c r="C29" s="454" t="s">
        <v>474</v>
      </c>
      <c r="D29" s="454"/>
      <c r="E29" s="454"/>
      <c r="F29" s="454" t="s">
        <v>86</v>
      </c>
      <c r="G29" s="454" t="s">
        <v>87</v>
      </c>
      <c r="H29" s="454" t="s">
        <v>88</v>
      </c>
      <c r="I29" s="454" t="s">
        <v>117</v>
      </c>
      <c r="J29" s="454" t="s">
        <v>118</v>
      </c>
      <c r="K29" s="454" t="s">
        <v>119</v>
      </c>
      <c r="L29" s="454" t="s">
        <v>548</v>
      </c>
      <c r="M29" s="454" t="s">
        <v>549</v>
      </c>
      <c r="N29" s="454" t="s">
        <v>550</v>
      </c>
    </row>
    <row r="30" spans="1:14" ht="26.1" customHeight="1">
      <c r="A30" s="61"/>
    </row>
    <row r="31" spans="1:14" ht="26.1" customHeight="1">
      <c r="A31" s="61" t="s">
        <v>416</v>
      </c>
      <c r="C31" s="216">
        <f>Assumptions!B34</f>
        <v>34.614892394083142</v>
      </c>
      <c r="E31" s="61" t="s">
        <v>414</v>
      </c>
      <c r="F31" s="216">
        <f>'Balance Sheet - Restated'!B16</f>
        <v>1106</v>
      </c>
      <c r="G31" s="216">
        <f>'Balance Sheet - Restated'!C16</f>
        <v>1250</v>
      </c>
      <c r="H31" s="216">
        <f>'Balance Sheet - Restated'!D16</f>
        <v>1163</v>
      </c>
      <c r="I31" s="300">
        <f>('Operating Forecasts'!E8*$C$31)/365</f>
        <v>1323.2761251521197</v>
      </c>
      <c r="J31" s="300">
        <f>('Operating Forecasts'!F8*$C$31)/365</f>
        <v>1356.5131458023959</v>
      </c>
      <c r="K31" s="300">
        <f>('Operating Forecasts'!G8*$C$31)/365</f>
        <v>1396.7171110844376</v>
      </c>
      <c r="L31" s="300">
        <f>('Operating Forecasts'!H8*$C$31)/365</f>
        <v>1414.7580404359451</v>
      </c>
      <c r="M31" s="300">
        <f>('Operating Forecasts'!I8*$C$31)/365</f>
        <v>1423.4529075594576</v>
      </c>
      <c r="N31" s="300">
        <f>('Operating Forecasts'!J8*$C$31)/365</f>
        <v>1435.5744987253936</v>
      </c>
    </row>
    <row r="32" spans="1:14" ht="26.1" customHeight="1">
      <c r="A32" s="61" t="s">
        <v>417</v>
      </c>
      <c r="C32" s="216">
        <f>Assumptions!B35</f>
        <v>92.609847980685416</v>
      </c>
      <c r="E32" s="61" t="s">
        <v>415</v>
      </c>
      <c r="F32" s="216">
        <f>-'Balance Sheet - Restated'!B17</f>
        <v>2061</v>
      </c>
      <c r="G32" s="216">
        <f>-'Balance Sheet - Restated'!C17</f>
        <v>2269</v>
      </c>
      <c r="H32" s="216">
        <f>-'Balance Sheet - Restated'!D17</f>
        <v>2427</v>
      </c>
      <c r="I32" s="300">
        <f>('Operating Forecasts'!E15*$C$32)/365</f>
        <v>2258.7353099889538</v>
      </c>
      <c r="J32" s="300">
        <f>('Operating Forecasts'!F15*$C$32)/365</f>
        <v>2315.4684669730868</v>
      </c>
      <c r="K32" s="300">
        <f>('Operating Forecasts'!G15*$C$32)/365</f>
        <v>2384.0936875586085</v>
      </c>
      <c r="L32" s="300">
        <f>('Operating Forecasts'!H15*$C$32)/365</f>
        <v>2414.8882310229069</v>
      </c>
      <c r="M32" s="300">
        <f>('Operating Forecasts'!I15*$C$32)/365</f>
        <v>2429.7297316094018</v>
      </c>
      <c r="N32" s="300">
        <f>('Operating Forecasts'!J15*$C$32)/365</f>
        <v>2450.420398855138</v>
      </c>
    </row>
    <row r="33" spans="1:14" ht="26.1" customHeight="1">
      <c r="A33" s="61" t="s">
        <v>418</v>
      </c>
      <c r="C33" s="216">
        <f>Assumptions!B36</f>
        <v>35.081764424095823</v>
      </c>
      <c r="E33" s="61" t="s">
        <v>53</v>
      </c>
      <c r="F33" s="216">
        <f>'Balance Sheet - Restated'!B19</f>
        <v>1238</v>
      </c>
      <c r="G33" s="216">
        <f>'Balance Sheet - Restated'!C19</f>
        <v>1217</v>
      </c>
      <c r="H33" s="216">
        <f>'Balance Sheet - Restated'!D19</f>
        <v>1330</v>
      </c>
      <c r="I33" s="300">
        <f>('Operating Forecasts'!E8*$C$33)/365</f>
        <v>1341.1239521447203</v>
      </c>
      <c r="J33" s="300">
        <f>('Operating Forecasts'!F8*$C$33)/365</f>
        <v>1374.8092606338234</v>
      </c>
      <c r="K33" s="300">
        <f>('Operating Forecasts'!G8*$C$33)/365</f>
        <v>1415.5554811588424</v>
      </c>
      <c r="L33" s="300">
        <f>('Operating Forecasts'!H8*$C$33)/365</f>
        <v>1433.8397394571441</v>
      </c>
      <c r="M33" s="300">
        <f>('Operating Forecasts'!I8*$C$33)/365</f>
        <v>1442.6518795225577</v>
      </c>
      <c r="N33" s="300">
        <f>('Operating Forecasts'!J8*$C$33)/365</f>
        <v>1454.9369619341171</v>
      </c>
    </row>
    <row r="34" spans="1:14" ht="26.1" customHeight="1">
      <c r="A34" s="61"/>
      <c r="B34" s="315"/>
    </row>
    <row r="35" spans="1:14" ht="26.1" customHeight="1">
      <c r="A35" s="61"/>
    </row>
    <row r="36" spans="1:14" ht="26.1" customHeight="1">
      <c r="A36" s="61"/>
      <c r="B36" s="154"/>
    </row>
    <row r="37" spans="1:14" ht="26.1" customHeight="1">
      <c r="A37" s="61" t="s">
        <v>159</v>
      </c>
      <c r="C37" s="316">
        <f>Long_Term_Growth</f>
        <v>8.5156250000000006E-3</v>
      </c>
    </row>
    <row r="38" spans="1:14" ht="26.1" customHeight="1">
      <c r="A38" s="61"/>
    </row>
    <row r="39" spans="1:14" ht="26.1" customHeight="1">
      <c r="A39" s="61"/>
      <c r="F39" s="306"/>
      <c r="G39" s="306"/>
      <c r="H39" s="306"/>
      <c r="I39" s="306"/>
      <c r="J39" s="306"/>
      <c r="K39" s="306"/>
      <c r="L39" s="306"/>
      <c r="M39" s="306"/>
      <c r="N39" s="306"/>
    </row>
    <row r="40" spans="1:14" ht="26.1" customHeight="1">
      <c r="A40" s="61"/>
      <c r="F40" s="306"/>
      <c r="G40" s="306"/>
      <c r="H40" s="306"/>
      <c r="I40" s="306"/>
      <c r="J40" s="306"/>
      <c r="K40" s="306"/>
      <c r="L40" s="306"/>
      <c r="M40" s="306"/>
      <c r="N40" s="306"/>
    </row>
    <row r="41" spans="1:14" ht="26.1" customHeight="1">
      <c r="K41" s="21"/>
    </row>
  </sheetData>
  <phoneticPr fontId="40" type="noConversion"/>
  <pageMargins left="0.7" right="0.7" top="0.75" bottom="0.75" header="0.3" footer="0.3"/>
  <pageSetup paperSize="9"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4"/>
  <sheetViews>
    <sheetView zoomScaleNormal="100" workbookViewId="0"/>
  </sheetViews>
  <sheetFormatPr defaultColWidth="25.83203125" defaultRowHeight="24.95" customHeight="1"/>
  <cols>
    <col min="1" max="1" width="43.33203125" style="39" customWidth="1"/>
    <col min="2" max="16384" width="25.83203125" style="39"/>
  </cols>
  <sheetData>
    <row r="1" spans="1:12" ht="24.95" customHeight="1">
      <c r="A1" s="172" t="s">
        <v>422</v>
      </c>
    </row>
    <row r="2" spans="1:12" ht="24.95" customHeight="1">
      <c r="A2" s="87"/>
      <c r="L2" s="493"/>
    </row>
    <row r="3" spans="1:12" ht="24.95" customHeight="1">
      <c r="A3" s="454" t="s">
        <v>679</v>
      </c>
      <c r="B3" s="454" t="s">
        <v>474</v>
      </c>
      <c r="C3" s="464"/>
      <c r="D3" s="454" t="s">
        <v>86</v>
      </c>
      <c r="E3" s="454" t="s">
        <v>87</v>
      </c>
      <c r="F3" s="454" t="s">
        <v>88</v>
      </c>
      <c r="G3" s="454" t="s">
        <v>117</v>
      </c>
      <c r="H3" s="454" t="s">
        <v>118</v>
      </c>
      <c r="I3" s="454" t="s">
        <v>119</v>
      </c>
      <c r="J3" s="454" t="s">
        <v>548</v>
      </c>
      <c r="K3" s="454" t="s">
        <v>549</v>
      </c>
      <c r="L3" s="454" t="s">
        <v>550</v>
      </c>
    </row>
    <row r="4" spans="1:12" ht="24.95" customHeight="1">
      <c r="A4" s="203" t="s">
        <v>641</v>
      </c>
      <c r="B4" s="21"/>
      <c r="C4" s="21"/>
      <c r="D4" s="216">
        <f>'Income Statement - As Reported'!B32</f>
        <v>699</v>
      </c>
      <c r="E4" s="216">
        <f>'Income Statement - As Reported'!C32</f>
        <v>1254</v>
      </c>
      <c r="F4" s="216">
        <f>'Income Statement - As Reported'!D32</f>
        <v>1336</v>
      </c>
      <c r="G4" s="300">
        <f ca="1">'Operating Forecasts'!E53</f>
        <v>1000.9042805459819</v>
      </c>
      <c r="H4" s="300">
        <f ca="1">'Operating Forecasts'!F53</f>
        <v>1062.7522254786682</v>
      </c>
      <c r="I4" s="300">
        <f ca="1">'Operating Forecasts'!G53</f>
        <v>1094.7837007999801</v>
      </c>
      <c r="J4" s="300">
        <f ca="1">'Operating Forecasts'!H53</f>
        <v>1128.4517157663272</v>
      </c>
      <c r="K4" s="300">
        <f ca="1">'Operating Forecasts'!I53</f>
        <v>1151.0751472798238</v>
      </c>
      <c r="L4" s="300">
        <f ca="1">'Operating Forecasts'!J53</f>
        <v>1171.5063086179991</v>
      </c>
    </row>
    <row r="5" spans="1:12" ht="24.95" customHeight="1">
      <c r="A5" s="204" t="s">
        <v>295</v>
      </c>
      <c r="B5" s="166">
        <f>Assumptions!B61</f>
        <v>0.72706392398274267</v>
      </c>
      <c r="C5" s="21"/>
      <c r="D5" s="216">
        <f>'Income Statement - As Reported'!B25*'Income Statement - As Reported'!B27</f>
        <v>714</v>
      </c>
      <c r="E5" s="216">
        <f>'Income Statement - As Reported'!C25*'Income Statement - As Reported'!C27</f>
        <v>737.76</v>
      </c>
      <c r="F5" s="216">
        <f>'Income Statement - As Reported'!D25*'Income Statement - As Reported'!D27</f>
        <v>763.40000000000009</v>
      </c>
      <c r="G5" s="300">
        <f ca="1">G4*$B$5</f>
        <v>727.72139374488552</v>
      </c>
      <c r="H5" s="300">
        <f t="shared" ref="H5" ca="1" si="0">H4*$B$5</f>
        <v>772.68880327791294</v>
      </c>
      <c r="I5" s="300">
        <f ca="1">I4*$B$5</f>
        <v>795.97773341598247</v>
      </c>
      <c r="J5" s="300">
        <f t="shared" ref="J5:L5" ca="1" si="1">J4*$B$5</f>
        <v>820.45653249012446</v>
      </c>
      <c r="K5" s="300">
        <f t="shared" ca="1" si="1"/>
        <v>836.90521338028213</v>
      </c>
      <c r="L5" s="300">
        <f t="shared" ca="1" si="1"/>
        <v>851.75997371434039</v>
      </c>
    </row>
    <row r="6" spans="1:12" ht="24.95" customHeight="1">
      <c r="A6" s="203" t="s">
        <v>640</v>
      </c>
    </row>
    <row r="7" spans="1:12" ht="24.95" customHeight="1">
      <c r="A7" s="203" t="s">
        <v>321</v>
      </c>
    </row>
    <row r="8" spans="1:12" ht="24.95" customHeight="1">
      <c r="A8" s="203" t="s">
        <v>642</v>
      </c>
    </row>
    <row r="9" spans="1:12" ht="24.95" customHeight="1">
      <c r="A9" s="203"/>
    </row>
    <row r="10" spans="1:12" ht="24.95" customHeight="1">
      <c r="A10" s="202" t="s">
        <v>643</v>
      </c>
      <c r="B10" s="95"/>
      <c r="C10" s="95"/>
      <c r="D10" s="95"/>
      <c r="E10" s="95"/>
      <c r="F10" s="95"/>
      <c r="G10" s="95"/>
      <c r="H10" s="95"/>
      <c r="I10" s="95"/>
      <c r="J10" s="95"/>
      <c r="K10" s="95"/>
      <c r="L10" s="95"/>
    </row>
    <row r="11" spans="1:12" ht="24.95" customHeight="1">
      <c r="A11" s="205" t="s">
        <v>639</v>
      </c>
      <c r="F11" s="60"/>
      <c r="G11" s="216">
        <f>F14</f>
        <v>7652</v>
      </c>
      <c r="H11" s="216">
        <f t="shared" ref="H11:I11" ca="1" si="2">G14</f>
        <v>7925.1828868010962</v>
      </c>
      <c r="I11" s="216">
        <f t="shared" ca="1" si="2"/>
        <v>8215.24630900185</v>
      </c>
      <c r="J11" s="216">
        <f t="shared" ref="J11" ca="1" si="3">I14</f>
        <v>8514.052276385848</v>
      </c>
      <c r="K11" s="216">
        <f t="shared" ref="K11" ca="1" si="4">J14</f>
        <v>8822.0474596620497</v>
      </c>
      <c r="L11" s="216">
        <f t="shared" ref="L11" ca="1" si="5">K14</f>
        <v>9136.217393561592</v>
      </c>
    </row>
    <row r="12" spans="1:12" ht="24.95" customHeight="1">
      <c r="A12" s="206" t="s">
        <v>638</v>
      </c>
      <c r="F12" s="60"/>
      <c r="G12" s="216">
        <f ca="1">G4</f>
        <v>1000.9042805459819</v>
      </c>
      <c r="H12" s="216">
        <f ca="1">H4</f>
        <v>1062.7522254786682</v>
      </c>
      <c r="I12" s="216">
        <f ca="1">I4</f>
        <v>1094.7837007999801</v>
      </c>
      <c r="J12" s="216">
        <f t="shared" ref="J12:L12" ca="1" si="6">J4</f>
        <v>1128.4517157663272</v>
      </c>
      <c r="K12" s="216">
        <f t="shared" ca="1" si="6"/>
        <v>1151.0751472798238</v>
      </c>
      <c r="L12" s="216">
        <f t="shared" ca="1" si="6"/>
        <v>1171.5063086179991</v>
      </c>
    </row>
    <row r="13" spans="1:12" ht="24.95" customHeight="1">
      <c r="A13" s="205" t="s">
        <v>322</v>
      </c>
      <c r="B13" s="95"/>
      <c r="C13" s="95"/>
      <c r="D13" s="95"/>
      <c r="E13" s="95"/>
      <c r="F13" s="155"/>
      <c r="G13" s="314">
        <f ca="1">G5</f>
        <v>727.72139374488552</v>
      </c>
      <c r="H13" s="314">
        <f t="shared" ref="H13:L13" ca="1" si="7">H5</f>
        <v>772.68880327791294</v>
      </c>
      <c r="I13" s="314">
        <f t="shared" ca="1" si="7"/>
        <v>795.97773341598247</v>
      </c>
      <c r="J13" s="314">
        <f t="shared" ca="1" si="7"/>
        <v>820.45653249012446</v>
      </c>
      <c r="K13" s="314">
        <f t="shared" ca="1" si="7"/>
        <v>836.90521338028213</v>
      </c>
      <c r="L13" s="314">
        <f t="shared" ca="1" si="7"/>
        <v>851.75997371434039</v>
      </c>
    </row>
    <row r="14" spans="1:12" ht="24.95" customHeight="1">
      <c r="A14" s="207" t="s">
        <v>644</v>
      </c>
      <c r="F14" s="216">
        <f>'Balance Sheet - As Reported'!D56</f>
        <v>7652</v>
      </c>
      <c r="G14" s="300">
        <f ca="1">G11+G12-G13</f>
        <v>7925.1828868010962</v>
      </c>
      <c r="H14" s="300">
        <f ca="1">H11+H12-H13</f>
        <v>8215.24630900185</v>
      </c>
      <c r="I14" s="300">
        <f t="shared" ref="I14:L14" ca="1" si="8">I11+I12-I13</f>
        <v>8514.052276385848</v>
      </c>
      <c r="J14" s="300">
        <f t="shared" ca="1" si="8"/>
        <v>8822.0474596620497</v>
      </c>
      <c r="K14" s="300">
        <f t="shared" ca="1" si="8"/>
        <v>9136.217393561592</v>
      </c>
      <c r="L14" s="300">
        <f t="shared" ca="1" si="8"/>
        <v>9455.9637284652508</v>
      </c>
    </row>
    <row r="15" spans="1:12" ht="24.95" customHeight="1">
      <c r="A15" s="205"/>
      <c r="F15" s="60"/>
      <c r="G15" s="60"/>
      <c r="H15" s="60"/>
      <c r="I15" s="60"/>
    </row>
    <row r="16" spans="1:12" ht="24.95" customHeight="1">
      <c r="A16" s="436" t="s">
        <v>304</v>
      </c>
      <c r="D16" s="216">
        <f>'Balance Sheet - As Reported'!B51</f>
        <v>16</v>
      </c>
      <c r="E16" s="216">
        <f>'Balance Sheet - As Reported'!C51</f>
        <v>16</v>
      </c>
      <c r="F16" s="216">
        <f>'Balance Sheet - As Reported'!D51</f>
        <v>558</v>
      </c>
      <c r="G16" s="300">
        <v>558</v>
      </c>
      <c r="H16" s="300">
        <v>558</v>
      </c>
      <c r="I16" s="300">
        <v>558</v>
      </c>
      <c r="J16" s="300">
        <v>558</v>
      </c>
      <c r="K16" s="300">
        <v>558</v>
      </c>
      <c r="L16" s="300">
        <v>558</v>
      </c>
    </row>
    <row r="17" spans="1:12" ht="24.95" customHeight="1">
      <c r="A17" s="436" t="s">
        <v>645</v>
      </c>
      <c r="D17" s="216">
        <f>'Balance Sheet - As Reported'!B52</f>
        <v>105</v>
      </c>
      <c r="E17" s="216">
        <f>'Balance Sheet - As Reported'!C52</f>
        <v>105</v>
      </c>
      <c r="F17" s="216">
        <f>'Balance Sheet - As Reported'!D52</f>
        <v>105</v>
      </c>
      <c r="G17" s="300">
        <v>105</v>
      </c>
      <c r="H17" s="300">
        <v>105</v>
      </c>
      <c r="I17" s="300">
        <v>105</v>
      </c>
      <c r="J17" s="300">
        <v>105</v>
      </c>
      <c r="K17" s="300">
        <v>105</v>
      </c>
      <c r="L17" s="300">
        <v>105</v>
      </c>
    </row>
    <row r="18" spans="1:12" ht="24.95" customHeight="1">
      <c r="A18" s="436" t="s">
        <v>594</v>
      </c>
      <c r="D18" s="307">
        <f>'Balance Sheet - As Reported'!B54</f>
        <v>-3997</v>
      </c>
      <c r="E18" s="307">
        <f>'Balance Sheet - As Reported'!C54</f>
        <v>-4417</v>
      </c>
      <c r="F18" s="307">
        <f>'Balance Sheet - As Reported'!D54</f>
        <v>-4551</v>
      </c>
      <c r="G18" s="308">
        <f>AVERAGE(D18:F18)</f>
        <v>-4321.666666666667</v>
      </c>
      <c r="H18" s="308">
        <f t="shared" ref="H18:L18" si="9">AVERAGE(E18:G18)</f>
        <v>-4429.8888888888896</v>
      </c>
      <c r="I18" s="308">
        <f t="shared" si="9"/>
        <v>-4434.1851851851861</v>
      </c>
      <c r="J18" s="308">
        <f t="shared" si="9"/>
        <v>-4395.2469135802476</v>
      </c>
      <c r="K18" s="308">
        <f t="shared" si="9"/>
        <v>-4419.7736625514417</v>
      </c>
      <c r="L18" s="308">
        <f t="shared" si="9"/>
        <v>-4416.4019204389588</v>
      </c>
    </row>
    <row r="19" spans="1:12" ht="24.95" customHeight="1">
      <c r="A19" s="436" t="s">
        <v>592</v>
      </c>
      <c r="D19" s="216">
        <f>'Balance Sheet - As Reported'!B53</f>
        <v>806</v>
      </c>
      <c r="E19" s="216">
        <f>'Balance Sheet - As Reported'!C53</f>
        <v>878</v>
      </c>
      <c r="F19" s="216">
        <f>'Balance Sheet - As Reported'!D53</f>
        <v>895</v>
      </c>
      <c r="G19" s="300">
        <v>895</v>
      </c>
      <c r="H19" s="300">
        <v>895</v>
      </c>
      <c r="I19" s="300">
        <v>895</v>
      </c>
      <c r="J19" s="300">
        <v>895</v>
      </c>
      <c r="K19" s="300">
        <v>895</v>
      </c>
      <c r="L19" s="300">
        <v>895</v>
      </c>
    </row>
    <row r="20" spans="1:12" ht="24.95" customHeight="1">
      <c r="A20" s="437" t="s">
        <v>593</v>
      </c>
      <c r="B20" s="95"/>
      <c r="C20" s="95"/>
      <c r="D20" s="362">
        <f>'Balance Sheet - As Reported'!B55</f>
        <v>-1575</v>
      </c>
      <c r="E20" s="362">
        <f>'Balance Sheet - As Reported'!C55</f>
        <v>-1457</v>
      </c>
      <c r="F20" s="362">
        <f>'Balance Sheet - As Reported'!D55</f>
        <v>-1500</v>
      </c>
      <c r="G20" s="445">
        <f>-1500</f>
        <v>-1500</v>
      </c>
      <c r="H20" s="445">
        <f t="shared" ref="H20:L20" si="10">-1500</f>
        <v>-1500</v>
      </c>
      <c r="I20" s="445">
        <f t="shared" si="10"/>
        <v>-1500</v>
      </c>
      <c r="J20" s="445">
        <f t="shared" si="10"/>
        <v>-1500</v>
      </c>
      <c r="K20" s="445">
        <f t="shared" si="10"/>
        <v>-1500</v>
      </c>
      <c r="L20" s="445">
        <f t="shared" si="10"/>
        <v>-1500</v>
      </c>
    </row>
    <row r="21" spans="1:12" ht="24.95" customHeight="1">
      <c r="A21" s="34" t="s">
        <v>625</v>
      </c>
      <c r="F21" s="216"/>
      <c r="G21" s="300">
        <f ca="1">SUM(G14:G20)</f>
        <v>3661.5162201344292</v>
      </c>
      <c r="H21" s="300">
        <f t="shared" ref="H21:L21" ca="1" si="11">SUM(H14:H20)</f>
        <v>3843.3574201129604</v>
      </c>
      <c r="I21" s="300">
        <f t="shared" ca="1" si="11"/>
        <v>4137.8670912006619</v>
      </c>
      <c r="J21" s="300">
        <f t="shared" ca="1" si="11"/>
        <v>4484.8005460818022</v>
      </c>
      <c r="K21" s="300">
        <f t="shared" ca="1" si="11"/>
        <v>4774.4437310101503</v>
      </c>
      <c r="L21" s="300">
        <f t="shared" ca="1" si="11"/>
        <v>5097.5618080262921</v>
      </c>
    </row>
    <row r="22" spans="1:12" ht="24.95" customHeight="1">
      <c r="A22" s="146"/>
    </row>
    <row r="23" spans="1:12" ht="24.95" customHeight="1">
      <c r="A23" s="146"/>
    </row>
    <row r="24" spans="1:12" ht="24.95" customHeight="1">
      <c r="A24" s="454" t="s">
        <v>678</v>
      </c>
      <c r="B24" s="454" t="s">
        <v>474</v>
      </c>
      <c r="C24" s="464"/>
      <c r="D24" s="454" t="s">
        <v>86</v>
      </c>
      <c r="E24" s="454" t="s">
        <v>87</v>
      </c>
      <c r="F24" s="454" t="s">
        <v>88</v>
      </c>
      <c r="G24" s="454" t="s">
        <v>117</v>
      </c>
      <c r="H24" s="454" t="s">
        <v>118</v>
      </c>
      <c r="I24" s="454" t="s">
        <v>119</v>
      </c>
      <c r="J24" s="454" t="s">
        <v>548</v>
      </c>
      <c r="K24" s="454" t="s">
        <v>549</v>
      </c>
      <c r="L24" s="454" t="s">
        <v>550</v>
      </c>
    </row>
    <row r="25" spans="1:12" ht="24.95" customHeight="1">
      <c r="A25" s="147"/>
    </row>
    <row r="26" spans="1:12" ht="24.95" customHeight="1">
      <c r="A26" s="204" t="s">
        <v>326</v>
      </c>
      <c r="B26" s="252">
        <f>Assumptions!B47</f>
        <v>6.456499276809087E-2</v>
      </c>
      <c r="D26" s="216">
        <f>'Balance Sheet - Restated'!B39</f>
        <v>1069</v>
      </c>
      <c r="E26" s="318">
        <f>'Balance Sheet - Restated'!C39</f>
        <v>779</v>
      </c>
      <c r="F26" s="318">
        <f>'Balance Sheet - Restated'!D39</f>
        <v>686</v>
      </c>
      <c r="G26" s="319">
        <f>$B$26*'Operating Forecasts'!E7</f>
        <v>900.90181574020687</v>
      </c>
      <c r="H26" s="319">
        <f>$B$26*'Operating Forecasts'!F7</f>
        <v>923.52996695104071</v>
      </c>
      <c r="I26" s="319">
        <f>$B$26*'Operating Forecasts'!G7</f>
        <v>950.90129530352965</v>
      </c>
      <c r="J26" s="319">
        <f>$B$26*'Operating Forecasts'!H7</f>
        <v>963.18377036786694</v>
      </c>
      <c r="K26" s="319">
        <f>$B$26*'Operating Forecasts'!I7</f>
        <v>969.1033372899193</v>
      </c>
      <c r="L26" s="300">
        <f>$B$26*'Operating Forecasts'!J7</f>
        <v>977.35585789652873</v>
      </c>
    </row>
    <row r="27" spans="1:12" ht="24.95" customHeight="1">
      <c r="A27" s="203"/>
      <c r="B27" s="317"/>
      <c r="F27" s="318"/>
      <c r="G27" s="319"/>
      <c r="H27" s="319"/>
      <c r="I27" s="319"/>
      <c r="J27" s="72"/>
      <c r="K27" s="72"/>
      <c r="L27" s="72"/>
    </row>
    <row r="28" spans="1:12" ht="24.95" customHeight="1">
      <c r="A28" s="204" t="s">
        <v>327</v>
      </c>
      <c r="B28" s="317"/>
      <c r="D28" s="216">
        <f>'Balance Sheet - Restated'!B40</f>
        <v>6698</v>
      </c>
      <c r="E28" s="216">
        <f>'Balance Sheet - Restated'!C40</f>
        <v>7836</v>
      </c>
      <c r="F28" s="216">
        <f>'Balance Sheet - Restated'!D40</f>
        <v>8207</v>
      </c>
      <c r="G28" s="300">
        <f>AVERAGE('Operating Forecasts'!B92:D92)</f>
        <v>7580.333333333333</v>
      </c>
      <c r="H28" s="300">
        <f>AVERAGE('Operating Forecasts'!C92:E92)</f>
        <v>7874.4444444444443</v>
      </c>
      <c r="I28" s="300">
        <f>AVERAGE('Operating Forecasts'!D92:F92)</f>
        <v>7887.2592592592591</v>
      </c>
      <c r="J28" s="300">
        <f>AVERAGE('Operating Forecasts'!E92:G92)</f>
        <v>7780.6790123456785</v>
      </c>
      <c r="K28" s="300">
        <f>AVERAGE('Operating Forecasts'!F92:H92)</f>
        <v>7847.4609053497943</v>
      </c>
      <c r="L28" s="300">
        <f>AVERAGE('Operating Forecasts'!G92:I92)</f>
        <v>7838.4663923182443</v>
      </c>
    </row>
    <row r="29" spans="1:12" ht="24.95" customHeight="1">
      <c r="A29" s="203"/>
      <c r="B29" s="317"/>
      <c r="F29" s="318"/>
      <c r="G29" s="319"/>
      <c r="H29" s="319"/>
      <c r="I29" s="319"/>
      <c r="J29" s="72"/>
      <c r="K29" s="72"/>
      <c r="L29" s="72"/>
    </row>
    <row r="30" spans="1:12" ht="24.95" customHeight="1">
      <c r="A30" s="204" t="s">
        <v>92</v>
      </c>
      <c r="B30" s="252">
        <f>Assumptions!B64</f>
        <v>3.1841678428815669E-2</v>
      </c>
      <c r="D30" s="216">
        <f>'Income Statement - As Reported'!B18</f>
        <v>406</v>
      </c>
      <c r="E30" s="216">
        <f>'Income Statement - As Reported'!C18</f>
        <v>256</v>
      </c>
      <c r="F30" s="216">
        <f>'Income Statement - As Reported'!D18</f>
        <v>287</v>
      </c>
      <c r="G30" s="319">
        <f>AVERAGE(F31:G31)*$B$30</f>
        <v>276.61240428171294</v>
      </c>
      <c r="H30" s="319">
        <f>AVERAGE(G31:H31)*$B$30</f>
        <v>275.099517164286</v>
      </c>
      <c r="I30" s="319">
        <f>AVERAGE(H31:I31)*$B$30</f>
        <v>280.78206915661764</v>
      </c>
      <c r="J30" s="319">
        <f t="shared" ref="J30:L30" si="12">AVERAGE(I31:J31)*$B$30</f>
        <v>279.92056661674275</v>
      </c>
      <c r="K30" s="319">
        <f t="shared" si="12"/>
        <v>279.57673520699132</v>
      </c>
      <c r="L30" s="319">
        <f t="shared" si="12"/>
        <v>280.72239031903274</v>
      </c>
    </row>
    <row r="31" spans="1:12" ht="24.95" customHeight="1">
      <c r="A31" s="203" t="s">
        <v>709</v>
      </c>
      <c r="F31" s="216">
        <f>F26+F28</f>
        <v>8893</v>
      </c>
      <c r="G31" s="216">
        <f t="shared" ref="G31:H31" si="13">G26+G28</f>
        <v>8481.23514907354</v>
      </c>
      <c r="H31" s="216">
        <f t="shared" si="13"/>
        <v>8797.9744113954857</v>
      </c>
      <c r="I31" s="216">
        <f>I26+I28</f>
        <v>8838.1605545627881</v>
      </c>
      <c r="J31" s="216">
        <f t="shared" ref="J31:L31" si="14">J26+J28</f>
        <v>8743.862782713546</v>
      </c>
      <c r="K31" s="216">
        <f t="shared" si="14"/>
        <v>8816.5642426397135</v>
      </c>
      <c r="L31" s="216">
        <f t="shared" si="14"/>
        <v>8815.8222502147728</v>
      </c>
    </row>
    <row r="32" spans="1:12" ht="24.95" customHeight="1">
      <c r="A32" s="148"/>
    </row>
    <row r="33" spans="1:12" ht="24.95" customHeight="1">
      <c r="A33" s="61" t="s">
        <v>75</v>
      </c>
      <c r="D33" s="307">
        <f>'Balance Sheet - Restated'!B41</f>
        <v>-22</v>
      </c>
      <c r="E33" s="216">
        <f>'Balance Sheet - Restated'!C41</f>
        <v>5</v>
      </c>
      <c r="F33" s="216">
        <f>'Balance Sheet - Restated'!D41</f>
        <v>7</v>
      </c>
      <c r="G33" s="300">
        <v>0</v>
      </c>
      <c r="H33" s="300">
        <v>0</v>
      </c>
      <c r="I33" s="300">
        <v>0</v>
      </c>
      <c r="J33" s="300">
        <v>0</v>
      </c>
      <c r="K33" s="300">
        <v>0</v>
      </c>
      <c r="L33" s="300">
        <v>0</v>
      </c>
    </row>
    <row r="34" spans="1:12" ht="24.95" customHeight="1">
      <c r="A34" s="61" t="s">
        <v>76</v>
      </c>
      <c r="D34" s="216">
        <f>'Balance Sheet - Restated'!B42</f>
        <v>64</v>
      </c>
      <c r="E34" s="216">
        <f>'Balance Sheet - Restated'!C42</f>
        <v>54</v>
      </c>
      <c r="F34" s="216">
        <f>'Balance Sheet - Restated'!D42</f>
        <v>22</v>
      </c>
      <c r="G34" s="300">
        <v>0</v>
      </c>
      <c r="H34" s="300">
        <v>0</v>
      </c>
      <c r="I34" s="300">
        <v>0</v>
      </c>
      <c r="J34" s="300">
        <v>0</v>
      </c>
      <c r="K34" s="300">
        <v>0</v>
      </c>
      <c r="L34" s="300">
        <v>0</v>
      </c>
    </row>
    <row r="35" spans="1:12" ht="24.95" customHeight="1">
      <c r="A35" s="148"/>
    </row>
    <row r="36" spans="1:12" ht="24.95" customHeight="1">
      <c r="A36" s="454" t="s">
        <v>705</v>
      </c>
      <c r="B36" s="454" t="s">
        <v>474</v>
      </c>
      <c r="C36" s="464"/>
      <c r="D36" s="454" t="s">
        <v>86</v>
      </c>
      <c r="E36" s="454" t="s">
        <v>87</v>
      </c>
      <c r="F36" s="454" t="s">
        <v>88</v>
      </c>
      <c r="G36" s="454" t="s">
        <v>117</v>
      </c>
      <c r="H36" s="454" t="s">
        <v>118</v>
      </c>
      <c r="I36" s="454" t="s">
        <v>119</v>
      </c>
      <c r="J36" s="454" t="s">
        <v>548</v>
      </c>
      <c r="K36" s="454" t="s">
        <v>549</v>
      </c>
      <c r="L36" s="454" t="s">
        <v>550</v>
      </c>
    </row>
    <row r="37" spans="1:12" ht="24.95" customHeight="1">
      <c r="A37" s="147"/>
    </row>
    <row r="38" spans="1:12" ht="24.95" customHeight="1">
      <c r="A38" s="202" t="s">
        <v>708</v>
      </c>
      <c r="B38" s="95"/>
      <c r="C38" s="95"/>
      <c r="D38" s="95"/>
      <c r="E38" s="95"/>
      <c r="F38" s="95"/>
      <c r="G38" s="95"/>
      <c r="H38" s="95"/>
      <c r="I38" s="95"/>
    </row>
    <row r="39" spans="1:12" ht="24.95" customHeight="1">
      <c r="A39" s="63" t="s">
        <v>706</v>
      </c>
      <c r="F39" s="60"/>
      <c r="G39" s="216">
        <f>F41</f>
        <v>321</v>
      </c>
      <c r="H39" s="306">
        <f ca="1">G41</f>
        <v>493.86342614250725</v>
      </c>
      <c r="I39" s="216">
        <f ca="1">H41</f>
        <v>1039.2639661749213</v>
      </c>
      <c r="J39" s="447">
        <f t="shared" ref="J39:L39" ca="1" si="15">I41</f>
        <v>1360.876619752094</v>
      </c>
      <c r="K39" s="447">
        <f t="shared" ca="1" si="15"/>
        <v>1638.2151404520089</v>
      </c>
      <c r="L39" s="447">
        <f t="shared" ca="1" si="15"/>
        <v>2084.2920631129714</v>
      </c>
    </row>
    <row r="40" spans="1:12" ht="24.95" customHeight="1">
      <c r="A40" s="183" t="s">
        <v>386</v>
      </c>
      <c r="B40" s="95"/>
      <c r="C40" s="95"/>
      <c r="D40" s="95"/>
      <c r="E40" s="95"/>
      <c r="F40" s="155"/>
      <c r="G40" s="323">
        <f ca="1">'Operating Forecasts'!E139</f>
        <v>172.86342614250725</v>
      </c>
      <c r="H40" s="93">
        <f ca="1">'Operating Forecasts'!F139</f>
        <v>545.40054003241403</v>
      </c>
      <c r="I40" s="93">
        <f ca="1">'Operating Forecasts'!G139</f>
        <v>321.61265357717275</v>
      </c>
      <c r="J40" s="391">
        <f ca="1">'Operating Forecasts'!H139</f>
        <v>277.33852069991485</v>
      </c>
      <c r="K40" s="93">
        <f ca="1">'Operating Forecasts'!I139</f>
        <v>446.07692266096251</v>
      </c>
      <c r="L40" s="399">
        <f ca="1">'Operating Forecasts'!J139</f>
        <v>314.28970788907145</v>
      </c>
    </row>
    <row r="41" spans="1:12" ht="24.95" customHeight="1">
      <c r="A41" s="208" t="s">
        <v>707</v>
      </c>
      <c r="F41" s="216">
        <f>-'Balance Sheet - Restated'!D44</f>
        <v>321</v>
      </c>
      <c r="G41" s="322">
        <f ca="1">G39+G40</f>
        <v>493.86342614250725</v>
      </c>
      <c r="H41" s="300">
        <f ca="1">SUM(H39:H40)</f>
        <v>1039.2639661749213</v>
      </c>
      <c r="I41" s="300">
        <f ca="1">SUM(I39:I40)</f>
        <v>1360.876619752094</v>
      </c>
      <c r="J41" s="300">
        <f t="shared" ref="J41:L41" ca="1" si="16">SUM(J39:J40)</f>
        <v>1638.2151404520089</v>
      </c>
      <c r="K41" s="300">
        <f t="shared" ca="1" si="16"/>
        <v>2084.2920631129714</v>
      </c>
      <c r="L41" s="300">
        <f t="shared" ca="1" si="16"/>
        <v>2398.5817710020428</v>
      </c>
    </row>
    <row r="42" spans="1:12" ht="24.95" customHeight="1">
      <c r="A42" s="63"/>
      <c r="F42" s="60"/>
      <c r="G42" s="60"/>
      <c r="H42" s="60"/>
      <c r="I42" s="60"/>
    </row>
    <row r="43" spans="1:12" ht="24.95" customHeight="1">
      <c r="A43" s="204" t="s">
        <v>437</v>
      </c>
      <c r="B43" s="252">
        <f>Assumptions!B67</f>
        <v>4.2620853838364101E-2</v>
      </c>
      <c r="F43" s="60"/>
      <c r="G43" s="322">
        <f ca="1">AVERAGE(F41:G41)*IF(AVERAGE(F41:G41)&gt;0,$B$43,$B$30)</f>
        <v>17.3650874919242</v>
      </c>
      <c r="H43" s="322">
        <f ca="1">AVERAGE(G41:H41)*IF(AVERAGE(G41:H41)&gt;0,$B$43,$B$30)</f>
        <v>32.671599251776712</v>
      </c>
      <c r="I43" s="322">
        <f t="shared" ref="I43" ca="1" si="17">AVERAGE(H41:I41)*IF(AVERAGE(H41:I41)&gt;0,$B$43,$B$30)</f>
        <v>51.148020552160446</v>
      </c>
      <c r="J43" s="322">
        <f t="shared" ref="J43" ca="1" si="18">AVERAGE(I41:J41)*IF(AVERAGE(I41:J41)&gt;0,$B$43,$B$30)</f>
        <v>63.91192577975059</v>
      </c>
      <c r="K43" s="322">
        <f t="shared" ref="K43" ca="1" si="19">AVERAGE(J41:K41)*IF(AVERAGE(J41:K41)&gt;0,$B$43,$B$30)</f>
        <v>79.328217717700241</v>
      </c>
      <c r="L43" s="322">
        <f t="shared" ref="L43" ca="1" si="20">AVERAGE(K41:L41)*IF(AVERAGE(K41:L41)&gt;0,$B$43,$B$30)</f>
        <v>95.531955229821463</v>
      </c>
    </row>
    <row r="44" spans="1:12" ht="24.95" customHeight="1">
      <c r="A44" s="63"/>
    </row>
  </sheetData>
  <phoneticPr fontId="40" type="noConversion"/>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84"/>
  <sheetViews>
    <sheetView workbookViewId="0">
      <selection activeCell="B37" sqref="B37:D37"/>
    </sheetView>
  </sheetViews>
  <sheetFormatPr defaultColWidth="25.83203125" defaultRowHeight="24.95" customHeight="1"/>
  <cols>
    <col min="1" max="1" width="48.33203125" style="39" customWidth="1"/>
    <col min="2" max="5" width="25.83203125" style="39"/>
    <col min="6" max="6" width="43.33203125" style="39" customWidth="1"/>
    <col min="7" max="16384" width="25.83203125" style="39"/>
  </cols>
  <sheetData>
    <row r="1" spans="1:9" ht="24.95" customHeight="1">
      <c r="A1" s="72" t="s">
        <v>179</v>
      </c>
      <c r="B1" s="72"/>
      <c r="C1" s="72"/>
      <c r="D1" s="72"/>
      <c r="G1" s="39">
        <v>2019</v>
      </c>
      <c r="H1" s="39">
        <v>2020</v>
      </c>
      <c r="I1" s="39">
        <v>2021</v>
      </c>
    </row>
    <row r="3" spans="1:9" ht="24.95" customHeight="1">
      <c r="A3" s="72" t="s">
        <v>180</v>
      </c>
      <c r="B3" s="72">
        <f>SUM(B5:B8)</f>
        <v>3335.8922447463351</v>
      </c>
      <c r="C3" s="72">
        <f>SUM(C5:C8)</f>
        <v>3492.2648740065406</v>
      </c>
      <c r="D3" s="72">
        <f>SUM(D5:D8)</f>
        <v>3726.1715378726612</v>
      </c>
      <c r="F3" s="39" t="s">
        <v>264</v>
      </c>
    </row>
    <row r="4" spans="1:9" ht="24.95" customHeight="1">
      <c r="F4" s="39" t="s">
        <v>50</v>
      </c>
      <c r="G4" s="39">
        <f>B12</f>
        <v>3688.3733416354312</v>
      </c>
      <c r="H4" s="39">
        <f t="shared" ref="H4:I4" si="0">C12</f>
        <v>3689.6200004433504</v>
      </c>
      <c r="I4" s="39">
        <f t="shared" si="0"/>
        <v>3657.4933931921923</v>
      </c>
    </row>
    <row r="5" spans="1:9" ht="24.95" customHeight="1">
      <c r="A5" s="39" t="s">
        <v>181</v>
      </c>
      <c r="B5" s="39">
        <v>417.53356176902798</v>
      </c>
      <c r="C5" s="39">
        <v>575.02495804908801</v>
      </c>
      <c r="D5" s="39">
        <v>788.97581936576296</v>
      </c>
      <c r="F5" s="39" t="s">
        <v>51</v>
      </c>
      <c r="G5" s="39">
        <f>B13+B14</f>
        <v>8624.2333333333299</v>
      </c>
      <c r="H5" s="39">
        <f>C13+C14</f>
        <v>8624.2333333333299</v>
      </c>
      <c r="I5" s="39">
        <f>D13+D14</f>
        <v>8624.2333333333299</v>
      </c>
    </row>
    <row r="6" spans="1:9" ht="24.95" customHeight="1">
      <c r="A6" s="39" t="s">
        <v>182</v>
      </c>
      <c r="B6" s="39">
        <v>1424.50618916809</v>
      </c>
      <c r="C6" s="39">
        <v>1415.8064293247701</v>
      </c>
      <c r="D6" s="39">
        <v>1425.9915816852601</v>
      </c>
      <c r="F6" s="72" t="s">
        <v>52</v>
      </c>
      <c r="G6" s="72">
        <f>SUM(G4:G5)</f>
        <v>12312.606674968762</v>
      </c>
      <c r="H6" s="72">
        <f>SUM(H4:H5)</f>
        <v>12313.85333377668</v>
      </c>
      <c r="I6" s="72">
        <f>SUM(I4:I5)</f>
        <v>12281.726726525521</v>
      </c>
    </row>
    <row r="7" spans="1:9" ht="24.95" customHeight="1">
      <c r="A7" s="39" t="s">
        <v>183</v>
      </c>
      <c r="B7" s="39">
        <v>1344.4781744501599</v>
      </c>
      <c r="C7" s="39">
        <v>1352.3249754900899</v>
      </c>
      <c r="D7" s="39">
        <v>1361.6030958984102</v>
      </c>
    </row>
    <row r="8" spans="1:9" ht="24.95" customHeight="1">
      <c r="A8" s="39" t="s">
        <v>184</v>
      </c>
      <c r="B8" s="39">
        <v>149.37431935905701</v>
      </c>
      <c r="C8" s="39">
        <v>149.10851114259299</v>
      </c>
      <c r="D8" s="39">
        <v>149.601040923228</v>
      </c>
      <c r="F8" s="39" t="s">
        <v>265</v>
      </c>
    </row>
    <row r="9" spans="1:9" ht="24.95" customHeight="1">
      <c r="F9" s="39" t="s">
        <v>266</v>
      </c>
      <c r="G9" s="39">
        <f>B6</f>
        <v>1424.50618916809</v>
      </c>
      <c r="H9" s="39">
        <f>C6</f>
        <v>1415.8064293247701</v>
      </c>
      <c r="I9" s="39">
        <f t="shared" ref="I9" si="1">D6</f>
        <v>1425.9915816852601</v>
      </c>
    </row>
    <row r="10" spans="1:9" ht="24.95" customHeight="1">
      <c r="A10" s="72" t="s">
        <v>185</v>
      </c>
      <c r="B10" s="72">
        <f>SUM(B12:B15)</f>
        <v>13913.841618447796</v>
      </c>
      <c r="C10" s="97">
        <f>SUM(C12:C15)</f>
        <v>14085.170264136515</v>
      </c>
      <c r="D10" s="97">
        <f>SUM(D12:D15)</f>
        <v>14176.077437881158</v>
      </c>
      <c r="F10" s="39" t="s">
        <v>267</v>
      </c>
      <c r="G10" s="39">
        <f>-B26</f>
        <v>-2336.62803901401</v>
      </c>
      <c r="H10" s="39">
        <f>-C26</f>
        <v>-2320.4578680130703</v>
      </c>
      <c r="I10" s="39">
        <f>-D26</f>
        <v>-2323.9653019442098</v>
      </c>
    </row>
    <row r="11" spans="1:9" ht="24.95" customHeight="1">
      <c r="F11" s="39" t="s">
        <v>53</v>
      </c>
      <c r="G11" s="39">
        <f>B7</f>
        <v>1344.4781744501599</v>
      </c>
      <c r="H11" s="39">
        <f t="shared" ref="H11:I11" si="2">C7</f>
        <v>1352.3249754900899</v>
      </c>
      <c r="I11" s="39">
        <f t="shared" si="2"/>
        <v>1361.6030958984102</v>
      </c>
    </row>
    <row r="12" spans="1:9" ht="24.95" customHeight="1">
      <c r="A12" s="39" t="s">
        <v>186</v>
      </c>
      <c r="B12" s="39">
        <v>3688.3733416354312</v>
      </c>
      <c r="C12" s="59">
        <f>B12-'Operating Forecasts2'!F19-Foglio2!C66</f>
        <v>3689.6200004433504</v>
      </c>
      <c r="D12" s="59">
        <f>C12-'Operating Forecasts2'!G19-Foglio2!D66</f>
        <v>3657.4933931921923</v>
      </c>
      <c r="F12" s="59" t="s">
        <v>268</v>
      </c>
      <c r="G12" s="39">
        <f>-B32</f>
        <v>-622.18352000000004</v>
      </c>
      <c r="H12" s="39">
        <f t="shared" ref="H12:I12" si="3">-C32</f>
        <v>-615.522850132234</v>
      </c>
      <c r="I12" s="39">
        <f t="shared" si="3"/>
        <v>-610.33840722823504</v>
      </c>
    </row>
    <row r="13" spans="1:9" ht="24.95" customHeight="1">
      <c r="A13" s="39" t="s">
        <v>187</v>
      </c>
      <c r="B13" s="39">
        <v>5844.7333333333299</v>
      </c>
      <c r="C13" s="39">
        <v>5844.7333333333299</v>
      </c>
      <c r="D13" s="39">
        <v>5844.7333333333299</v>
      </c>
      <c r="F13" s="59" t="s">
        <v>269</v>
      </c>
      <c r="G13" s="39">
        <f>B8-B27</f>
        <v>-1412.1399980543931</v>
      </c>
      <c r="H13" s="39">
        <f>C8-C27</f>
        <v>-1409.0537820449069</v>
      </c>
      <c r="I13" s="39">
        <f>D8-D27</f>
        <v>-1414.7723911773219</v>
      </c>
    </row>
    <row r="14" spans="1:9" ht="24.95" customHeight="1">
      <c r="A14" s="39" t="s">
        <v>188</v>
      </c>
      <c r="B14" s="39">
        <v>2779.5</v>
      </c>
      <c r="C14" s="39">
        <v>2779.5</v>
      </c>
      <c r="D14" s="39">
        <v>2779.5</v>
      </c>
      <c r="F14" s="72" t="s">
        <v>270</v>
      </c>
      <c r="G14" s="72">
        <f>SUM(G9:G13)</f>
        <v>-1601.9671934501532</v>
      </c>
      <c r="H14" s="72">
        <f>SUM(H9:H13)</f>
        <v>-1576.9030953753513</v>
      </c>
      <c r="I14" s="72">
        <f>SUM(I9:I13)</f>
        <v>-1561.4814227660963</v>
      </c>
    </row>
    <row r="15" spans="1:9" ht="24.95" customHeight="1">
      <c r="A15" s="39" t="s">
        <v>184</v>
      </c>
      <c r="B15" s="39">
        <v>1601.2349434790347</v>
      </c>
      <c r="C15" s="39">
        <v>1771.3169303598347</v>
      </c>
      <c r="D15" s="39">
        <v>1894.3507113556373</v>
      </c>
    </row>
    <row r="16" spans="1:9" ht="24.95" customHeight="1">
      <c r="F16" s="39" t="s">
        <v>271</v>
      </c>
    </row>
    <row r="17" spans="1:9" ht="24.95" customHeight="1">
      <c r="A17" s="72" t="s">
        <v>189</v>
      </c>
      <c r="B17" s="72">
        <f>B3+B10</f>
        <v>17249.733863194131</v>
      </c>
      <c r="C17" s="72">
        <f>C3+C10</f>
        <v>17577.435138143057</v>
      </c>
      <c r="D17" s="72">
        <f>D3+D10</f>
        <v>17902.248975753821</v>
      </c>
      <c r="F17" s="39" t="s">
        <v>272</v>
      </c>
      <c r="G17" s="39">
        <f>-B33</f>
        <v>-620.33333333333303</v>
      </c>
      <c r="H17" s="39">
        <f>-C33</f>
        <v>-620.33333333333303</v>
      </c>
      <c r="I17" s="39">
        <f>-D33</f>
        <v>-620.33333333333303</v>
      </c>
    </row>
    <row r="18" spans="1:9" ht="24.95" customHeight="1">
      <c r="A18" s="72"/>
      <c r="B18" s="72"/>
      <c r="C18" s="72"/>
      <c r="D18" s="72"/>
      <c r="F18" s="39" t="s">
        <v>273</v>
      </c>
      <c r="G18" s="39">
        <f>B15</f>
        <v>1601.2349434790347</v>
      </c>
      <c r="H18" s="39">
        <f t="shared" ref="H18:I18" si="4">C15</f>
        <v>1771.3169303598347</v>
      </c>
      <c r="I18" s="39">
        <f t="shared" si="4"/>
        <v>1894.3507113556373</v>
      </c>
    </row>
    <row r="19" spans="1:9" ht="24.95" customHeight="1">
      <c r="A19" s="39" t="s">
        <v>190</v>
      </c>
      <c r="F19" s="72" t="s">
        <v>77</v>
      </c>
      <c r="G19" s="72">
        <f>SUM(G17:G18)</f>
        <v>980.90161014570162</v>
      </c>
      <c r="H19" s="72">
        <f t="shared" ref="H19:I19" si="5">SUM(H17:H18)</f>
        <v>1150.9835970265017</v>
      </c>
      <c r="I19" s="72">
        <f t="shared" si="5"/>
        <v>1274.0173780223042</v>
      </c>
    </row>
    <row r="21" spans="1:9" ht="24.95" customHeight="1">
      <c r="A21" s="72" t="s">
        <v>191</v>
      </c>
      <c r="B21" s="72">
        <f>SUM(B23:B27)</f>
        <v>4775.4848052897241</v>
      </c>
      <c r="C21" s="72">
        <f>SUM(C23:C27)</f>
        <v>4968.1227836196158</v>
      </c>
      <c r="D21" s="72">
        <f>SUM(D23:D27)</f>
        <v>4973.4917647617331</v>
      </c>
      <c r="F21" s="72" t="s">
        <v>280</v>
      </c>
      <c r="G21" s="72">
        <f>SUM(G6+G14+G19)</f>
        <v>11691.54109166431</v>
      </c>
      <c r="H21" s="72">
        <f t="shared" ref="H21:I21" si="6">SUM(H6+H14+H19)</f>
        <v>11887.93383542783</v>
      </c>
      <c r="I21" s="72">
        <f t="shared" si="6"/>
        <v>11994.262681781729</v>
      </c>
    </row>
    <row r="23" spans="1:9" ht="24.95" customHeight="1">
      <c r="A23" s="39" t="s">
        <v>192</v>
      </c>
      <c r="B23" s="39">
        <v>579.5</v>
      </c>
      <c r="C23" s="39">
        <v>642</v>
      </c>
      <c r="D23" s="39">
        <v>704.5</v>
      </c>
      <c r="F23" s="39" t="s">
        <v>274</v>
      </c>
    </row>
    <row r="24" spans="1:9" ht="24.95" customHeight="1">
      <c r="A24" s="39" t="s">
        <v>193</v>
      </c>
      <c r="B24" s="39">
        <v>123.859342173673</v>
      </c>
      <c r="C24" s="39">
        <v>141.345172602069</v>
      </c>
      <c r="D24" s="39">
        <v>80.099519800390894</v>
      </c>
      <c r="F24" s="39" t="s">
        <v>275</v>
      </c>
      <c r="G24" s="39">
        <f>B23+B24+B25</f>
        <v>877.34244886226395</v>
      </c>
      <c r="H24" s="39">
        <f>C23+C24+C25</f>
        <v>1089.502622419046</v>
      </c>
      <c r="I24" s="39">
        <f>D23+D24+D25</f>
        <v>1085.1530307169728</v>
      </c>
    </row>
    <row r="25" spans="1:9" ht="24.95" customHeight="1">
      <c r="A25" s="39" t="s">
        <v>194</v>
      </c>
      <c r="B25" s="39">
        <v>173.98310668859099</v>
      </c>
      <c r="C25" s="39">
        <v>306.15744981697702</v>
      </c>
      <c r="D25" s="39">
        <v>300.55351091658201</v>
      </c>
      <c r="F25" s="39" t="s">
        <v>276</v>
      </c>
      <c r="G25" s="39">
        <f>B31</f>
        <v>7617.7291920319003</v>
      </c>
      <c r="H25" s="39">
        <f t="shared" ref="H25:I25" si="7">C31</f>
        <v>7245.6279078184007</v>
      </c>
      <c r="I25" s="39">
        <f t="shared" si="7"/>
        <v>7068.1597360345695</v>
      </c>
    </row>
    <row r="26" spans="1:9" ht="24.95" customHeight="1">
      <c r="A26" s="39" t="s">
        <v>195</v>
      </c>
      <c r="B26" s="39">
        <v>2336.62803901401</v>
      </c>
      <c r="C26" s="39">
        <v>2320.4578680130703</v>
      </c>
      <c r="D26" s="39">
        <v>2323.9653019442098</v>
      </c>
      <c r="F26" s="72" t="s">
        <v>68</v>
      </c>
      <c r="G26" s="72">
        <f>SUM(G24:G25)</f>
        <v>8495.0716408941644</v>
      </c>
      <c r="H26" s="72">
        <f>SUM(H24:H25)</f>
        <v>8335.1305302374458</v>
      </c>
      <c r="I26" s="72">
        <f>SUM(I24:I25)</f>
        <v>8153.3127667515419</v>
      </c>
    </row>
    <row r="27" spans="1:9" ht="24.95" customHeight="1">
      <c r="A27" s="39" t="s">
        <v>196</v>
      </c>
      <c r="B27" s="39">
        <v>1561.51431741345</v>
      </c>
      <c r="C27" s="39">
        <v>1558.1622931874999</v>
      </c>
      <c r="D27" s="39">
        <v>1564.37343210055</v>
      </c>
      <c r="F27" s="39" t="s">
        <v>175</v>
      </c>
      <c r="G27" s="39">
        <f>-B5</f>
        <v>-417.53356176902798</v>
      </c>
      <c r="H27" s="39">
        <f t="shared" ref="H27:I27" si="8">-C5</f>
        <v>-575.02495804908801</v>
      </c>
      <c r="I27" s="39">
        <f t="shared" si="8"/>
        <v>-788.97581936576296</v>
      </c>
    </row>
    <row r="28" spans="1:9" ht="24.95" customHeight="1">
      <c r="F28" s="72" t="s">
        <v>62</v>
      </c>
      <c r="G28" s="72">
        <f>SUM(G26:G27)</f>
        <v>8077.5380791251364</v>
      </c>
      <c r="H28" s="72">
        <f t="shared" ref="H28:I28" si="9">SUM(H26:H27)</f>
        <v>7760.1055721883577</v>
      </c>
      <c r="I28" s="72">
        <f t="shared" si="9"/>
        <v>7364.3369473857792</v>
      </c>
    </row>
    <row r="29" spans="1:9" ht="24.95" customHeight="1">
      <c r="A29" s="72" t="s">
        <v>197</v>
      </c>
      <c r="B29" s="72">
        <f>SUM(B31:B33)</f>
        <v>8860.2460453652347</v>
      </c>
      <c r="C29" s="72">
        <f>SUM(C31:C33)</f>
        <v>8481.4840912839682</v>
      </c>
      <c r="D29" s="72">
        <f t="shared" ref="D29" si="10">SUM(D31:D33)</f>
        <v>8298.8314765961368</v>
      </c>
    </row>
    <row r="30" spans="1:9" ht="24.95" customHeight="1">
      <c r="F30" s="39" t="s">
        <v>277</v>
      </c>
    </row>
    <row r="31" spans="1:9" ht="24.95" customHeight="1">
      <c r="A31" s="39" t="s">
        <v>198</v>
      </c>
      <c r="B31" s="39">
        <v>7617.7291920319003</v>
      </c>
      <c r="C31" s="39">
        <v>7245.6279078184007</v>
      </c>
      <c r="D31" s="39">
        <v>7068.1597360345695</v>
      </c>
    </row>
    <row r="32" spans="1:9" ht="24.95" customHeight="1">
      <c r="A32" s="39" t="s">
        <v>199</v>
      </c>
      <c r="B32" s="39">
        <v>622.18352000000004</v>
      </c>
      <c r="C32" s="39">
        <v>615.522850132234</v>
      </c>
      <c r="D32" s="39">
        <v>610.33840722823504</v>
      </c>
      <c r="F32" s="39" t="s">
        <v>278</v>
      </c>
      <c r="G32" s="39">
        <f ca="1">B37</f>
        <v>2746.8495534677645</v>
      </c>
      <c r="H32" s="39">
        <f t="shared" ref="H32:I32" ca="1" si="11">C37</f>
        <v>2824.4409756685186</v>
      </c>
      <c r="I32" s="39">
        <f t="shared" ca="1" si="11"/>
        <v>2864.8297284649739</v>
      </c>
    </row>
    <row r="33" spans="1:9" ht="24.95" customHeight="1">
      <c r="A33" s="39" t="s">
        <v>200</v>
      </c>
      <c r="B33" s="39">
        <v>620.33333333333303</v>
      </c>
      <c r="C33" s="39">
        <v>620.33333333333303</v>
      </c>
      <c r="D33" s="39">
        <v>620.33333333333303</v>
      </c>
      <c r="F33" s="39" t="s">
        <v>279</v>
      </c>
      <c r="G33" s="39">
        <f>B43</f>
        <v>588</v>
      </c>
      <c r="H33" s="39">
        <f t="shared" ref="H33:I33" si="12">C43</f>
        <v>588</v>
      </c>
      <c r="I33" s="39">
        <f t="shared" si="12"/>
        <v>588</v>
      </c>
    </row>
    <row r="34" spans="1:9" ht="24.95" customHeight="1">
      <c r="F34" s="72" t="s">
        <v>71</v>
      </c>
      <c r="G34" s="72">
        <f ca="1">SUM(G32:G33)</f>
        <v>3334.8495534677645</v>
      </c>
      <c r="H34" s="72">
        <f t="shared" ref="H34:I34" ca="1" si="13">SUM(H32:H33)</f>
        <v>3412.4409756685186</v>
      </c>
      <c r="I34" s="72">
        <f t="shared" ca="1" si="13"/>
        <v>3452.8297284649739</v>
      </c>
    </row>
    <row r="35" spans="1:9" ht="24.95" customHeight="1">
      <c r="A35" s="39" t="s">
        <v>201</v>
      </c>
      <c r="B35" s="72">
        <f>B21+B29</f>
        <v>13635.73085065496</v>
      </c>
      <c r="C35" s="72">
        <f t="shared" ref="C35:D35" si="14">C21+C29</f>
        <v>13449.606874903584</v>
      </c>
      <c r="D35" s="72">
        <f t="shared" si="14"/>
        <v>13272.32324135787</v>
      </c>
    </row>
    <row r="36" spans="1:9" ht="24.95" customHeight="1">
      <c r="F36" s="72" t="s">
        <v>61</v>
      </c>
      <c r="G36" s="72">
        <f ca="1">G28+G34</f>
        <v>11412.387632592901</v>
      </c>
      <c r="H36" s="72">
        <f t="shared" ref="H36:I36" ca="1" si="15">H28+H34</f>
        <v>11172.546547856877</v>
      </c>
      <c r="I36" s="72">
        <f t="shared" ca="1" si="15"/>
        <v>10817.166675850753</v>
      </c>
    </row>
    <row r="37" spans="1:9" ht="24.95" customHeight="1">
      <c r="A37" s="39" t="s">
        <v>202</v>
      </c>
      <c r="B37" s="97">
        <f ca="1">SUM(B38:B42)</f>
        <v>2746.8495534677645</v>
      </c>
      <c r="C37" s="97">
        <f ca="1">SUM(C38:C42)</f>
        <v>2824.4409756685186</v>
      </c>
      <c r="D37" s="97">
        <f ca="1">SUM(D38:D42)</f>
        <v>2864.8297284649739</v>
      </c>
    </row>
    <row r="38" spans="1:9" ht="24.95" customHeight="1">
      <c r="A38" s="39" t="s">
        <v>203</v>
      </c>
      <c r="B38" s="59">
        <f ca="1">'Financing Forecasts '!G14</f>
        <v>7925.1828868010962</v>
      </c>
      <c r="C38" s="59">
        <f ca="1">'Financing Forecasts '!H14</f>
        <v>8215.24630900185</v>
      </c>
      <c r="D38" s="59">
        <f ca="1">'Financing Forecasts '!I14</f>
        <v>8514.052276385848</v>
      </c>
    </row>
    <row r="39" spans="1:9" ht="24.95" customHeight="1">
      <c r="A39" s="39" t="s">
        <v>204</v>
      </c>
      <c r="B39" s="59">
        <v>899.66666666666697</v>
      </c>
      <c r="C39" s="59">
        <v>899.66666666666697</v>
      </c>
      <c r="D39" s="59">
        <v>899.66666666666697</v>
      </c>
    </row>
    <row r="40" spans="1:9" ht="24.95" customHeight="1">
      <c r="A40" s="39" t="s">
        <v>205</v>
      </c>
      <c r="B40" s="59">
        <v>105</v>
      </c>
      <c r="C40" s="59">
        <v>105</v>
      </c>
      <c r="D40" s="59">
        <v>105</v>
      </c>
    </row>
    <row r="41" spans="1:9" ht="24.95" customHeight="1">
      <c r="A41" s="39" t="s">
        <v>206</v>
      </c>
      <c r="B41" s="59">
        <v>-4688.6666666666697</v>
      </c>
      <c r="C41" s="59">
        <v>-4901.1386666666695</v>
      </c>
      <c r="D41" s="59">
        <v>-5159.5558812542104</v>
      </c>
    </row>
    <row r="42" spans="1:9" ht="24.95" customHeight="1">
      <c r="A42" s="39" t="s">
        <v>207</v>
      </c>
      <c r="B42" s="59">
        <v>-1494.3333333333298</v>
      </c>
      <c r="C42" s="59">
        <v>-1494.3333333333298</v>
      </c>
      <c r="D42" s="59">
        <v>-1494.3333333333298</v>
      </c>
    </row>
    <row r="43" spans="1:9" ht="24.95" customHeight="1">
      <c r="A43" s="39" t="s">
        <v>208</v>
      </c>
      <c r="B43" s="97">
        <v>588</v>
      </c>
      <c r="C43" s="97">
        <v>588</v>
      </c>
      <c r="D43" s="97">
        <v>588</v>
      </c>
    </row>
    <row r="45" spans="1:9" ht="24.95" customHeight="1">
      <c r="A45" s="72" t="s">
        <v>209</v>
      </c>
      <c r="B45" s="97">
        <f ca="1">B37+B43</f>
        <v>3334.8495534677645</v>
      </c>
      <c r="C45" s="97">
        <f ca="1">C37+C43</f>
        <v>3412.4409756685186</v>
      </c>
      <c r="D45" s="97">
        <f ca="1">D37+D43</f>
        <v>3452.8297284649739</v>
      </c>
    </row>
    <row r="46" spans="1:9" ht="24.95" customHeight="1">
      <c r="A46" s="72"/>
      <c r="B46" s="72"/>
      <c r="C46" s="72"/>
      <c r="D46" s="72"/>
    </row>
    <row r="47" spans="1:9" ht="24.95" customHeight="1">
      <c r="A47" s="72" t="s">
        <v>210</v>
      </c>
      <c r="B47" s="72">
        <f ca="1">B35+B45</f>
        <v>16970.580404122724</v>
      </c>
      <c r="C47" s="72">
        <f t="shared" ref="C47:D47" ca="1" si="16">C35+C45</f>
        <v>16862.047850572104</v>
      </c>
      <c r="D47" s="72">
        <f t="shared" ca="1" si="16"/>
        <v>16725.152969822844</v>
      </c>
    </row>
    <row r="48" spans="1:9" ht="24.95" customHeight="1">
      <c r="A48" s="39" t="s">
        <v>176</v>
      </c>
    </row>
    <row r="49" spans="1:9" ht="24.95" customHeight="1">
      <c r="A49" s="72" t="s">
        <v>211</v>
      </c>
    </row>
    <row r="51" spans="1:9" ht="24.95" customHeight="1">
      <c r="A51" s="39" t="s">
        <v>212</v>
      </c>
      <c r="B51" s="39">
        <v>7812.3838130289805</v>
      </c>
      <c r="C51" s="39">
        <v>7432.5513569967006</v>
      </c>
      <c r="D51" s="39">
        <v>7194.4667652579701</v>
      </c>
    </row>
    <row r="52" spans="1:9" ht="24.95" customHeight="1">
      <c r="A52" s="39" t="s">
        <v>213</v>
      </c>
      <c r="B52" s="39">
        <v>8076.5818388306197</v>
      </c>
      <c r="C52" s="39">
        <v>7686.8747324313299</v>
      </c>
      <c r="D52" s="39">
        <v>7518.6353528386599</v>
      </c>
    </row>
    <row r="53" spans="1:9" ht="24.95" customHeight="1">
      <c r="A53" s="39" t="s">
        <v>214</v>
      </c>
      <c r="B53" s="39">
        <v>-1014.84707939502</v>
      </c>
      <c r="C53" s="39">
        <v>-980.71298341281295</v>
      </c>
      <c r="D53" s="39">
        <v>-950.85005557309796</v>
      </c>
    </row>
    <row r="54" spans="1:9" ht="24.95" customHeight="1">
      <c r="A54" s="39" t="s">
        <v>215</v>
      </c>
      <c r="B54" s="39">
        <v>3.54395266630248E-6</v>
      </c>
      <c r="C54" s="39">
        <v>3.38007776305315E-6</v>
      </c>
      <c r="D54" s="39">
        <v>3.2456087704913398E-6</v>
      </c>
    </row>
    <row r="55" spans="1:9" ht="24.95" customHeight="1">
      <c r="A55" s="39" t="s">
        <v>216</v>
      </c>
      <c r="B55" s="39">
        <v>9.9245813252775699E-6</v>
      </c>
      <c r="C55" s="39">
        <v>1.23617308033377E-5</v>
      </c>
      <c r="D55" s="39">
        <v>1.47919094072228E-5</v>
      </c>
    </row>
    <row r="56" spans="1:9" ht="24.95" customHeight="1">
      <c r="A56" s="39" t="s">
        <v>176</v>
      </c>
    </row>
    <row r="57" spans="1:9" s="72" customFormat="1" ht="24.95" customHeight="1">
      <c r="A57" s="39" t="s">
        <v>217</v>
      </c>
      <c r="B57" s="39"/>
      <c r="C57" s="39"/>
      <c r="D57" s="39"/>
      <c r="E57" s="39"/>
      <c r="F57" s="39"/>
      <c r="G57" s="39"/>
      <c r="H57" s="39"/>
      <c r="I57" s="39"/>
    </row>
    <row r="58" spans="1:9" ht="24.95" customHeight="1">
      <c r="A58" s="39" t="s">
        <v>218</v>
      </c>
      <c r="E58" s="72"/>
    </row>
    <row r="59" spans="1:9" s="72" customFormat="1" ht="24.95" customHeight="1">
      <c r="A59" s="39" t="s">
        <v>178</v>
      </c>
      <c r="B59" s="39">
        <v>1331.67993488974</v>
      </c>
      <c r="C59" s="39">
        <v>1381.9451185783998</v>
      </c>
      <c r="D59" s="39">
        <v>1447.1255928586199</v>
      </c>
      <c r="E59" s="39"/>
      <c r="F59" s="39"/>
      <c r="G59" s="39"/>
      <c r="H59" s="39"/>
      <c r="I59" s="39"/>
    </row>
    <row r="60" spans="1:9" ht="24.95" customHeight="1">
      <c r="A60" s="39" t="s">
        <v>177</v>
      </c>
      <c r="B60" s="39">
        <v>488.01806157648804</v>
      </c>
      <c r="C60" s="39">
        <v>487.674506439433</v>
      </c>
      <c r="D60" s="39">
        <v>492.10882057773398</v>
      </c>
      <c r="E60" s="72"/>
      <c r="F60" s="72"/>
      <c r="G60" s="72"/>
      <c r="H60" s="72"/>
      <c r="I60" s="72"/>
    </row>
    <row r="61" spans="1:9" ht="24.95" customHeight="1">
      <c r="A61" s="39" t="s">
        <v>199</v>
      </c>
      <c r="B61" s="39">
        <v>-80</v>
      </c>
      <c r="C61" s="39">
        <v>46</v>
      </c>
      <c r="D61" s="39">
        <v>46</v>
      </c>
    </row>
    <row r="62" spans="1:9" ht="24.95" customHeight="1">
      <c r="A62" s="39" t="s">
        <v>219</v>
      </c>
      <c r="B62" s="39">
        <v>-172.25948029934202</v>
      </c>
      <c r="C62" s="39">
        <v>-55.180596108008494</v>
      </c>
      <c r="D62" s="39">
        <v>-45.745353517008105</v>
      </c>
      <c r="F62" s="72"/>
      <c r="G62" s="72"/>
      <c r="H62" s="72"/>
      <c r="I62" s="72"/>
    </row>
    <row r="63" spans="1:9" ht="24.95" customHeight="1">
      <c r="A63" s="39" t="s">
        <v>220</v>
      </c>
      <c r="B63" s="39">
        <v>1357.5339899954802</v>
      </c>
      <c r="C63" s="39">
        <v>1842.95453153928</v>
      </c>
      <c r="D63" s="39">
        <v>1894.2140572748799</v>
      </c>
    </row>
    <row r="64" spans="1:9" ht="24.95" customHeight="1">
      <c r="A64" s="39" t="s">
        <v>176</v>
      </c>
    </row>
    <row r="65" spans="1:4" ht="24.95" customHeight="1">
      <c r="A65" s="39" t="s">
        <v>221</v>
      </c>
    </row>
    <row r="66" spans="1:4" ht="24.95" customHeight="1">
      <c r="A66" s="39" t="s">
        <v>222</v>
      </c>
      <c r="B66" s="39">
        <v>-604.41334163543104</v>
      </c>
      <c r="C66" s="39">
        <v>-568.41114474894505</v>
      </c>
      <c r="D66" s="39">
        <v>-570.227813610216</v>
      </c>
    </row>
    <row r="67" spans="1:4" ht="24.95" customHeight="1">
      <c r="A67" s="39" t="s">
        <v>241</v>
      </c>
      <c r="B67" s="39">
        <v>4.4179952080353305E-8</v>
      </c>
      <c r="C67" s="39">
        <v>4.1767466718170902E-8</v>
      </c>
      <c r="D67" s="39">
        <v>4.0172542972614202E-8</v>
      </c>
    </row>
    <row r="68" spans="1:4" ht="24.95" customHeight="1">
      <c r="A68" s="39" t="s">
        <v>223</v>
      </c>
      <c r="B68" s="39">
        <v>412.60007370914695</v>
      </c>
      <c r="C68" s="39">
        <v>-569.83359757158303</v>
      </c>
      <c r="D68" s="39">
        <v>-567.30192388857904</v>
      </c>
    </row>
    <row r="69" spans="1:4" ht="24.95" customHeight="1">
      <c r="A69" s="39" t="s">
        <v>176</v>
      </c>
    </row>
    <row r="70" spans="1:4" ht="24.95" customHeight="1">
      <c r="A70" s="39" t="s">
        <v>224</v>
      </c>
    </row>
    <row r="71" spans="1:4" ht="24.95" customHeight="1">
      <c r="A71" s="39" t="s">
        <v>225</v>
      </c>
      <c r="B71" s="39">
        <v>-774.24237956520403</v>
      </c>
      <c r="C71" s="39">
        <v>-796.34162898388809</v>
      </c>
      <c r="D71" s="39">
        <v>-802.59190830308103</v>
      </c>
    </row>
    <row r="72" spans="1:4" ht="24.95" customHeight="1">
      <c r="A72" s="39" t="s">
        <v>226</v>
      </c>
      <c r="B72" s="39">
        <v>71.75</v>
      </c>
      <c r="C72" s="39">
        <v>111</v>
      </c>
      <c r="D72" s="39">
        <v>167</v>
      </c>
    </row>
    <row r="73" spans="1:4" ht="24.95" customHeight="1">
      <c r="A73" s="39" t="s">
        <v>227</v>
      </c>
      <c r="B73" s="39">
        <v>357.66666666666697</v>
      </c>
      <c r="C73" s="39">
        <v>993</v>
      </c>
      <c r="D73" s="39">
        <v>871.5</v>
      </c>
    </row>
    <row r="74" spans="1:4" ht="24.95" customHeight="1">
      <c r="A74" s="39" t="s">
        <v>228</v>
      </c>
      <c r="B74" s="39">
        <v>-1083.3333333333298</v>
      </c>
      <c r="C74" s="39">
        <v>-675</v>
      </c>
      <c r="D74" s="39">
        <v>-757.5</v>
      </c>
    </row>
    <row r="75" spans="1:4" ht="24.95" customHeight="1">
      <c r="A75" s="39" t="s">
        <v>229</v>
      </c>
      <c r="B75" s="39">
        <v>-19.5573074296892</v>
      </c>
      <c r="C75" s="39">
        <v>-7.8972980410792104</v>
      </c>
      <c r="D75" s="39">
        <v>-4.3979205781030499</v>
      </c>
    </row>
    <row r="76" spans="1:4" ht="24.95" customHeight="1">
      <c r="A76" s="39" t="s">
        <v>230</v>
      </c>
      <c r="B76" s="39">
        <v>-1784.70753997818</v>
      </c>
      <c r="C76" s="39">
        <v>-1173.1934454295799</v>
      </c>
      <c r="D76" s="39">
        <v>-1131.3213608395299</v>
      </c>
    </row>
    <row r="77" spans="1:4" ht="24.95" customHeight="1">
      <c r="A77" s="39" t="s">
        <v>176</v>
      </c>
    </row>
    <row r="78" spans="1:4" ht="24.95" customHeight="1">
      <c r="A78" s="39" t="s">
        <v>211</v>
      </c>
    </row>
    <row r="79" spans="1:4" ht="24.95" customHeight="1">
      <c r="A79" s="39" t="s">
        <v>231</v>
      </c>
      <c r="B79" s="39">
        <v>83.64218617332449</v>
      </c>
      <c r="C79" s="39">
        <v>181.11954530364298</v>
      </c>
      <c r="D79" s="39">
        <v>194.66463003022</v>
      </c>
    </row>
    <row r="80" spans="1:4" ht="24.95" customHeight="1">
      <c r="A80" s="39" t="s">
        <v>232</v>
      </c>
      <c r="B80" s="39">
        <v>417.53356176902798</v>
      </c>
      <c r="C80" s="39">
        <v>575.02495804908801</v>
      </c>
      <c r="D80" s="39">
        <v>788.97581936576296</v>
      </c>
    </row>
    <row r="81" spans="1:4" ht="24.95" customHeight="1">
      <c r="A81" s="39" t="s">
        <v>233</v>
      </c>
      <c r="B81" s="39">
        <v>291</v>
      </c>
      <c r="C81" s="39">
        <v>444.54199425193201</v>
      </c>
      <c r="D81" s="39">
        <v>531.33242406275394</v>
      </c>
    </row>
    <row r="82" spans="1:4" ht="24.95" customHeight="1">
      <c r="A82" s="39" t="s">
        <v>176</v>
      </c>
    </row>
    <row r="83" spans="1:4" ht="24.95" customHeight="1">
      <c r="A83" s="39" t="s">
        <v>234</v>
      </c>
      <c r="B83" s="39">
        <v>740.17507819140997</v>
      </c>
      <c r="C83" s="39">
        <v>1261.9036580710799</v>
      </c>
      <c r="D83" s="39">
        <v>1288.4223998183099</v>
      </c>
    </row>
    <row r="84" spans="1:4" ht="24.95" customHeight="1">
      <c r="A84" s="39" t="s">
        <v>242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5EECE-619C-4F48-B18C-9E4C2EFFF09A}">
  <dimension ref="A1:L12"/>
  <sheetViews>
    <sheetView topLeftCell="F5" zoomScaleNormal="100" workbookViewId="0">
      <selection activeCell="M16" sqref="M16"/>
    </sheetView>
  </sheetViews>
  <sheetFormatPr defaultColWidth="25.83203125" defaultRowHeight="24.95" customHeight="1"/>
  <cols>
    <col min="1" max="1" width="43.33203125" style="39" customWidth="1"/>
    <col min="2" max="16384" width="25.83203125" style="39"/>
  </cols>
  <sheetData>
    <row r="1" spans="1:12" ht="24.95" customHeight="1">
      <c r="A1" s="172" t="s">
        <v>596</v>
      </c>
    </row>
    <row r="3" spans="1:12" ht="38.25" customHeight="1">
      <c r="A3" s="465" t="s">
        <v>680</v>
      </c>
      <c r="B3" s="466"/>
      <c r="C3" s="466"/>
      <c r="D3" s="454" t="s">
        <v>86</v>
      </c>
      <c r="E3" s="454" t="s">
        <v>87</v>
      </c>
      <c r="F3" s="454" t="s">
        <v>88</v>
      </c>
      <c r="G3" s="454" t="s">
        <v>117</v>
      </c>
      <c r="H3" s="454" t="s">
        <v>118</v>
      </c>
      <c r="I3" s="454" t="s">
        <v>119</v>
      </c>
      <c r="J3" s="454" t="s">
        <v>548</v>
      </c>
      <c r="K3" s="454" t="s">
        <v>549</v>
      </c>
      <c r="L3" s="454" t="s">
        <v>550</v>
      </c>
    </row>
    <row r="5" spans="1:12" ht="24.95" customHeight="1">
      <c r="A5" s="63" t="s">
        <v>78</v>
      </c>
      <c r="D5" s="312">
        <f>'Balance Sheet - Restated'!B28</f>
        <v>438</v>
      </c>
      <c r="E5" s="312">
        <f>'Balance Sheet - Restated'!C28</f>
        <v>429</v>
      </c>
      <c r="F5" s="312">
        <f>'Balance Sheet - Restated'!D28</f>
        <v>413</v>
      </c>
      <c r="G5" s="446">
        <f>AVERAGE(D5:F5)</f>
        <v>426.66666666666669</v>
      </c>
      <c r="H5" s="446">
        <f t="shared" ref="H5:L7" si="0">AVERAGE(E5:G5)</f>
        <v>422.88888888888891</v>
      </c>
      <c r="I5" s="446">
        <f t="shared" si="0"/>
        <v>420.8518518518519</v>
      </c>
      <c r="J5" s="446">
        <f t="shared" si="0"/>
        <v>423.46913580246922</v>
      </c>
      <c r="K5" s="446">
        <f t="shared" si="0"/>
        <v>422.40329218107007</v>
      </c>
      <c r="L5" s="446">
        <f t="shared" si="0"/>
        <v>422.24142661179707</v>
      </c>
    </row>
    <row r="6" spans="1:12" ht="24.95" customHeight="1">
      <c r="A6" s="63" t="s">
        <v>599</v>
      </c>
      <c r="D6" s="312">
        <f>'Balance Sheet - Restated'!B29</f>
        <v>458</v>
      </c>
      <c r="E6" s="312">
        <f>'Balance Sheet - Restated'!C29</f>
        <v>782</v>
      </c>
      <c r="F6" s="312">
        <f>'Balance Sheet - Restated'!D29</f>
        <v>822</v>
      </c>
      <c r="G6" s="446">
        <f t="shared" ref="G6:G7" si="1">AVERAGE(D6:F6)</f>
        <v>687.33333333333337</v>
      </c>
      <c r="H6" s="446">
        <f t="shared" si="0"/>
        <v>763.77777777777783</v>
      </c>
      <c r="I6" s="446">
        <f t="shared" si="0"/>
        <v>757.70370370370381</v>
      </c>
      <c r="J6" s="446">
        <f t="shared" si="0"/>
        <v>736.27160493827171</v>
      </c>
      <c r="K6" s="446">
        <f t="shared" si="0"/>
        <v>752.58436213991774</v>
      </c>
      <c r="L6" s="446">
        <f t="shared" si="0"/>
        <v>748.85322359396434</v>
      </c>
    </row>
    <row r="7" spans="1:12" ht="24.95" customHeight="1">
      <c r="A7" s="63" t="s">
        <v>600</v>
      </c>
      <c r="D7" s="312">
        <f>'Balance Sheet - Restated'!B30</f>
        <v>-1423</v>
      </c>
      <c r="E7" s="312">
        <f>'Balance Sheet - Restated'!C30</f>
        <v>-1390</v>
      </c>
      <c r="F7" s="312">
        <f>'Balance Sheet - Restated'!D30</f>
        <v>-1133</v>
      </c>
      <c r="G7" s="446">
        <f t="shared" si="1"/>
        <v>-1315.3333333333333</v>
      </c>
      <c r="H7" s="446">
        <f t="shared" si="0"/>
        <v>-1279.4444444444443</v>
      </c>
      <c r="I7" s="446">
        <f t="shared" si="0"/>
        <v>-1242.5925925925924</v>
      </c>
      <c r="J7" s="446">
        <f t="shared" si="0"/>
        <v>-1279.1234567901231</v>
      </c>
      <c r="K7" s="446">
        <f t="shared" si="0"/>
        <v>-1267.0534979423865</v>
      </c>
      <c r="L7" s="446">
        <f t="shared" si="0"/>
        <v>-1262.9231824417006</v>
      </c>
    </row>
    <row r="9" spans="1:12" ht="38.25" customHeight="1">
      <c r="A9" s="465" t="s">
        <v>681</v>
      </c>
      <c r="B9" s="466"/>
      <c r="C9" s="466"/>
      <c r="D9" s="454" t="s">
        <v>86</v>
      </c>
      <c r="E9" s="454" t="s">
        <v>87</v>
      </c>
      <c r="F9" s="454" t="s">
        <v>88</v>
      </c>
      <c r="G9" s="454" t="s">
        <v>117</v>
      </c>
      <c r="H9" s="454" t="s">
        <v>118</v>
      </c>
      <c r="I9" s="454" t="s">
        <v>119</v>
      </c>
      <c r="J9" s="454" t="s">
        <v>548</v>
      </c>
      <c r="K9" s="454" t="s">
        <v>549</v>
      </c>
      <c r="L9" s="454" t="s">
        <v>550</v>
      </c>
    </row>
    <row r="11" spans="1:12" ht="24.95" customHeight="1">
      <c r="A11" s="63" t="s">
        <v>122</v>
      </c>
      <c r="D11" s="216">
        <f>'Income Statement - Restated'!B22</f>
        <v>1</v>
      </c>
      <c r="E11" s="216">
        <f>'Income Statement - Restated'!C22</f>
        <v>7</v>
      </c>
      <c r="F11" s="216">
        <f>'Income Statement - Restated'!D22</f>
        <v>196</v>
      </c>
      <c r="G11" s="300">
        <v>0</v>
      </c>
      <c r="H11" s="300">
        <v>0</v>
      </c>
      <c r="I11" s="300">
        <v>0</v>
      </c>
      <c r="J11" s="300">
        <v>0</v>
      </c>
      <c r="K11" s="300">
        <v>0</v>
      </c>
      <c r="L11" s="300">
        <v>0</v>
      </c>
    </row>
    <row r="12" spans="1:12" ht="24.95" customHeight="1">
      <c r="A12" s="61" t="s">
        <v>120</v>
      </c>
      <c r="D12" s="216">
        <f>'Income Statement - Restated'!B24</f>
        <v>1</v>
      </c>
      <c r="E12" s="216">
        <f>'Income Statement - Restated'!C24</f>
        <v>0</v>
      </c>
      <c r="F12" s="216">
        <f>'Income Statement - Restated'!D24</f>
        <v>8</v>
      </c>
      <c r="G12" s="300">
        <v>0</v>
      </c>
      <c r="H12" s="300">
        <v>0</v>
      </c>
      <c r="I12" s="300">
        <v>0</v>
      </c>
      <c r="J12" s="300">
        <v>0</v>
      </c>
      <c r="K12" s="300">
        <v>0</v>
      </c>
      <c r="L12" s="300">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87C32-10F6-40F8-8DC3-D8B608D41D22}">
  <sheetPr>
    <tabColor rgb="FFD31245"/>
  </sheetPr>
  <dimension ref="A1"/>
  <sheetViews>
    <sheetView workbookViewId="0">
      <selection sqref="A1:XFD1048576"/>
    </sheetView>
  </sheetViews>
  <sheetFormatPr defaultRowHeight="12.75"/>
  <cols>
    <col min="1" max="16384" width="9.33203125" style="525"/>
  </cols>
  <sheetData/>
  <mergeCells count="1">
    <mergeCell ref="A1:XFD104857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1"/>
  <sheetViews>
    <sheetView zoomScaleNormal="100" zoomScaleSheetLayoutView="100" workbookViewId="0"/>
  </sheetViews>
  <sheetFormatPr defaultColWidth="25.83203125" defaultRowHeight="24.95" customHeight="1"/>
  <cols>
    <col min="1" max="1" width="35.6640625" style="39" customWidth="1"/>
    <col min="2" max="9" width="25.83203125" style="39"/>
    <col min="10" max="10" width="21.33203125" style="39" customWidth="1"/>
    <col min="11" max="16384" width="25.83203125" style="39"/>
  </cols>
  <sheetData>
    <row r="1" spans="1:10" ht="30.75" customHeight="1">
      <c r="A1" s="249" t="s">
        <v>424</v>
      </c>
    </row>
    <row r="2" spans="1:10" ht="24.95" customHeight="1">
      <c r="A2" s="87"/>
      <c r="J2" s="192" t="s">
        <v>323</v>
      </c>
    </row>
    <row r="3" spans="1:10" ht="24.95" customHeight="1">
      <c r="A3" s="454" t="s">
        <v>424</v>
      </c>
      <c r="B3" s="454" t="s">
        <v>86</v>
      </c>
      <c r="C3" s="454" t="s">
        <v>87</v>
      </c>
      <c r="D3" s="454" t="s">
        <v>88</v>
      </c>
      <c r="E3" s="454" t="s">
        <v>117</v>
      </c>
      <c r="F3" s="454" t="s">
        <v>118</v>
      </c>
      <c r="G3" s="454" t="s">
        <v>119</v>
      </c>
      <c r="H3" s="454" t="s">
        <v>548</v>
      </c>
      <c r="I3" s="454" t="s">
        <v>549</v>
      </c>
      <c r="J3" s="454" t="s">
        <v>550</v>
      </c>
    </row>
    <row r="4" spans="1:10" ht="24.95" customHeight="1">
      <c r="A4" s="61"/>
    </row>
    <row r="5" spans="1:10" ht="24.95" customHeight="1">
      <c r="A5" s="61" t="s">
        <v>281</v>
      </c>
    </row>
    <row r="6" spans="1:10" ht="24.95" customHeight="1">
      <c r="A6" s="34"/>
    </row>
    <row r="7" spans="1:10" ht="24.95" customHeight="1" thickBot="1">
      <c r="A7" s="195" t="s">
        <v>82</v>
      </c>
      <c r="B7" s="300">
        <f>SUM(B8,B10)</f>
        <v>12965</v>
      </c>
      <c r="C7" s="300">
        <f t="shared" ref="C7:I7" si="0">SUM(C8,C10)</f>
        <v>13371</v>
      </c>
      <c r="D7" s="300">
        <f t="shared" si="0"/>
        <v>13547</v>
      </c>
      <c r="E7" s="300">
        <f>E8</f>
        <v>13953.41</v>
      </c>
      <c r="F7" s="300">
        <f>SUM(F8,F10)</f>
        <v>14303.880901346049</v>
      </c>
      <c r="G7" s="300">
        <f t="shared" si="0"/>
        <v>14727.815407941645</v>
      </c>
      <c r="H7" s="300">
        <f t="shared" si="0"/>
        <v>14918.049690294225</v>
      </c>
      <c r="I7" s="300">
        <f t="shared" si="0"/>
        <v>15009.733537349157</v>
      </c>
      <c r="J7" s="300">
        <f>SUM(J8,J10)</f>
        <v>15137.550799503146</v>
      </c>
    </row>
    <row r="8" spans="1:10" ht="24.95" customHeight="1" thickTop="1">
      <c r="A8" s="61" t="s">
        <v>260</v>
      </c>
      <c r="B8" s="216">
        <f>'Income Statement - Restated'!B9</f>
        <v>12965</v>
      </c>
      <c r="C8" s="216">
        <f>'Income Statement - Restated'!C9</f>
        <v>12854</v>
      </c>
      <c r="D8" s="216">
        <f>'Income Statement - Restated'!D9</f>
        <v>13547</v>
      </c>
      <c r="E8" s="216">
        <f>'Operating Items Forecasts'!G12</f>
        <v>13953.41</v>
      </c>
      <c r="F8" s="216">
        <f>'Operating Items Forecasts'!H12</f>
        <v>14303.880901346049</v>
      </c>
      <c r="G8" s="216">
        <f>'Operating Items Forecasts'!I12</f>
        <v>14727.815407941645</v>
      </c>
      <c r="H8" s="216">
        <f>'Operating Items Forecasts'!J12</f>
        <v>14918.049690294225</v>
      </c>
      <c r="I8" s="216">
        <f>'Operating Items Forecasts'!K12</f>
        <v>15009.733537349157</v>
      </c>
      <c r="J8" s="216">
        <f>'Operating Items Forecasts'!L12</f>
        <v>15137.550799503146</v>
      </c>
    </row>
    <row r="9" spans="1:10" s="109" customFormat="1" ht="24.95" customHeight="1">
      <c r="A9" s="482" t="s">
        <v>139</v>
      </c>
      <c r="B9" s="483"/>
      <c r="C9" s="484">
        <f>(C8-B8)/B8</f>
        <v>-8.5615117624373311E-3</v>
      </c>
      <c r="D9" s="485">
        <f>(D8-C8)/C8</f>
        <v>5.3913178777034387E-2</v>
      </c>
      <c r="E9" s="485">
        <f t="shared" ref="E9:G9" si="1">(E8-D8)/D8</f>
        <v>2.9999999999999988E-2</v>
      </c>
      <c r="F9" s="485">
        <f t="shared" si="1"/>
        <v>2.5117222338198963E-2</v>
      </c>
      <c r="G9" s="485">
        <f t="shared" si="1"/>
        <v>2.9637726259011492E-2</v>
      </c>
      <c r="H9" s="485">
        <f t="shared" ref="H9" si="2">(H8-G8)/G8</f>
        <v>1.2916666666666668E-2</v>
      </c>
      <c r="I9" s="485">
        <f t="shared" ref="I9" si="3">(I8-H8)/H8</f>
        <v>6.1458333333332428E-3</v>
      </c>
      <c r="J9" s="485">
        <f t="shared" ref="J9" si="4">(J8-I8)/I8</f>
        <v>8.5156249999999954E-3</v>
      </c>
    </row>
    <row r="10" spans="1:10" ht="24.95" customHeight="1">
      <c r="A10" s="61" t="s">
        <v>240</v>
      </c>
      <c r="B10" s="216">
        <f>'Income Statement - Restated'!B10</f>
        <v>0</v>
      </c>
      <c r="C10" s="216">
        <f>'Income Statement - Restated'!C10</f>
        <v>517</v>
      </c>
      <c r="D10" s="216">
        <f>'Income Statement - Restated'!D10</f>
        <v>0</v>
      </c>
      <c r="E10" s="216">
        <f>'Operating Items Forecasts'!G13</f>
        <v>0</v>
      </c>
      <c r="F10" s="216">
        <f>'Operating Items Forecasts'!H13</f>
        <v>0</v>
      </c>
      <c r="G10" s="216">
        <f>'Operating Items Forecasts'!I13</f>
        <v>0</v>
      </c>
      <c r="H10" s="216">
        <f>'Operating Items Forecasts'!J13</f>
        <v>0</v>
      </c>
      <c r="I10" s="216">
        <f>'Operating Items Forecasts'!K13</f>
        <v>0</v>
      </c>
      <c r="J10" s="216">
        <f>'Operating Items Forecasts'!L13</f>
        <v>0</v>
      </c>
    </row>
    <row r="11" spans="1:10" s="487" customFormat="1" ht="24.95" customHeight="1">
      <c r="A11" s="482" t="s">
        <v>139</v>
      </c>
      <c r="B11" s="486"/>
      <c r="C11" s="486" t="s">
        <v>262</v>
      </c>
      <c r="D11" s="486" t="s">
        <v>262</v>
      </c>
      <c r="E11" s="486" t="s">
        <v>262</v>
      </c>
      <c r="F11" s="486" t="s">
        <v>262</v>
      </c>
      <c r="G11" s="486" t="s">
        <v>262</v>
      </c>
      <c r="H11" s="486" t="s">
        <v>262</v>
      </c>
      <c r="I11" s="486" t="s">
        <v>262</v>
      </c>
      <c r="J11" s="486" t="s">
        <v>262</v>
      </c>
    </row>
    <row r="12" spans="1:10" ht="24.95" customHeight="1">
      <c r="A12" s="34"/>
      <c r="B12" s="194"/>
      <c r="C12" s="194"/>
      <c r="D12" s="194"/>
      <c r="E12" s="194"/>
      <c r="F12" s="194"/>
      <c r="G12" s="194"/>
    </row>
    <row r="13" spans="1:10" ht="24.95" customHeight="1" thickBot="1">
      <c r="A13" s="195" t="s">
        <v>83</v>
      </c>
      <c r="B13" s="300">
        <f>SUM(B15,B17,B19,B21)</f>
        <v>11113</v>
      </c>
      <c r="C13" s="300">
        <f t="shared" ref="C13:J13" si="5">SUM(C15,C17,C19,C21)</f>
        <v>10986</v>
      </c>
      <c r="D13" s="300">
        <f t="shared" si="5"/>
        <v>11431</v>
      </c>
      <c r="E13" s="300">
        <f t="shared" si="5"/>
        <v>11891.477938892485</v>
      </c>
      <c r="F13" s="300">
        <f>SUM(F15,F17,F19,F21)</f>
        <v>12146.055169852685</v>
      </c>
      <c r="G13" s="300">
        <f t="shared" si="5"/>
        <v>12506.957701988827</v>
      </c>
      <c r="H13" s="300">
        <f t="shared" si="5"/>
        <v>12632.170947317398</v>
      </c>
      <c r="I13" s="300">
        <f t="shared" si="5"/>
        <v>12674.638181242253</v>
      </c>
      <c r="J13" s="300">
        <f t="shared" si="5"/>
        <v>12860.656929178502</v>
      </c>
    </row>
    <row r="14" spans="1:10" s="487" customFormat="1" ht="24.95" customHeight="1" thickTop="1">
      <c r="A14" s="482" t="s">
        <v>139</v>
      </c>
      <c r="B14" s="486"/>
      <c r="C14" s="484">
        <f t="shared" ref="C14:D14" si="6">(C13-B13)/B13</f>
        <v>-1.1428057230270855E-2</v>
      </c>
      <c r="D14" s="485">
        <f t="shared" si="6"/>
        <v>4.0506098671035863E-2</v>
      </c>
      <c r="E14" s="485">
        <f t="shared" ref="E14" si="7">(E13-D13)/D13</f>
        <v>4.0283259460457119E-2</v>
      </c>
      <c r="F14" s="485">
        <f t="shared" ref="F14" si="8">(F13-E13)/E13</f>
        <v>2.1408376004094062E-2</v>
      </c>
      <c r="G14" s="485">
        <f t="shared" ref="G14" si="9">(G13-F13)/F13</f>
        <v>2.9713559430548805E-2</v>
      </c>
      <c r="H14" s="485">
        <f t="shared" ref="H14" si="10">(H13-G13)/G13</f>
        <v>1.0011487070805333E-2</v>
      </c>
      <c r="I14" s="485">
        <f t="shared" ref="I14" si="11">(I13-H13)/H13</f>
        <v>3.3618317945478659E-3</v>
      </c>
      <c r="J14" s="485">
        <f t="shared" ref="J14" si="12">(J13-I13)/I13</f>
        <v>1.467645429212691E-2</v>
      </c>
    </row>
    <row r="15" spans="1:10" ht="24.95" customHeight="1">
      <c r="A15" s="61" t="s">
        <v>108</v>
      </c>
      <c r="B15" s="216">
        <f>'Income Statement - Restated'!B12</f>
        <v>8131</v>
      </c>
      <c r="C15" s="216">
        <f>'Income Statement - Restated'!C12</f>
        <v>8155</v>
      </c>
      <c r="D15" s="216">
        <f>'Income Statement - Restated'!D12</f>
        <v>8821</v>
      </c>
      <c r="E15" s="216">
        <f>'Operating Items Forecasts'!G15</f>
        <v>8902.2755799999995</v>
      </c>
      <c r="F15" s="216">
        <f>'Operating Items Forecasts'!H15</f>
        <v>9125.8760150587786</v>
      </c>
      <c r="G15" s="216">
        <f>'Operating Items Forecasts'!I15</f>
        <v>9396.3462302667704</v>
      </c>
      <c r="H15" s="216">
        <f>'Operating Items Forecasts'!J15</f>
        <v>9517.7157024077151</v>
      </c>
      <c r="I15" s="216">
        <f>'Operating Items Forecasts'!K15</f>
        <v>9576.2099968287621</v>
      </c>
      <c r="J15" s="216">
        <f>'Operating Items Forecasts'!L15</f>
        <v>9657.7574100830079</v>
      </c>
    </row>
    <row r="16" spans="1:10" s="487" customFormat="1" ht="24.95" customHeight="1">
      <c r="A16" s="482" t="s">
        <v>139</v>
      </c>
      <c r="B16" s="486"/>
      <c r="C16" s="485">
        <f t="shared" ref="C16" si="13">(C15-B15)/B15</f>
        <v>2.9516664616898291E-3</v>
      </c>
      <c r="D16" s="485">
        <f t="shared" ref="D16" si="14">(D15-C15)/C15</f>
        <v>8.1667688534641319E-2</v>
      </c>
      <c r="E16" s="485">
        <f t="shared" ref="E16" si="15">(E15-D15)/D15</f>
        <v>9.2138737104636142E-3</v>
      </c>
      <c r="F16" s="485">
        <f t="shared" ref="F16" si="16">(F15-E15)/E15</f>
        <v>2.5117222338198963E-2</v>
      </c>
      <c r="G16" s="485">
        <f t="shared" ref="G16" si="17">(G15-F15)/F15</f>
        <v>2.96377262590116E-2</v>
      </c>
      <c r="H16" s="485">
        <f t="shared" ref="H16" si="18">(H15-G15)/G15</f>
        <v>1.2916666666666552E-2</v>
      </c>
      <c r="I16" s="485">
        <f t="shared" ref="I16" si="19">(I15-H15)/H15</f>
        <v>6.1458333333332914E-3</v>
      </c>
      <c r="J16" s="485">
        <f t="shared" ref="J16" si="20">(J15-I15)/I15</f>
        <v>8.515625000000096E-3</v>
      </c>
    </row>
    <row r="17" spans="1:10" ht="24.95" customHeight="1">
      <c r="A17" s="61" t="s">
        <v>419</v>
      </c>
      <c r="B17" s="216">
        <f>'Income Statement - Restated'!B13</f>
        <v>3351</v>
      </c>
      <c r="C17" s="216">
        <f>'Income Statement - Restated'!C13</f>
        <v>3312</v>
      </c>
      <c r="D17" s="216">
        <f>'Income Statement - Restated'!D13</f>
        <v>3020</v>
      </c>
      <c r="E17" s="216">
        <f>'Operating Items Forecasts'!G16</f>
        <v>3437.4489164682445</v>
      </c>
      <c r="F17" s="216">
        <f>'Operating Items Forecasts'!H16</f>
        <v>3523.7880851793784</v>
      </c>
      <c r="G17" s="216">
        <f>'Operating Items Forecasts'!I16</f>
        <v>3628.225151842691</v>
      </c>
      <c r="H17" s="216">
        <f>'Operating Items Forecasts'!J16</f>
        <v>3675.0897267206592</v>
      </c>
      <c r="I17" s="216">
        <f>'Operating Items Forecasts'!K16</f>
        <v>3697.6762156661298</v>
      </c>
      <c r="J17" s="216">
        <f>'Operating Items Forecasts'!L16</f>
        <v>3729.1642396901616</v>
      </c>
    </row>
    <row r="18" spans="1:10" s="489" customFormat="1" ht="24.95" customHeight="1">
      <c r="A18" s="482" t="s">
        <v>139</v>
      </c>
      <c r="B18" s="488"/>
      <c r="C18" s="484">
        <f t="shared" ref="C18" si="21">(C17-B17)/B17</f>
        <v>-1.1638316920322292E-2</v>
      </c>
      <c r="D18" s="484">
        <f t="shared" ref="D18" si="22">(D17-C17)/C17</f>
        <v>-8.8164251207729472E-2</v>
      </c>
      <c r="E18" s="485">
        <f t="shared" ref="E18" si="23">(E17-D17)/D17</f>
        <v>0.13822811803584256</v>
      </c>
      <c r="F18" s="485">
        <f t="shared" ref="F18" si="24">(F17-E17)/E17</f>
        <v>2.5117222338198925E-2</v>
      </c>
      <c r="G18" s="485">
        <f t="shared" ref="G18" si="25">(G17-F17)/F17</f>
        <v>2.9637726259011479E-2</v>
      </c>
      <c r="H18" s="485">
        <f t="shared" ref="H18" si="26">(H17-G17)/G17</f>
        <v>1.2916666666666684E-2</v>
      </c>
      <c r="I18" s="485">
        <f t="shared" ref="I18" si="27">(I17-H17)/H17</f>
        <v>6.1458333333332992E-3</v>
      </c>
      <c r="J18" s="485">
        <f t="shared" ref="J18" si="28">(J17-I17)/I17</f>
        <v>8.5156249999999763E-3</v>
      </c>
    </row>
    <row r="19" spans="1:10" ht="24.95" customHeight="1">
      <c r="A19" s="61" t="s">
        <v>465</v>
      </c>
      <c r="B19" s="289">
        <f>'Income Statement - Restated'!B14</f>
        <v>-517</v>
      </c>
      <c r="C19" s="289">
        <f>'Income Statement - Restated'!C14</f>
        <v>-481</v>
      </c>
      <c r="D19" s="289">
        <f>'Income Statement - Restated'!D14</f>
        <v>-516</v>
      </c>
      <c r="E19" s="289">
        <f>'Investment Forecasts'!I25</f>
        <v>-532.91322424242423</v>
      </c>
      <c r="F19" s="289">
        <f>'Investment Forecasts'!J25</f>
        <v>-567.16448594102553</v>
      </c>
      <c r="G19" s="289">
        <f>'Investment Forecasts'!K25</f>
        <v>-602.35442086137414</v>
      </c>
      <c r="H19" s="289">
        <f>'Investment Forecasts'!L25</f>
        <v>-638.28880279862983</v>
      </c>
      <c r="I19" s="289">
        <f>'Investment Forecasts'!M25</f>
        <v>-674.5649036806218</v>
      </c>
      <c r="J19" s="289">
        <f>'Investment Forecasts'!N25</f>
        <v>-605.50203198012582</v>
      </c>
    </row>
    <row r="20" spans="1:10" s="487" customFormat="1" ht="24.95" customHeight="1">
      <c r="A20" s="482" t="s">
        <v>139</v>
      </c>
      <c r="B20" s="486"/>
      <c r="C20" s="484">
        <f t="shared" ref="C20" si="29">(C19-B19)/B19</f>
        <v>-6.9632495164410058E-2</v>
      </c>
      <c r="D20" s="484">
        <f t="shared" ref="D20" si="30">(D19-C19)/C19</f>
        <v>7.2765072765072769E-2</v>
      </c>
      <c r="E20" s="485">
        <f t="shared" ref="E20:E22" si="31">(E19-D19)/D19</f>
        <v>3.2777566361287279E-2</v>
      </c>
      <c r="F20" s="485">
        <f t="shared" ref="F20" si="32">(F19-E19)/E19</f>
        <v>6.4271742828847997E-2</v>
      </c>
      <c r="G20" s="485">
        <f t="shared" ref="G20" si="33">(G19-F19)/F19</f>
        <v>6.2045378003459301E-2</v>
      </c>
      <c r="H20" s="485">
        <f t="shared" ref="H20" si="34">(H19-G19)/G19</f>
        <v>5.9656542216240553E-2</v>
      </c>
      <c r="I20" s="485">
        <f t="shared" ref="I20" si="35">(I19-H19)/H19</f>
        <v>5.6833365590836647E-2</v>
      </c>
      <c r="J20" s="484">
        <f t="shared" ref="J20" si="36">(J19-I19)/I19</f>
        <v>-0.10238135918970719</v>
      </c>
    </row>
    <row r="21" spans="1:10" ht="24.95" customHeight="1">
      <c r="A21" s="61" t="s">
        <v>237</v>
      </c>
      <c r="B21" s="216">
        <f>'Income Statement - Restated'!B15</f>
        <v>148</v>
      </c>
      <c r="C21" s="216">
        <f>'Income Statement - Restated'!C15</f>
        <v>0</v>
      </c>
      <c r="D21" s="216">
        <f>'Income Statement - Restated'!D15</f>
        <v>106</v>
      </c>
      <c r="E21" s="216">
        <f>'Operating Items Forecasts'!G17</f>
        <v>84.666666666666671</v>
      </c>
      <c r="F21" s="216">
        <f>'Operating Items Forecasts'!H17</f>
        <v>63.555555555555564</v>
      </c>
      <c r="G21" s="216">
        <f>'Operating Items Forecasts'!I17</f>
        <v>84.740740740740748</v>
      </c>
      <c r="H21" s="216">
        <f>'Operating Items Forecasts'!J17</f>
        <v>77.65432098765433</v>
      </c>
      <c r="I21" s="216">
        <f>'Operating Items Forecasts'!K17</f>
        <v>75.31687242798354</v>
      </c>
      <c r="J21" s="216">
        <f>'Operating Items Forecasts'!L17</f>
        <v>79.237311385459535</v>
      </c>
    </row>
    <row r="22" spans="1:10" s="487" customFormat="1" ht="24.95" customHeight="1">
      <c r="A22" s="482" t="s">
        <v>139</v>
      </c>
      <c r="B22" s="486"/>
      <c r="C22" s="486" t="s">
        <v>262</v>
      </c>
      <c r="D22" s="486" t="s">
        <v>262</v>
      </c>
      <c r="E22" s="484">
        <f t="shared" si="31"/>
        <v>-0.20125786163522008</v>
      </c>
      <c r="F22" s="484">
        <f t="shared" ref="F22" si="37">(F21-E21)/E21</f>
        <v>-0.2493438320209973</v>
      </c>
      <c r="G22" s="485">
        <f t="shared" ref="G22" si="38">(G21-F21)/F21</f>
        <v>0.33333333333333326</v>
      </c>
      <c r="H22" s="490">
        <f t="shared" ref="H22" si="39">(H21-G21)/G21</f>
        <v>-8.3624708624708596E-2</v>
      </c>
      <c r="I22" s="490">
        <f t="shared" ref="I22" si="40">(I21-H21)/H21</f>
        <v>-3.0100688924218435E-2</v>
      </c>
      <c r="J22" s="485">
        <f t="shared" ref="J22" si="41">(J21-I21)/I21</f>
        <v>5.2052598987360213E-2</v>
      </c>
    </row>
    <row r="23" spans="1:10" ht="24.95" customHeight="1">
      <c r="A23" s="34"/>
      <c r="B23" s="194"/>
      <c r="C23" s="194"/>
      <c r="D23" s="194"/>
      <c r="E23" s="194"/>
      <c r="F23" s="194"/>
      <c r="G23" s="194"/>
    </row>
    <row r="24" spans="1:10" ht="24.95" customHeight="1" thickBot="1">
      <c r="A24" s="195" t="s">
        <v>84</v>
      </c>
      <c r="B24" s="216">
        <f>B7-B13</f>
        <v>1852</v>
      </c>
      <c r="C24" s="216">
        <f t="shared" ref="C24:E24" si="42">C7-C13</f>
        <v>2385</v>
      </c>
      <c r="D24" s="216">
        <f t="shared" si="42"/>
        <v>2116</v>
      </c>
      <c r="E24" s="216">
        <f t="shared" si="42"/>
        <v>2061.9320611075145</v>
      </c>
      <c r="F24" s="216">
        <f>F7-F13</f>
        <v>2157.8257314933635</v>
      </c>
      <c r="G24" s="216">
        <f>G7-G13</f>
        <v>2220.8577059528179</v>
      </c>
      <c r="H24" s="216">
        <f t="shared" ref="H24:J24" si="43">H7-H13</f>
        <v>2285.8787429768272</v>
      </c>
      <c r="I24" s="216">
        <f t="shared" si="43"/>
        <v>2335.0953561069036</v>
      </c>
      <c r="J24" s="216">
        <f t="shared" si="43"/>
        <v>2276.893870324644</v>
      </c>
    </row>
    <row r="25" spans="1:10" s="487" customFormat="1" ht="24.95" customHeight="1" thickTop="1">
      <c r="A25" s="482" t="s">
        <v>139</v>
      </c>
      <c r="B25" s="486"/>
      <c r="C25" s="485">
        <f t="shared" ref="C25" si="44">(C24-B24)/B24</f>
        <v>0.28779697624190065</v>
      </c>
      <c r="D25" s="484">
        <f t="shared" ref="D25" si="45">(D24-C24)/C24</f>
        <v>-0.11278825995807128</v>
      </c>
      <c r="E25" s="490">
        <f t="shared" ref="E25" si="46">(E24-D24)/D24</f>
        <v>-2.5551955998339069E-2</v>
      </c>
      <c r="F25" s="485">
        <f t="shared" ref="F25" si="47">(F24-E24)/E24</f>
        <v>4.6506707080514624E-2</v>
      </c>
      <c r="G25" s="485">
        <f t="shared" ref="G25" si="48">(G24-F24)/F24</f>
        <v>2.9210873491545577E-2</v>
      </c>
      <c r="H25" s="485">
        <f t="shared" ref="H25" si="49">(H24-G24)/G24</f>
        <v>2.9277443957677243E-2</v>
      </c>
      <c r="I25" s="485">
        <f t="shared" ref="I25" si="50">(I24-H24)/H24</f>
        <v>2.1530719108041229E-2</v>
      </c>
      <c r="J25" s="484">
        <f t="shared" ref="J25" si="51">(J24-I24)/I24</f>
        <v>-2.4924671975406508E-2</v>
      </c>
    </row>
    <row r="26" spans="1:10" s="109" customFormat="1" ht="24.95" customHeight="1">
      <c r="A26" s="396" t="s">
        <v>585</v>
      </c>
      <c r="B26" s="201"/>
      <c r="C26" s="397">
        <f>C24/C7</f>
        <v>0.17837110163787301</v>
      </c>
      <c r="D26" s="397">
        <f t="shared" ref="D26:J26" si="52">D24/D7</f>
        <v>0.15619694397283532</v>
      </c>
      <c r="E26" s="397">
        <f t="shared" si="52"/>
        <v>0.14777262770229746</v>
      </c>
      <c r="F26" s="397">
        <f t="shared" si="52"/>
        <v>0.15085596324353512</v>
      </c>
      <c r="G26" s="397">
        <f t="shared" si="52"/>
        <v>0.15079342349410965</v>
      </c>
      <c r="H26" s="397">
        <f t="shared" si="52"/>
        <v>0.15322906079767479</v>
      </c>
      <c r="I26" s="397">
        <f t="shared" si="52"/>
        <v>0.15557207263516157</v>
      </c>
      <c r="J26" s="397">
        <f t="shared" si="52"/>
        <v>0.15041362374152215</v>
      </c>
    </row>
    <row r="27" spans="1:10" ht="24.95" customHeight="1">
      <c r="A27" s="34"/>
      <c r="B27" s="194"/>
      <c r="C27" s="194"/>
      <c r="D27" s="194"/>
      <c r="E27" s="194"/>
      <c r="F27" s="194"/>
      <c r="G27" s="194"/>
    </row>
    <row r="28" spans="1:10" ht="27" customHeight="1" thickBot="1">
      <c r="A28" s="196" t="s">
        <v>106</v>
      </c>
      <c r="B28" s="216">
        <f>-'Income Statement - Restated'!B14</f>
        <v>517</v>
      </c>
      <c r="C28" s="216">
        <f>-'Income Statement - Restated'!C14</f>
        <v>481</v>
      </c>
      <c r="D28" s="216">
        <f>-'Income Statement - Restated'!D14</f>
        <v>516</v>
      </c>
      <c r="E28" s="216">
        <f>-'Investment Forecasts'!I25</f>
        <v>532.91322424242423</v>
      </c>
      <c r="F28" s="216">
        <f>-'Investment Forecasts'!J25</f>
        <v>567.16448594102553</v>
      </c>
      <c r="G28" s="216">
        <f>-'Investment Forecasts'!K25</f>
        <v>602.35442086137414</v>
      </c>
      <c r="H28" s="216">
        <f>-'Investment Forecasts'!L25</f>
        <v>638.28880279862983</v>
      </c>
      <c r="I28" s="216">
        <f>-'Investment Forecasts'!M25</f>
        <v>674.5649036806218</v>
      </c>
      <c r="J28" s="216">
        <f>-'Investment Forecasts'!N25</f>
        <v>605.50203198012582</v>
      </c>
    </row>
    <row r="29" spans="1:10" s="487" customFormat="1" ht="24.95" customHeight="1" thickTop="1">
      <c r="A29" s="482" t="s">
        <v>139</v>
      </c>
      <c r="B29" s="486"/>
      <c r="C29" s="484">
        <f t="shared" ref="C29" si="53">(C28-B28)/B28</f>
        <v>-6.9632495164410058E-2</v>
      </c>
      <c r="D29" s="485">
        <f t="shared" ref="D29" si="54">(D28-C28)/C28</f>
        <v>7.2765072765072769E-2</v>
      </c>
      <c r="E29" s="485">
        <f t="shared" ref="E29" si="55">(E28-D28)/D28</f>
        <v>3.2777566361287279E-2</v>
      </c>
      <c r="F29" s="485">
        <f t="shared" ref="F29" si="56">(F28-E28)/E28</f>
        <v>6.4271742828847997E-2</v>
      </c>
      <c r="G29" s="485">
        <f t="shared" ref="G29" si="57">(G28-F28)/F28</f>
        <v>6.2045378003459301E-2</v>
      </c>
      <c r="H29" s="485">
        <f t="shared" ref="H29" si="58">(H28-G28)/G28</f>
        <v>5.9656542216240553E-2</v>
      </c>
      <c r="I29" s="485">
        <f t="shared" ref="I29" si="59">(I28-H28)/H28</f>
        <v>5.6833365590836647E-2</v>
      </c>
      <c r="J29" s="484">
        <f t="shared" ref="J29" si="60">(J28-I28)/I28</f>
        <v>-0.10238135918970719</v>
      </c>
    </row>
    <row r="30" spans="1:10" ht="24.95" customHeight="1">
      <c r="A30" s="34"/>
      <c r="B30" s="194"/>
      <c r="C30" s="194"/>
      <c r="D30" s="194"/>
      <c r="E30" s="194"/>
      <c r="F30" s="194"/>
      <c r="G30" s="194"/>
    </row>
    <row r="31" spans="1:10" ht="24.95" customHeight="1" thickBot="1">
      <c r="A31" s="195" t="s">
        <v>114</v>
      </c>
      <c r="B31" s="216">
        <f>B24-B28</f>
        <v>1335</v>
      </c>
      <c r="C31" s="216">
        <f t="shared" ref="C31:J31" si="61">C24-C28</f>
        <v>1904</v>
      </c>
      <c r="D31" s="216">
        <f t="shared" si="61"/>
        <v>1600</v>
      </c>
      <c r="E31" s="216">
        <f t="shared" si="61"/>
        <v>1529.0188368650902</v>
      </c>
      <c r="F31" s="216">
        <f>F24-F28</f>
        <v>1590.661245552338</v>
      </c>
      <c r="G31" s="216">
        <f t="shared" si="61"/>
        <v>1618.5032850914438</v>
      </c>
      <c r="H31" s="216">
        <f t="shared" si="61"/>
        <v>1647.5899401781974</v>
      </c>
      <c r="I31" s="216">
        <f t="shared" si="61"/>
        <v>1660.530452426282</v>
      </c>
      <c r="J31" s="216">
        <f t="shared" si="61"/>
        <v>1671.3918383445182</v>
      </c>
    </row>
    <row r="32" spans="1:10" s="487" customFormat="1" ht="24.95" customHeight="1" thickTop="1">
      <c r="A32" s="482" t="s">
        <v>139</v>
      </c>
      <c r="B32" s="486"/>
      <c r="C32" s="485">
        <f t="shared" ref="C32" si="62">(C31-B31)/B31</f>
        <v>0.42621722846441945</v>
      </c>
      <c r="D32" s="484">
        <f t="shared" ref="D32" si="63">(D31-C31)/C31</f>
        <v>-0.15966386554621848</v>
      </c>
      <c r="E32" s="484">
        <f t="shared" ref="E32" si="64">(E31-D31)/D31</f>
        <v>-4.4363226959318637E-2</v>
      </c>
      <c r="F32" s="485">
        <f t="shared" ref="F32:G32" si="65">(F31-E31)/E31</f>
        <v>4.031500933868918E-2</v>
      </c>
      <c r="G32" s="485">
        <f t="shared" si="65"/>
        <v>1.7503437401869947E-2</v>
      </c>
      <c r="H32" s="485">
        <f t="shared" ref="H32" si="66">(H31-G31)/G31</f>
        <v>1.7971329038797852E-2</v>
      </c>
      <c r="I32" s="485">
        <f t="shared" ref="I32" si="67">(I31-H31)/H31</f>
        <v>7.8542068827423088E-3</v>
      </c>
      <c r="J32" s="485">
        <f t="shared" ref="J32" si="68">(J31-I31)/I31</f>
        <v>6.5409134185802718E-3</v>
      </c>
    </row>
    <row r="33" spans="1:10" s="109" customFormat="1" ht="24.95" customHeight="1">
      <c r="A33" s="396" t="s">
        <v>585</v>
      </c>
      <c r="B33" s="398"/>
      <c r="C33" s="397">
        <f>C31/C7</f>
        <v>0.14239772642285542</v>
      </c>
      <c r="D33" s="397">
        <f t="shared" ref="D33:J33" si="69">D31/D7</f>
        <v>0.11810733003617037</v>
      </c>
      <c r="E33" s="397">
        <f t="shared" si="69"/>
        <v>0.1095802987846763</v>
      </c>
      <c r="F33" s="397">
        <f t="shared" si="69"/>
        <v>0.11120487205697097</v>
      </c>
      <c r="G33" s="397">
        <f t="shared" si="69"/>
        <v>0.10989432174840419</v>
      </c>
      <c r="H33" s="397">
        <f t="shared" si="69"/>
        <v>0.1104427170027547</v>
      </c>
      <c r="I33" s="397">
        <f t="shared" si="69"/>
        <v>0.11063024192230567</v>
      </c>
      <c r="J33" s="397">
        <f t="shared" si="69"/>
        <v>0.11041362374152215</v>
      </c>
    </row>
    <row r="34" spans="1:10" ht="24.95" customHeight="1">
      <c r="A34" s="34"/>
      <c r="B34" s="194"/>
      <c r="C34" s="194"/>
      <c r="D34" s="194"/>
      <c r="E34" s="194"/>
      <c r="F34" s="194"/>
      <c r="G34" s="194"/>
    </row>
    <row r="35" spans="1:10" ht="24.95" customHeight="1" thickBot="1">
      <c r="A35" s="195" t="s">
        <v>92</v>
      </c>
      <c r="B35" s="312">
        <f>'Income Statement - As Reported'!B18</f>
        <v>406</v>
      </c>
      <c r="C35" s="312">
        <f>'Income Statement - As Reported'!C18</f>
        <v>256</v>
      </c>
      <c r="D35" s="312">
        <f>'Income Statement - As Reported'!D18</f>
        <v>287</v>
      </c>
      <c r="E35" s="312">
        <f>'Financing Forecasts '!G30</f>
        <v>276.61240428171294</v>
      </c>
      <c r="F35" s="312">
        <f>'Financing Forecasts '!H30</f>
        <v>275.099517164286</v>
      </c>
      <c r="G35" s="312">
        <f>'Financing Forecasts '!I30</f>
        <v>280.78206915661764</v>
      </c>
      <c r="H35" s="312">
        <f>'Financing Forecasts '!J30</f>
        <v>279.92056661674275</v>
      </c>
      <c r="I35" s="312">
        <f>'Financing Forecasts '!K30</f>
        <v>279.57673520699132</v>
      </c>
      <c r="J35" s="312">
        <f>'Financing Forecasts '!L30</f>
        <v>280.72239031903274</v>
      </c>
    </row>
    <row r="36" spans="1:10" s="487" customFormat="1" ht="24.95" customHeight="1" thickTop="1">
      <c r="A36" s="482" t="s">
        <v>139</v>
      </c>
      <c r="B36" s="491"/>
      <c r="C36" s="484">
        <f t="shared" ref="C36" si="70">(C35-B35)/B35</f>
        <v>-0.36945812807881773</v>
      </c>
      <c r="D36" s="485">
        <f t="shared" ref="D36" si="71">(D35-C35)/C35</f>
        <v>0.12109375</v>
      </c>
      <c r="E36" s="484">
        <f t="shared" ref="E36" si="72">(E35-D35)/D35</f>
        <v>-3.6193713304136094E-2</v>
      </c>
      <c r="F36" s="484">
        <f t="shared" ref="F36" si="73">(F35-E35)/E35</f>
        <v>-5.4693393861186294E-3</v>
      </c>
      <c r="G36" s="485">
        <f t="shared" ref="G36" si="74">(G35-F35)/F35</f>
        <v>2.0656350294275833E-2</v>
      </c>
      <c r="H36" s="484">
        <f t="shared" ref="H36" si="75">(H35-G35)/G35</f>
        <v>-3.0682249135871747E-3</v>
      </c>
      <c r="I36" s="484">
        <f t="shared" ref="I36" si="76">(I35-H35)/H35</f>
        <v>-1.2283177828165534E-3</v>
      </c>
      <c r="J36" s="485">
        <f t="shared" ref="J36" si="77">(J35-I35)/I35</f>
        <v>4.0978199104915207E-3</v>
      </c>
    </row>
    <row r="37" spans="1:10" ht="24.95" customHeight="1">
      <c r="A37" s="34"/>
      <c r="B37" s="194"/>
      <c r="C37" s="194"/>
      <c r="D37" s="194"/>
      <c r="E37" s="194"/>
      <c r="F37" s="194"/>
      <c r="G37" s="194"/>
    </row>
    <row r="38" spans="1:10" ht="24.95" customHeight="1" thickBot="1">
      <c r="A38" s="195" t="s">
        <v>334</v>
      </c>
      <c r="B38" s="216">
        <f>'Income Statement - As Reported'!B16</f>
        <v>5</v>
      </c>
      <c r="C38" s="216">
        <f>'Income Statement - As Reported'!C16</f>
        <v>9</v>
      </c>
      <c r="D38" s="216">
        <f>'Income Statement - As Reported'!D16</f>
        <v>16</v>
      </c>
      <c r="E38" s="216">
        <f ca="1">'Financing Forecasts '!G43</f>
        <v>17.3650874919242</v>
      </c>
      <c r="F38" s="216">
        <f ca="1">'Financing Forecasts '!H43</f>
        <v>32.671599251776712</v>
      </c>
      <c r="G38" s="216">
        <f ca="1">'Financing Forecasts '!I43</f>
        <v>51.148020552160446</v>
      </c>
      <c r="H38" s="216">
        <f ca="1">'Financing Forecasts '!J43</f>
        <v>63.91192577975059</v>
      </c>
      <c r="I38" s="216">
        <f ca="1">'Financing Forecasts '!K43</f>
        <v>79.328217717700241</v>
      </c>
      <c r="J38" s="216">
        <f ca="1">'Financing Forecasts '!L43</f>
        <v>95.531955229821463</v>
      </c>
    </row>
    <row r="39" spans="1:10" s="487" customFormat="1" ht="24.95" customHeight="1" thickTop="1">
      <c r="A39" s="482" t="s">
        <v>139</v>
      </c>
      <c r="B39" s="486"/>
      <c r="C39" s="485">
        <f t="shared" ref="C39" si="78">(C38-B38)/B38</f>
        <v>0.8</v>
      </c>
      <c r="D39" s="485">
        <f t="shared" ref="D39" si="79">(D38-C38)/C38</f>
        <v>0.77777777777777779</v>
      </c>
      <c r="E39" s="484">
        <f t="shared" ref="E39" ca="1" si="80">(E38-D38)/D38</f>
        <v>8.5317968245262499E-2</v>
      </c>
      <c r="F39" s="484">
        <f t="shared" ref="F39" ca="1" si="81">(F38-E38)/E38</f>
        <v>0.88145318973894904</v>
      </c>
      <c r="G39" s="484">
        <f t="shared" ref="G39" ca="1" si="82">(G38-F38)/F38</f>
        <v>0.56551934167651652</v>
      </c>
      <c r="H39" s="484">
        <f t="shared" ref="H39" ca="1" si="83">(H38-G38)/G38</f>
        <v>0.24954837136998467</v>
      </c>
      <c r="I39" s="484">
        <f t="shared" ref="I39" ca="1" si="84">(I38-H38)/H38</f>
        <v>0.24121150708361291</v>
      </c>
      <c r="J39" s="484">
        <f t="shared" ref="J39" ca="1" si="85">(J38-I38)/I38</f>
        <v>0.20426196350186923</v>
      </c>
    </row>
    <row r="40" spans="1:10" ht="24.95" customHeight="1">
      <c r="A40" s="34"/>
      <c r="B40" s="194"/>
      <c r="C40" s="194"/>
      <c r="D40" s="194"/>
      <c r="E40" s="194"/>
      <c r="F40" s="194"/>
      <c r="G40" s="194"/>
    </row>
    <row r="41" spans="1:10" ht="24.95" customHeight="1" thickBot="1">
      <c r="A41" s="195" t="s">
        <v>115</v>
      </c>
      <c r="B41" s="216">
        <f>B31-B35+B38</f>
        <v>934</v>
      </c>
      <c r="C41" s="216">
        <f t="shared" ref="C41:J41" si="86">C31-C35+C38</f>
        <v>1657</v>
      </c>
      <c r="D41" s="216">
        <f t="shared" si="86"/>
        <v>1329</v>
      </c>
      <c r="E41" s="216">
        <f t="shared" ca="1" si="86"/>
        <v>1269.7715200753014</v>
      </c>
      <c r="F41" s="216">
        <f t="shared" ca="1" si="86"/>
        <v>1348.2333276398288</v>
      </c>
      <c r="G41" s="216">
        <f t="shared" ca="1" si="86"/>
        <v>1388.8692364869867</v>
      </c>
      <c r="H41" s="216">
        <f t="shared" ca="1" si="86"/>
        <v>1431.5812993412053</v>
      </c>
      <c r="I41" s="216">
        <f t="shared" ca="1" si="86"/>
        <v>1460.2819349369909</v>
      </c>
      <c r="J41" s="216">
        <f t="shared" ca="1" si="86"/>
        <v>1486.201403255307</v>
      </c>
    </row>
    <row r="42" spans="1:10" s="487" customFormat="1" ht="24.95" customHeight="1" thickTop="1">
      <c r="A42" s="482" t="s">
        <v>139</v>
      </c>
      <c r="B42" s="486"/>
      <c r="C42" s="485">
        <f t="shared" ref="C42" si="87">(C41-B41)/B41</f>
        <v>0.77408993576017127</v>
      </c>
      <c r="D42" s="484">
        <f t="shared" ref="D42" si="88">(D41-C41)/C41</f>
        <v>-0.1979480989740495</v>
      </c>
      <c r="E42" s="484">
        <f t="shared" ref="E42" ca="1" si="89">(E41-D41)/D41</f>
        <v>-4.4566200093828896E-2</v>
      </c>
      <c r="F42" s="492">
        <f t="shared" ref="F42" ca="1" si="90">(F41-E41)/E41</f>
        <v>6.1792067568088416E-2</v>
      </c>
      <c r="G42" s="492">
        <f t="shared" ref="G42" ca="1" si="91">(G41-F41)/F41</f>
        <v>3.0140115968126779E-2</v>
      </c>
      <c r="H42" s="492">
        <f t="shared" ref="H42" ca="1" si="92">(H41-G41)/G41</f>
        <v>3.0753120403368393E-2</v>
      </c>
      <c r="I42" s="492">
        <f t="shared" ref="I42" ca="1" si="93">(I41-H41)/H41</f>
        <v>2.0048205162356635E-2</v>
      </c>
      <c r="J42" s="492">
        <f t="shared" ref="J42" ca="1" si="94">(J41-I41)/I41</f>
        <v>1.7749632929229202E-2</v>
      </c>
    </row>
    <row r="43" spans="1:10" ht="24.95" customHeight="1">
      <c r="A43" s="34"/>
      <c r="B43" s="194"/>
      <c r="C43" s="194"/>
      <c r="D43" s="194"/>
      <c r="E43" s="194"/>
      <c r="F43" s="194"/>
      <c r="G43" s="194"/>
    </row>
    <row r="44" spans="1:10" ht="24.95" customHeight="1" thickBot="1">
      <c r="A44" s="195" t="s">
        <v>235</v>
      </c>
      <c r="B44" s="289">
        <f>'Income Statement - Restated'!B21</f>
        <v>235</v>
      </c>
      <c r="C44" s="289">
        <f>'Income Statement - Restated'!C21</f>
        <v>410</v>
      </c>
      <c r="D44" s="289">
        <f>'Income Statement - Restated'!D21</f>
        <v>181</v>
      </c>
      <c r="E44" s="306">
        <f ca="1">E41*E45</f>
        <v>268.86723952931942</v>
      </c>
      <c r="F44" s="21">
        <f ca="1">F41*F45</f>
        <v>285.48110216116055</v>
      </c>
      <c r="G44" s="21">
        <f ca="1">G41*G45</f>
        <v>294.0855356870066</v>
      </c>
      <c r="H44" s="21">
        <f t="shared" ref="H44:J44" ca="1" si="95">H41*H45</f>
        <v>303.12958357487821</v>
      </c>
      <c r="I44" s="21">
        <f t="shared" ca="1" si="95"/>
        <v>309.20678765716707</v>
      </c>
      <c r="J44" s="21">
        <f t="shared" ca="1" si="95"/>
        <v>314.69509463730793</v>
      </c>
    </row>
    <row r="45" spans="1:10" ht="24.95" customHeight="1" thickTop="1">
      <c r="A45" s="61" t="s">
        <v>673</v>
      </c>
      <c r="B45" s="166">
        <f>ABS(B44)/B41</f>
        <v>0.25160599571734477</v>
      </c>
      <c r="C45" s="166">
        <f t="shared" ref="C45:D45" si="96">ABS(C44)/C41</f>
        <v>0.24743512371756185</v>
      </c>
      <c r="D45" s="166">
        <f t="shared" si="96"/>
        <v>0.13619262603461249</v>
      </c>
      <c r="E45" s="166">
        <f>Assumptions!$B$69</f>
        <v>0.21174458182317302</v>
      </c>
      <c r="F45" s="166">
        <f>Assumptions!$B$69</f>
        <v>0.21174458182317302</v>
      </c>
      <c r="G45" s="166">
        <f>Assumptions!$B$69</f>
        <v>0.21174458182317302</v>
      </c>
      <c r="H45" s="166">
        <f>Assumptions!$B$69</f>
        <v>0.21174458182317302</v>
      </c>
      <c r="I45" s="166">
        <f>Assumptions!$B$69</f>
        <v>0.21174458182317302</v>
      </c>
      <c r="J45" s="166">
        <f>Assumptions!$B$69</f>
        <v>0.21174458182317302</v>
      </c>
    </row>
    <row r="46" spans="1:10" s="487" customFormat="1" ht="24.95" customHeight="1">
      <c r="A46" s="482" t="s">
        <v>139</v>
      </c>
      <c r="B46" s="486"/>
      <c r="C46" s="484">
        <f t="shared" ref="C46" si="97">(C45-B45)/B45</f>
        <v>-1.6576997650201035E-2</v>
      </c>
      <c r="D46" s="484">
        <f t="shared" ref="D46" si="98">(D45-C45)/C45</f>
        <v>-0.44958248453816363</v>
      </c>
      <c r="E46" s="485">
        <f t="shared" ref="E46" si="99">(E45-D45)/D45</f>
        <v>0.55474336598340845</v>
      </c>
      <c r="F46" s="485">
        <f t="shared" ref="F46" si="100">(F45-E45)/E45</f>
        <v>0</v>
      </c>
      <c r="G46" s="485">
        <f t="shared" ref="G46" si="101">(G45-F45)/F45</f>
        <v>0</v>
      </c>
      <c r="H46" s="485">
        <f t="shared" ref="H46" si="102">(H45-G45)/G45</f>
        <v>0</v>
      </c>
      <c r="I46" s="485">
        <f t="shared" ref="I46" si="103">(I45-H45)/H45</f>
        <v>0</v>
      </c>
      <c r="J46" s="485">
        <f t="shared" ref="J46" si="104">(J45-I45)/I45</f>
        <v>0</v>
      </c>
    </row>
    <row r="47" spans="1:10" ht="24.95" customHeight="1">
      <c r="A47" s="34"/>
      <c r="B47" s="194"/>
      <c r="C47" s="194"/>
      <c r="D47" s="194"/>
      <c r="E47" s="194"/>
      <c r="F47" s="194"/>
      <c r="G47" s="194"/>
    </row>
    <row r="48" spans="1:10" ht="24.95" customHeight="1" thickBot="1">
      <c r="A48" s="195" t="s">
        <v>238</v>
      </c>
      <c r="B48" s="216">
        <f>B50-B51</f>
        <v>0</v>
      </c>
      <c r="C48" s="216">
        <f>C50-C51</f>
        <v>7</v>
      </c>
      <c r="D48" s="216">
        <f t="shared" ref="D48" si="105">D50-D51</f>
        <v>188</v>
      </c>
      <c r="E48" s="216">
        <v>0</v>
      </c>
      <c r="F48" s="216">
        <v>0</v>
      </c>
      <c r="G48" s="216">
        <v>0</v>
      </c>
      <c r="H48" s="216">
        <v>0</v>
      </c>
      <c r="I48" s="216">
        <v>0</v>
      </c>
      <c r="J48" s="216">
        <v>0</v>
      </c>
    </row>
    <row r="49" spans="1:10" s="487" customFormat="1" ht="24.95" customHeight="1" thickTop="1">
      <c r="A49" s="482" t="s">
        <v>139</v>
      </c>
      <c r="B49" s="486"/>
      <c r="C49" s="486" t="s">
        <v>262</v>
      </c>
      <c r="D49" s="486" t="s">
        <v>262</v>
      </c>
      <c r="E49" s="486" t="s">
        <v>262</v>
      </c>
      <c r="F49" s="486" t="s">
        <v>262</v>
      </c>
      <c r="G49" s="486" t="s">
        <v>262</v>
      </c>
      <c r="H49" s="486" t="s">
        <v>262</v>
      </c>
      <c r="I49" s="486" t="s">
        <v>262</v>
      </c>
      <c r="J49" s="486" t="s">
        <v>262</v>
      </c>
    </row>
    <row r="50" spans="1:10" ht="24.95" customHeight="1">
      <c r="A50" s="63" t="s">
        <v>122</v>
      </c>
      <c r="B50" s="305">
        <f>'Income Statement - Restated'!B22</f>
        <v>1</v>
      </c>
      <c r="C50" s="305">
        <f>'Income Statement - Restated'!C22</f>
        <v>7</v>
      </c>
      <c r="D50" s="305">
        <f>'Income Statement - Restated'!D22</f>
        <v>196</v>
      </c>
      <c r="E50" s="216">
        <f>'Other Items Forecasts'!G11</f>
        <v>0</v>
      </c>
      <c r="F50" s="216">
        <f>'Other Items Forecasts'!H11</f>
        <v>0</v>
      </c>
      <c r="G50" s="216">
        <f>'Other Items Forecasts'!I11</f>
        <v>0</v>
      </c>
      <c r="H50" s="216">
        <f>'Other Items Forecasts'!J11</f>
        <v>0</v>
      </c>
      <c r="I50" s="216">
        <f>'Other Items Forecasts'!K11</f>
        <v>0</v>
      </c>
      <c r="J50" s="216">
        <f>'Other Items Forecasts'!L11</f>
        <v>0</v>
      </c>
    </row>
    <row r="51" spans="1:10" ht="24.95" customHeight="1">
      <c r="A51" s="61" t="s">
        <v>120</v>
      </c>
      <c r="B51" s="216">
        <f>'Income Statement - Restated'!B24</f>
        <v>1</v>
      </c>
      <c r="C51" s="216">
        <f>'Income Statement - Restated'!C24</f>
        <v>0</v>
      </c>
      <c r="D51" s="216">
        <f>'Income Statement - Restated'!D24</f>
        <v>8</v>
      </c>
      <c r="E51" s="216">
        <f>'Other Items Forecasts'!G12</f>
        <v>0</v>
      </c>
      <c r="F51" s="216">
        <f>'Other Items Forecasts'!H12</f>
        <v>0</v>
      </c>
      <c r="G51" s="216">
        <f>'Other Items Forecasts'!I12</f>
        <v>0</v>
      </c>
      <c r="H51" s="216">
        <f>'Other Items Forecasts'!J12</f>
        <v>0</v>
      </c>
      <c r="I51" s="216">
        <f>'Other Items Forecasts'!K12</f>
        <v>0</v>
      </c>
      <c r="J51" s="216">
        <f>'Other Items Forecasts'!L12</f>
        <v>0</v>
      </c>
    </row>
    <row r="52" spans="1:10" ht="24.95" customHeight="1">
      <c r="A52" s="34"/>
      <c r="B52" s="194"/>
      <c r="C52" s="194"/>
      <c r="D52" s="194"/>
      <c r="E52" s="194"/>
      <c r="F52" s="194"/>
      <c r="G52" s="194"/>
    </row>
    <row r="53" spans="1:10" ht="24.95" customHeight="1" thickBot="1">
      <c r="A53" s="195" t="s">
        <v>103</v>
      </c>
      <c r="B53" s="216">
        <f>B41-B44+B48</f>
        <v>699</v>
      </c>
      <c r="C53" s="216">
        <f t="shared" ref="C53:J53" si="106">C41-C44+C48</f>
        <v>1254</v>
      </c>
      <c r="D53" s="216">
        <f t="shared" si="106"/>
        <v>1336</v>
      </c>
      <c r="E53" s="216">
        <f t="shared" ca="1" si="106"/>
        <v>1000.9042805459819</v>
      </c>
      <c r="F53" s="216">
        <f t="shared" ca="1" si="106"/>
        <v>1062.7522254786682</v>
      </c>
      <c r="G53" s="216">
        <f t="shared" ca="1" si="106"/>
        <v>1094.7837007999801</v>
      </c>
      <c r="H53" s="216">
        <f t="shared" ca="1" si="106"/>
        <v>1128.4517157663272</v>
      </c>
      <c r="I53" s="216">
        <f t="shared" ca="1" si="106"/>
        <v>1151.0751472798238</v>
      </c>
      <c r="J53" s="216">
        <f t="shared" ca="1" si="106"/>
        <v>1171.5063086179991</v>
      </c>
    </row>
    <row r="54" spans="1:10" s="487" customFormat="1" ht="24.95" customHeight="1" thickTop="1">
      <c r="A54" s="482" t="s">
        <v>139</v>
      </c>
      <c r="B54" s="486"/>
      <c r="C54" s="485">
        <f t="shared" ref="C54" si="107">(C53-B53)/B53</f>
        <v>0.79399141630901282</v>
      </c>
      <c r="D54" s="485">
        <f t="shared" ref="D54" si="108">(D53-C53)/C53</f>
        <v>6.5390749601275916E-2</v>
      </c>
      <c r="E54" s="484">
        <f t="shared" ref="E54" ca="1" si="109">(E53-D53)/D53</f>
        <v>-0.25082014929192969</v>
      </c>
      <c r="F54" s="492">
        <f t="shared" ref="F54" ca="1" si="110">(F53-E53)/E53</f>
        <v>6.1792067568088409E-2</v>
      </c>
      <c r="G54" s="492">
        <f t="shared" ref="G54" ca="1" si="111">(G53-F53)/F53</f>
        <v>3.0140115968126869E-2</v>
      </c>
      <c r="H54" s="492">
        <f t="shared" ref="H54" ca="1" si="112">(H53-G53)/G53</f>
        <v>3.0753120403368434E-2</v>
      </c>
      <c r="I54" s="492">
        <f t="shared" ref="I54" ca="1" si="113">(I53-H53)/H53</f>
        <v>2.0048205162356558E-2</v>
      </c>
      <c r="J54" s="492">
        <f t="shared" ref="J54" ca="1" si="114">(J53-I53)/I53</f>
        <v>1.7749632929229226E-2</v>
      </c>
    </row>
    <row r="55" spans="1:10" s="109" customFormat="1" ht="24.95" customHeight="1">
      <c r="A55" s="396" t="s">
        <v>585</v>
      </c>
      <c r="B55" s="398"/>
      <c r="C55" s="397">
        <f>C53/C7</f>
        <v>9.3785057213372228E-2</v>
      </c>
      <c r="D55" s="397">
        <f t="shared" ref="D55:J55" si="115">D53/D7</f>
        <v>9.8619620580202252E-2</v>
      </c>
      <c r="E55" s="397">
        <f t="shared" ca="1" si="115"/>
        <v>7.1731876333167438E-2</v>
      </c>
      <c r="F55" s="397">
        <f t="shared" ca="1" si="115"/>
        <v>7.4298173538249968E-2</v>
      </c>
      <c r="G55" s="397">
        <f t="shared" ca="1" si="115"/>
        <v>7.4334425743117508E-2</v>
      </c>
      <c r="H55" s="397">
        <f t="shared" ca="1" si="115"/>
        <v>7.56433809508293E-2</v>
      </c>
      <c r="I55" s="397">
        <f t="shared" ca="1" si="115"/>
        <v>7.6688579741643642E-2</v>
      </c>
      <c r="J55" s="397">
        <f t="shared" ca="1" si="115"/>
        <v>7.7390743333224751E-2</v>
      </c>
    </row>
    <row r="57" spans="1:10" ht="24.95" customHeight="1">
      <c r="A57" s="454"/>
      <c r="B57" s="454" t="s">
        <v>86</v>
      </c>
      <c r="C57" s="454" t="s">
        <v>87</v>
      </c>
      <c r="D57" s="454" t="s">
        <v>88</v>
      </c>
      <c r="E57" s="454" t="s">
        <v>117</v>
      </c>
      <c r="F57" s="454" t="s">
        <v>118</v>
      </c>
      <c r="G57" s="454" t="s">
        <v>119</v>
      </c>
      <c r="H57" s="454" t="s">
        <v>548</v>
      </c>
      <c r="I57" s="454" t="s">
        <v>549</v>
      </c>
      <c r="J57" s="454" t="s">
        <v>550</v>
      </c>
    </row>
    <row r="58" spans="1:10" ht="24.95" customHeight="1">
      <c r="B58" s="59"/>
      <c r="C58" s="59"/>
      <c r="D58" s="59"/>
      <c r="E58" s="59"/>
      <c r="F58" s="59"/>
      <c r="G58" s="59"/>
    </row>
    <row r="59" spans="1:10" ht="24.95" customHeight="1" thickBot="1">
      <c r="A59" s="64" t="s">
        <v>282</v>
      </c>
      <c r="B59" s="59"/>
      <c r="C59" s="59"/>
      <c r="D59" s="59"/>
      <c r="E59" s="59"/>
      <c r="F59" s="59"/>
      <c r="G59" s="59"/>
    </row>
    <row r="60" spans="1:10" ht="24.95" customHeight="1" thickTop="1">
      <c r="A60" s="63"/>
      <c r="B60" s="59"/>
      <c r="C60" s="59"/>
      <c r="D60" s="59"/>
      <c r="E60" s="59"/>
      <c r="F60" s="59"/>
      <c r="G60" s="59"/>
    </row>
    <row r="61" spans="1:10" ht="24.95" customHeight="1">
      <c r="A61" s="193" t="s">
        <v>49</v>
      </c>
      <c r="B61" s="59"/>
      <c r="C61" s="59"/>
      <c r="D61" s="59"/>
      <c r="E61" s="59"/>
      <c r="F61" s="59"/>
      <c r="G61" s="59"/>
    </row>
    <row r="62" spans="1:10" ht="24.95" customHeight="1">
      <c r="A62" s="63"/>
      <c r="B62" s="59"/>
      <c r="C62" s="59"/>
      <c r="D62" s="59"/>
      <c r="E62" s="59"/>
      <c r="F62" s="59"/>
      <c r="G62" s="59"/>
    </row>
    <row r="63" spans="1:10" ht="24.95" customHeight="1">
      <c r="A63" s="63" t="s">
        <v>50</v>
      </c>
      <c r="B63" s="216">
        <f>'Balance Sheet - Restated'!B10</f>
        <v>3569</v>
      </c>
      <c r="C63" s="216">
        <f>'Balance Sheet - Restated'!C10</f>
        <v>3716</v>
      </c>
      <c r="D63" s="216">
        <f>'Balance Sheet - Restated'!D10</f>
        <v>3731</v>
      </c>
      <c r="E63" s="216">
        <f>'Investment Forecasts'!I11</f>
        <v>3756.223175757576</v>
      </c>
      <c r="F63" s="216">
        <f>'Investment Forecasts'!J11</f>
        <v>3795.4651875689938</v>
      </c>
      <c r="G63" s="216">
        <f>'Investment Forecasts'!K11</f>
        <v>3817.4133179456339</v>
      </c>
      <c r="H63" s="216">
        <f>'Investment Forecasts'!L11</f>
        <v>3811.7808846960288</v>
      </c>
      <c r="I63" s="216">
        <f>'Investment Forecasts'!M11</f>
        <v>3773.8814233913654</v>
      </c>
      <c r="J63" s="216">
        <f>'Investment Forecasts'!N11</f>
        <v>3773.8814233913654</v>
      </c>
    </row>
    <row r="64" spans="1:10" ht="24.95" customHeight="1">
      <c r="A64" s="63" t="s">
        <v>51</v>
      </c>
      <c r="B64" s="216">
        <f>'Balance Sheet - Restated'!B11</f>
        <v>7535</v>
      </c>
      <c r="C64" s="216">
        <f>'Balance Sheet - Restated'!C11</f>
        <v>8143</v>
      </c>
      <c r="D64" s="216">
        <f>'Balance Sheet - Restated'!D11</f>
        <v>9411</v>
      </c>
      <c r="E64" s="216">
        <f>'Investment Forecasts'!I5</f>
        <v>9411</v>
      </c>
      <c r="F64" s="216">
        <f>'Investment Forecasts'!J5</f>
        <v>9376.7000000000007</v>
      </c>
      <c r="G64" s="216">
        <f>'Investment Forecasts'!K5</f>
        <v>9341.5</v>
      </c>
      <c r="H64" s="216">
        <f>'Investment Forecasts'!L5</f>
        <v>9305.6</v>
      </c>
      <c r="I64" s="216">
        <f>'Investment Forecasts'!M5</f>
        <v>9269.2999999999993</v>
      </c>
      <c r="J64" s="216">
        <f>'Investment Forecasts'!N5</f>
        <v>9269.2999999999993</v>
      </c>
    </row>
    <row r="65" spans="1:10" ht="24.95" customHeight="1">
      <c r="A65" s="193" t="s">
        <v>52</v>
      </c>
      <c r="B65" s="300">
        <f>SUM(B63:B64)</f>
        <v>11104</v>
      </c>
      <c r="C65" s="300">
        <f t="shared" ref="C65:D65" si="116">SUM(C63:C64)</f>
        <v>11859</v>
      </c>
      <c r="D65" s="300">
        <f t="shared" si="116"/>
        <v>13142</v>
      </c>
      <c r="E65" s="300">
        <f t="shared" ref="E65" si="117">SUM(E63:E64)</f>
        <v>13167.223175757576</v>
      </c>
      <c r="F65" s="300">
        <f t="shared" ref="F65" si="118">SUM(F63:F64)</f>
        <v>13172.165187568995</v>
      </c>
      <c r="G65" s="300">
        <f t="shared" ref="G65:J65" si="119">SUM(G63:G64)</f>
        <v>13158.913317945633</v>
      </c>
      <c r="H65" s="300">
        <f t="shared" si="119"/>
        <v>13117.380884696029</v>
      </c>
      <c r="I65" s="300">
        <f t="shared" si="119"/>
        <v>13043.181423391365</v>
      </c>
      <c r="J65" s="300">
        <f t="shared" si="119"/>
        <v>13043.181423391365</v>
      </c>
    </row>
    <row r="66" spans="1:10" ht="24.95" customHeight="1">
      <c r="A66" s="63"/>
      <c r="B66" s="21"/>
      <c r="C66" s="21"/>
      <c r="D66" s="21"/>
      <c r="E66" s="21"/>
      <c r="F66" s="21"/>
      <c r="G66" s="21"/>
    </row>
    <row r="67" spans="1:10" ht="24.95" customHeight="1">
      <c r="A67" s="193" t="s">
        <v>48</v>
      </c>
      <c r="B67" s="21"/>
      <c r="C67" s="21"/>
      <c r="D67" s="21"/>
      <c r="E67" s="21"/>
      <c r="F67" s="21"/>
      <c r="G67" s="21"/>
      <c r="H67" s="21"/>
      <c r="I67" s="21"/>
      <c r="J67" s="21"/>
    </row>
    <row r="68" spans="1:10" ht="24.95" customHeight="1">
      <c r="A68" s="63"/>
      <c r="B68" s="21"/>
      <c r="C68" s="21"/>
      <c r="D68" s="21"/>
      <c r="E68" s="21"/>
      <c r="F68" s="21"/>
      <c r="G68" s="21"/>
    </row>
    <row r="69" spans="1:10" ht="24.95" customHeight="1">
      <c r="A69" s="63" t="s">
        <v>601</v>
      </c>
      <c r="B69" s="307">
        <f>'Balance Sheet - Restated'!B16</f>
        <v>1106</v>
      </c>
      <c r="C69" s="307">
        <f>'Balance Sheet - Restated'!C16</f>
        <v>1250</v>
      </c>
      <c r="D69" s="307">
        <f>'Balance Sheet - Restated'!D16</f>
        <v>1163</v>
      </c>
      <c r="E69" s="216">
        <f>'Investment Forecasts'!I31</f>
        <v>1323.2761251521197</v>
      </c>
      <c r="F69" s="216">
        <f>'Investment Forecasts'!J31</f>
        <v>1356.5131458023959</v>
      </c>
      <c r="G69" s="216">
        <f>'Investment Forecasts'!K31</f>
        <v>1396.7171110844376</v>
      </c>
      <c r="H69" s="216">
        <f>'Investment Forecasts'!L31</f>
        <v>1414.7580404359451</v>
      </c>
      <c r="I69" s="216">
        <f>'Investment Forecasts'!M31</f>
        <v>1423.4529075594576</v>
      </c>
      <c r="J69" s="216">
        <f>'Investment Forecasts'!N31</f>
        <v>1435.5744987253936</v>
      </c>
    </row>
    <row r="70" spans="1:10" ht="24.95" customHeight="1">
      <c r="A70" s="63" t="s">
        <v>602</v>
      </c>
      <c r="B70" s="307">
        <f>'Balance Sheet - Restated'!B17</f>
        <v>-2061</v>
      </c>
      <c r="C70" s="307">
        <f>'Balance Sheet - Restated'!C17</f>
        <v>-2269</v>
      </c>
      <c r="D70" s="307">
        <f>'Balance Sheet - Restated'!D17</f>
        <v>-2427</v>
      </c>
      <c r="E70" s="307">
        <f>-'Investment Forecasts'!I32</f>
        <v>-2258.7353099889538</v>
      </c>
      <c r="F70" s="307">
        <f>-'Investment Forecasts'!J32</f>
        <v>-2315.4684669730868</v>
      </c>
      <c r="G70" s="307">
        <f>-'Investment Forecasts'!K32</f>
        <v>-2384.0936875586085</v>
      </c>
      <c r="H70" s="307">
        <f>-'Investment Forecasts'!L32</f>
        <v>-2414.8882310229069</v>
      </c>
      <c r="I70" s="307">
        <f>-'Investment Forecasts'!M32</f>
        <v>-2429.7297316094018</v>
      </c>
      <c r="J70" s="307">
        <f>-'Investment Forecasts'!N32</f>
        <v>-2450.420398855138</v>
      </c>
    </row>
    <row r="71" spans="1:10" ht="24.95" customHeight="1">
      <c r="A71" s="63" t="s">
        <v>72</v>
      </c>
      <c r="B71" s="307">
        <f>'Balance Sheet - Restated'!B18</f>
        <v>-754</v>
      </c>
      <c r="C71" s="307">
        <f>'Balance Sheet - Restated'!C18</f>
        <v>0</v>
      </c>
      <c r="D71" s="307">
        <f>'Balance Sheet - Restated'!D18</f>
        <v>0</v>
      </c>
      <c r="E71" s="216">
        <f>'Operating Items Forecasts'!G8</f>
        <v>0</v>
      </c>
      <c r="F71" s="216">
        <f>'Operating Items Forecasts'!H8</f>
        <v>0</v>
      </c>
      <c r="G71" s="216">
        <f>'Operating Items Forecasts'!I8</f>
        <v>0</v>
      </c>
      <c r="H71" s="216">
        <f>'Operating Items Forecasts'!J8</f>
        <v>0</v>
      </c>
      <c r="I71" s="216">
        <f>'Operating Items Forecasts'!K8</f>
        <v>0</v>
      </c>
      <c r="J71" s="216">
        <f>'Operating Items Forecasts'!L8</f>
        <v>0</v>
      </c>
    </row>
    <row r="72" spans="1:10" ht="24.95" customHeight="1">
      <c r="A72" s="63" t="s">
        <v>53</v>
      </c>
      <c r="B72" s="216">
        <f>'Balance Sheet - Restated'!B19</f>
        <v>1238</v>
      </c>
      <c r="C72" s="216">
        <f>'Balance Sheet - Restated'!C19</f>
        <v>1217</v>
      </c>
      <c r="D72" s="216">
        <f>'Balance Sheet - Restated'!D19</f>
        <v>1330</v>
      </c>
      <c r="E72" s="216">
        <f>'Investment Forecasts'!I33</f>
        <v>1341.1239521447203</v>
      </c>
      <c r="F72" s="216">
        <f>'Investment Forecasts'!J33</f>
        <v>1374.8092606338234</v>
      </c>
      <c r="G72" s="216">
        <f>'Investment Forecasts'!K33</f>
        <v>1415.5554811588424</v>
      </c>
      <c r="H72" s="216">
        <f>'Investment Forecasts'!L33</f>
        <v>1433.8397394571441</v>
      </c>
      <c r="I72" s="216">
        <f>'Investment Forecasts'!M33</f>
        <v>1442.6518795225577</v>
      </c>
      <c r="J72" s="216">
        <f>'Investment Forecasts'!N33</f>
        <v>1454.9369619341171</v>
      </c>
    </row>
    <row r="73" spans="1:10" ht="24.95" customHeight="1">
      <c r="A73" s="63" t="s">
        <v>268</v>
      </c>
      <c r="B73" s="307">
        <f>'Balance Sheet - Restated'!B20</f>
        <v>-355</v>
      </c>
      <c r="C73" s="307">
        <f>'Balance Sheet - Restated'!C20</f>
        <v>-110</v>
      </c>
      <c r="D73" s="307">
        <f>'Balance Sheet - Restated'!D20</f>
        <v>-484</v>
      </c>
      <c r="E73" s="307">
        <f>'Operating Items Forecasts'!G5</f>
        <v>-316.33333333333331</v>
      </c>
      <c r="F73" s="307">
        <f>'Operating Items Forecasts'!H5</f>
        <v>-303.4444444444444</v>
      </c>
      <c r="G73" s="307">
        <f>'Operating Items Forecasts'!I5</f>
        <v>-367.92592592592587</v>
      </c>
      <c r="H73" s="307">
        <f>'Operating Items Forecasts'!J5</f>
        <v>-329.23456790123453</v>
      </c>
      <c r="I73" s="307">
        <f>'Operating Items Forecasts'!K5</f>
        <v>-333.53497942386826</v>
      </c>
      <c r="J73" s="307">
        <f>'Operating Items Forecasts'!L5</f>
        <v>-343.56515775034291</v>
      </c>
    </row>
    <row r="74" spans="1:10" ht="24.95" customHeight="1">
      <c r="A74" s="63" t="s">
        <v>79</v>
      </c>
      <c r="B74" s="307">
        <f>'Balance Sheet - Restated'!B21</f>
        <v>-8</v>
      </c>
      <c r="C74" s="307">
        <f>'Balance Sheet - Restated'!C21</f>
        <v>-10</v>
      </c>
      <c r="D74" s="307">
        <f>'Balance Sheet - Restated'!D21</f>
        <v>-10</v>
      </c>
      <c r="E74" s="307">
        <f>'Operating Items Forecasts'!G6</f>
        <v>-10</v>
      </c>
      <c r="F74" s="307">
        <f>'Operating Items Forecasts'!H6</f>
        <v>-10</v>
      </c>
      <c r="G74" s="307">
        <f>'Operating Items Forecasts'!I6</f>
        <v>-10</v>
      </c>
      <c r="H74" s="307">
        <f>'Operating Items Forecasts'!J6</f>
        <v>-10</v>
      </c>
      <c r="I74" s="307">
        <f>'Operating Items Forecasts'!K6</f>
        <v>-10</v>
      </c>
      <c r="J74" s="307">
        <f>'Operating Items Forecasts'!L6</f>
        <v>-10</v>
      </c>
    </row>
    <row r="75" spans="1:10" ht="24.95" customHeight="1">
      <c r="A75" s="63" t="s">
        <v>269</v>
      </c>
      <c r="B75" s="307">
        <f>'Balance Sheet - Restated'!B22</f>
        <v>-288</v>
      </c>
      <c r="C75" s="307">
        <f>'Balance Sheet - Restated'!C22</f>
        <v>-1171</v>
      </c>
      <c r="D75" s="307">
        <f>'Balance Sheet - Restated'!D22</f>
        <v>-1056</v>
      </c>
      <c r="E75" s="307">
        <f>'Operating Items Forecasts'!G7</f>
        <v>-838.33333333333337</v>
      </c>
      <c r="F75" s="307">
        <f>'Operating Items Forecasts'!H7</f>
        <v>-1021.7777777777778</v>
      </c>
      <c r="G75" s="307">
        <f>'Operating Items Forecasts'!I7</f>
        <v>-972.03703703703707</v>
      </c>
      <c r="H75" s="307">
        <f>'Operating Items Forecasts'!J7</f>
        <v>-944.04938271604942</v>
      </c>
      <c r="I75" s="307">
        <f>'Operating Items Forecasts'!K7</f>
        <v>-979.28806584362144</v>
      </c>
      <c r="J75" s="307">
        <f>'Operating Items Forecasts'!L7</f>
        <v>-965.12482853223594</v>
      </c>
    </row>
    <row r="76" spans="1:10" ht="30" customHeight="1">
      <c r="A76" s="193" t="s">
        <v>56</v>
      </c>
      <c r="B76" s="308">
        <f>SUM(B69:B75)</f>
        <v>-1122</v>
      </c>
      <c r="C76" s="308">
        <f t="shared" ref="C76:D76" si="120">SUM(C69:C75)</f>
        <v>-1093</v>
      </c>
      <c r="D76" s="308">
        <f t="shared" si="120"/>
        <v>-1484</v>
      </c>
      <c r="E76" s="308">
        <f t="shared" ref="E76" si="121">SUM(E69:E75)</f>
        <v>-759.00189935878052</v>
      </c>
      <c r="F76" s="308">
        <f t="shared" ref="F76" si="122">SUM(F69:F75)</f>
        <v>-919.36828275908965</v>
      </c>
      <c r="G76" s="308">
        <f t="shared" ref="G76:J76" si="123">SUM(G69:G75)</f>
        <v>-921.78405827829135</v>
      </c>
      <c r="H76" s="308">
        <f t="shared" si="123"/>
        <v>-849.57440174710166</v>
      </c>
      <c r="I76" s="308">
        <f t="shared" si="123"/>
        <v>-886.44798979487632</v>
      </c>
      <c r="J76" s="308">
        <f t="shared" si="123"/>
        <v>-878.59892447820619</v>
      </c>
    </row>
    <row r="77" spans="1:10" ht="24.95" customHeight="1">
      <c r="A77" s="63"/>
      <c r="B77" s="21"/>
      <c r="C77" s="21"/>
      <c r="D77" s="21"/>
      <c r="E77" s="216"/>
      <c r="F77" s="216"/>
      <c r="G77" s="216"/>
    </row>
    <row r="78" spans="1:10" ht="24.95" customHeight="1">
      <c r="A78" s="193" t="s">
        <v>57</v>
      </c>
      <c r="B78" s="300">
        <f>B65+B76</f>
        <v>9982</v>
      </c>
      <c r="C78" s="300">
        <f t="shared" ref="C78:J78" si="124">C65+C76</f>
        <v>10766</v>
      </c>
      <c r="D78" s="300">
        <f t="shared" si="124"/>
        <v>11658</v>
      </c>
      <c r="E78" s="300">
        <f t="shared" si="124"/>
        <v>12408.221276398795</v>
      </c>
      <c r="F78" s="300">
        <f t="shared" si="124"/>
        <v>12252.796904809906</v>
      </c>
      <c r="G78" s="300">
        <f t="shared" si="124"/>
        <v>12237.129259667341</v>
      </c>
      <c r="H78" s="300">
        <f t="shared" si="124"/>
        <v>12267.806482948927</v>
      </c>
      <c r="I78" s="300">
        <f t="shared" si="124"/>
        <v>12156.733433596488</v>
      </c>
      <c r="J78" s="300">
        <f t="shared" si="124"/>
        <v>12164.582498913158</v>
      </c>
    </row>
    <row r="79" spans="1:10" ht="24.95" customHeight="1">
      <c r="A79" s="63"/>
      <c r="B79" s="21"/>
      <c r="C79" s="21"/>
      <c r="D79" s="21"/>
      <c r="E79" s="21"/>
      <c r="F79" s="21"/>
      <c r="G79" s="21"/>
    </row>
    <row r="80" spans="1:10" ht="24.95" customHeight="1">
      <c r="A80" s="193" t="s">
        <v>60</v>
      </c>
      <c r="B80" s="21"/>
      <c r="C80" s="21"/>
      <c r="D80" s="21"/>
      <c r="E80" s="21"/>
      <c r="F80" s="21"/>
      <c r="G80" s="21"/>
    </row>
    <row r="81" spans="1:10" ht="24.95" customHeight="1">
      <c r="A81" s="63"/>
      <c r="B81" s="21"/>
      <c r="C81" s="21"/>
      <c r="D81" s="21"/>
      <c r="E81" s="21"/>
      <c r="F81" s="21"/>
      <c r="G81" s="21"/>
    </row>
    <row r="82" spans="1:10" ht="24.95" customHeight="1">
      <c r="A82" s="63" t="s">
        <v>78</v>
      </c>
      <c r="B82" s="216">
        <f>'Balance Sheet - Restated'!B28</f>
        <v>438</v>
      </c>
      <c r="C82" s="216">
        <f>'Balance Sheet - Restated'!C28</f>
        <v>429</v>
      </c>
      <c r="D82" s="216">
        <f>'Balance Sheet - Restated'!D28</f>
        <v>413</v>
      </c>
      <c r="E82" s="307">
        <f>'Other Items Forecasts'!G5</f>
        <v>426.66666666666669</v>
      </c>
      <c r="F82" s="307">
        <f>'Other Items Forecasts'!H5</f>
        <v>422.88888888888891</v>
      </c>
      <c r="G82" s="307">
        <f>'Other Items Forecasts'!I5</f>
        <v>420.8518518518519</v>
      </c>
      <c r="H82" s="307">
        <f>'Other Items Forecasts'!J5</f>
        <v>423.46913580246922</v>
      </c>
      <c r="I82" s="307">
        <f>'Other Items Forecasts'!K5</f>
        <v>422.40329218107007</v>
      </c>
      <c r="J82" s="307">
        <f>'Other Items Forecasts'!L5</f>
        <v>422.24142661179707</v>
      </c>
    </row>
    <row r="83" spans="1:10" ht="24.95" customHeight="1">
      <c r="A83" s="63" t="s">
        <v>599</v>
      </c>
      <c r="B83" s="216">
        <f>'Balance Sheet - Restated'!B29</f>
        <v>458</v>
      </c>
      <c r="C83" s="216">
        <f>'Balance Sheet - Restated'!C29</f>
        <v>782</v>
      </c>
      <c r="D83" s="216">
        <f>'Balance Sheet - Restated'!D29</f>
        <v>822</v>
      </c>
      <c r="E83" s="307">
        <f>'Other Items Forecasts'!G6</f>
        <v>687.33333333333337</v>
      </c>
      <c r="F83" s="307">
        <f>'Other Items Forecasts'!H6</f>
        <v>763.77777777777783</v>
      </c>
      <c r="G83" s="307">
        <f>'Other Items Forecasts'!I6</f>
        <v>757.70370370370381</v>
      </c>
      <c r="H83" s="307">
        <f>'Other Items Forecasts'!J6</f>
        <v>736.27160493827171</v>
      </c>
      <c r="I83" s="307">
        <f>'Other Items Forecasts'!K6</f>
        <v>752.58436213991774</v>
      </c>
      <c r="J83" s="307">
        <f>'Other Items Forecasts'!L6</f>
        <v>748.85322359396434</v>
      </c>
    </row>
    <row r="84" spans="1:10" ht="24.95" customHeight="1">
      <c r="A84" s="63" t="s">
        <v>600</v>
      </c>
      <c r="B84" s="307">
        <f>'Balance Sheet - Restated'!B30</f>
        <v>-1423</v>
      </c>
      <c r="C84" s="307">
        <f>'Balance Sheet - Restated'!C30</f>
        <v>-1390</v>
      </c>
      <c r="D84" s="307">
        <f>'Balance Sheet - Restated'!D30</f>
        <v>-1133</v>
      </c>
      <c r="E84" s="307">
        <f>'Other Items Forecasts'!G7</f>
        <v>-1315.3333333333333</v>
      </c>
      <c r="F84" s="307">
        <f>'Other Items Forecasts'!H7</f>
        <v>-1279.4444444444443</v>
      </c>
      <c r="G84" s="307">
        <f>'Other Items Forecasts'!I7</f>
        <v>-1242.5925925925924</v>
      </c>
      <c r="H84" s="307">
        <f>'Other Items Forecasts'!J7</f>
        <v>-1279.1234567901231</v>
      </c>
      <c r="I84" s="307">
        <f>'Other Items Forecasts'!K7</f>
        <v>-1267.0534979423865</v>
      </c>
      <c r="J84" s="307">
        <f>'Other Items Forecasts'!L7</f>
        <v>-1262.9231824417006</v>
      </c>
    </row>
    <row r="85" spans="1:10" ht="24.95" customHeight="1">
      <c r="A85" s="193" t="s">
        <v>77</v>
      </c>
      <c r="B85" s="308">
        <f>SUM(B82:B84)</f>
        <v>-527</v>
      </c>
      <c r="C85" s="308">
        <f t="shared" ref="C85:D85" si="125">SUM(C82:C84)</f>
        <v>-179</v>
      </c>
      <c r="D85" s="308">
        <f t="shared" si="125"/>
        <v>102</v>
      </c>
      <c r="E85" s="308">
        <f t="shared" ref="E85" si="126">SUM(E82:E84)</f>
        <v>-201.33333333333326</v>
      </c>
      <c r="F85" s="308">
        <f t="shared" ref="F85" si="127">SUM(F82:F84)</f>
        <v>-92.777777777777601</v>
      </c>
      <c r="G85" s="308">
        <f t="shared" ref="G85:J85" si="128">SUM(G82:G84)</f>
        <v>-64.037037037036725</v>
      </c>
      <c r="H85" s="308">
        <f t="shared" si="128"/>
        <v>-119.38271604938222</v>
      </c>
      <c r="I85" s="308">
        <f t="shared" si="128"/>
        <v>-92.065843621398699</v>
      </c>
      <c r="J85" s="308">
        <f t="shared" si="128"/>
        <v>-91.828532235939292</v>
      </c>
    </row>
    <row r="86" spans="1:10" ht="24.95" customHeight="1">
      <c r="A86" s="63"/>
      <c r="B86" s="21"/>
      <c r="C86" s="21"/>
      <c r="D86" s="21"/>
      <c r="E86" s="21"/>
      <c r="F86" s="21"/>
      <c r="G86" s="21"/>
      <c r="H86" s="21"/>
      <c r="I86" s="21"/>
      <c r="J86" s="21"/>
    </row>
    <row r="87" spans="1:10" ht="24.95" customHeight="1">
      <c r="A87" s="193" t="s">
        <v>61</v>
      </c>
      <c r="B87" s="300">
        <f>B78+B85</f>
        <v>9455</v>
      </c>
      <c r="C87" s="300">
        <f t="shared" ref="C87:G87" si="129">C78+C85</f>
        <v>10587</v>
      </c>
      <c r="D87" s="300">
        <f t="shared" si="129"/>
        <v>11760</v>
      </c>
      <c r="E87" s="300">
        <f t="shared" si="129"/>
        <v>12206.887943065462</v>
      </c>
      <c r="F87" s="300">
        <f t="shared" si="129"/>
        <v>12160.019127032128</v>
      </c>
      <c r="G87" s="300">
        <f t="shared" si="129"/>
        <v>12173.092222630305</v>
      </c>
      <c r="H87" s="300">
        <f t="shared" ref="H87:J87" si="130">H78+H85</f>
        <v>12148.423766899545</v>
      </c>
      <c r="I87" s="300">
        <f t="shared" si="130"/>
        <v>12064.66758997509</v>
      </c>
      <c r="J87" s="300">
        <f t="shared" si="130"/>
        <v>12072.753966677219</v>
      </c>
    </row>
    <row r="88" spans="1:10" ht="24.95" customHeight="1">
      <c r="A88" s="63"/>
      <c r="B88" s="21"/>
      <c r="C88" s="21"/>
      <c r="D88" s="21"/>
      <c r="E88" s="21"/>
      <c r="F88" s="21"/>
      <c r="G88" s="21"/>
      <c r="H88" s="21"/>
      <c r="I88" s="21"/>
      <c r="J88" s="21"/>
    </row>
    <row r="89" spans="1:10" ht="24.95" customHeight="1">
      <c r="A89" s="193" t="s">
        <v>62</v>
      </c>
      <c r="B89" s="21"/>
      <c r="C89" s="21"/>
      <c r="D89" s="21"/>
      <c r="E89" s="21"/>
      <c r="F89" s="21"/>
      <c r="G89" s="21"/>
      <c r="H89" s="21"/>
      <c r="I89" s="21"/>
      <c r="J89" s="21"/>
    </row>
    <row r="90" spans="1:10" ht="24.95" customHeight="1">
      <c r="A90" s="63"/>
      <c r="B90" s="21"/>
      <c r="C90" s="21"/>
      <c r="D90" s="21"/>
      <c r="E90" s="21"/>
      <c r="F90" s="21"/>
      <c r="G90" s="21"/>
      <c r="H90" s="21"/>
      <c r="I90" s="21"/>
      <c r="J90" s="21"/>
    </row>
    <row r="91" spans="1:10" ht="24.95" customHeight="1">
      <c r="A91" s="63" t="s">
        <v>326</v>
      </c>
      <c r="B91" s="216">
        <f>'Balance Sheet - Restated'!B39</f>
        <v>1069</v>
      </c>
      <c r="C91" s="216">
        <f>'Balance Sheet - Restated'!C39</f>
        <v>779</v>
      </c>
      <c r="D91" s="216">
        <f>'Balance Sheet - Restated'!D39</f>
        <v>686</v>
      </c>
      <c r="E91" s="216">
        <f>'Financing Forecasts '!G26</f>
        <v>900.90181574020687</v>
      </c>
      <c r="F91" s="216">
        <f>'Financing Forecasts '!H26</f>
        <v>923.52996695104071</v>
      </c>
      <c r="G91" s="216">
        <f>'Financing Forecasts '!I26</f>
        <v>950.90129530352965</v>
      </c>
      <c r="H91" s="216">
        <f>'Financing Forecasts '!J26</f>
        <v>963.18377036786694</v>
      </c>
      <c r="I91" s="216">
        <f>'Financing Forecasts '!K26</f>
        <v>969.1033372899193</v>
      </c>
      <c r="J91" s="216">
        <f>'Financing Forecasts '!L26</f>
        <v>977.35585789652873</v>
      </c>
    </row>
    <row r="92" spans="1:10" ht="24.95" customHeight="1">
      <c r="A92" s="63" t="s">
        <v>327</v>
      </c>
      <c r="B92" s="216">
        <f>'Balance Sheet - Restated'!B40</f>
        <v>6698</v>
      </c>
      <c r="C92" s="216">
        <f>'Balance Sheet - Restated'!C40</f>
        <v>7836</v>
      </c>
      <c r="D92" s="216">
        <f>'Balance Sheet - Restated'!D40</f>
        <v>8207</v>
      </c>
      <c r="E92" s="216">
        <f>'Financing Forecasts '!G28</f>
        <v>7580.333333333333</v>
      </c>
      <c r="F92" s="216">
        <f>'Financing Forecasts '!H28</f>
        <v>7874.4444444444443</v>
      </c>
      <c r="G92" s="216">
        <f>'Financing Forecasts '!I28</f>
        <v>7887.2592592592591</v>
      </c>
      <c r="H92" s="216">
        <f>'Financing Forecasts '!J28</f>
        <v>7780.6790123456785</v>
      </c>
      <c r="I92" s="216">
        <f>'Financing Forecasts '!K28</f>
        <v>7847.4609053497943</v>
      </c>
      <c r="J92" s="216">
        <f>'Financing Forecasts '!L28</f>
        <v>7838.4663923182443</v>
      </c>
    </row>
    <row r="93" spans="1:10" ht="24.95" customHeight="1">
      <c r="A93" s="63" t="s">
        <v>75</v>
      </c>
      <c r="B93" s="306">
        <f>'Balance Sheet - Restated'!B41</f>
        <v>-22</v>
      </c>
      <c r="C93" s="216">
        <f>'Balance Sheet - Restated'!C41</f>
        <v>5</v>
      </c>
      <c r="D93" s="216">
        <f>'Balance Sheet - Restated'!D41</f>
        <v>7</v>
      </c>
      <c r="E93" s="216">
        <f>'Financing Forecasts '!G33</f>
        <v>0</v>
      </c>
      <c r="F93" s="216">
        <f>'Financing Forecasts '!H33</f>
        <v>0</v>
      </c>
      <c r="G93" s="216">
        <f>'Financing Forecasts '!I33</f>
        <v>0</v>
      </c>
      <c r="H93" s="216">
        <f>'Financing Forecasts '!J33</f>
        <v>0</v>
      </c>
      <c r="I93" s="216">
        <f>'Financing Forecasts '!K33</f>
        <v>0</v>
      </c>
      <c r="J93" s="216">
        <f>'Financing Forecasts '!L33</f>
        <v>0</v>
      </c>
    </row>
    <row r="94" spans="1:10" ht="24.95" customHeight="1">
      <c r="A94" s="63" t="s">
        <v>76</v>
      </c>
      <c r="B94" s="216">
        <f>'Balance Sheet - Restated'!B42</f>
        <v>64</v>
      </c>
      <c r="C94" s="216">
        <f>'Balance Sheet - Restated'!C42</f>
        <v>54</v>
      </c>
      <c r="D94" s="216">
        <f>'Balance Sheet - Restated'!D42</f>
        <v>22</v>
      </c>
      <c r="E94" s="216">
        <f>'Financing Forecasts '!G34</f>
        <v>0</v>
      </c>
      <c r="F94" s="216">
        <f>'Financing Forecasts '!H34</f>
        <v>0</v>
      </c>
      <c r="G94" s="216">
        <f>'Financing Forecasts '!I34</f>
        <v>0</v>
      </c>
      <c r="H94" s="216">
        <f>'Financing Forecasts '!J34</f>
        <v>0</v>
      </c>
      <c r="I94" s="216">
        <f>'Financing Forecasts '!K34</f>
        <v>0</v>
      </c>
      <c r="J94" s="216">
        <f>'Financing Forecasts '!L34</f>
        <v>0</v>
      </c>
    </row>
    <row r="95" spans="1:10" ht="24.95" customHeight="1">
      <c r="A95" s="193" t="s">
        <v>68</v>
      </c>
      <c r="B95" s="300">
        <f>SUM(B91:B94)</f>
        <v>7809</v>
      </c>
      <c r="C95" s="300">
        <f t="shared" ref="C95:D95" si="131">SUM(C91:C94)</f>
        <v>8674</v>
      </c>
      <c r="D95" s="300">
        <f t="shared" si="131"/>
        <v>8922</v>
      </c>
      <c r="E95" s="300">
        <f>SUM(E91:E94)</f>
        <v>8481.23514907354</v>
      </c>
      <c r="F95" s="300">
        <f t="shared" ref="F95" si="132">SUM(F91:F94)</f>
        <v>8797.9744113954857</v>
      </c>
      <c r="G95" s="300">
        <f t="shared" ref="G95:J95" si="133">SUM(G91:G94)</f>
        <v>8838.1605545627881</v>
      </c>
      <c r="H95" s="300">
        <f t="shared" si="133"/>
        <v>8743.862782713546</v>
      </c>
      <c r="I95" s="300">
        <f t="shared" si="133"/>
        <v>8816.5642426397135</v>
      </c>
      <c r="J95" s="300">
        <f t="shared" si="133"/>
        <v>8815.8222502147728</v>
      </c>
    </row>
    <row r="96" spans="1:10" ht="24.95" customHeight="1">
      <c r="A96" s="63" t="s">
        <v>387</v>
      </c>
      <c r="B96" s="306">
        <f>'Balance Sheet - Restated'!B44</f>
        <v>-280</v>
      </c>
      <c r="C96" s="306">
        <f>'Balance Sheet - Restated'!C44</f>
        <v>-281</v>
      </c>
      <c r="D96" s="306">
        <f>'Balance Sheet - Restated'!D44</f>
        <v>-321</v>
      </c>
      <c r="E96" s="306">
        <f ca="1">-E140</f>
        <v>-493.86342614250725</v>
      </c>
      <c r="F96" s="307">
        <f t="shared" ref="F96:J96" ca="1" si="134">-F140</f>
        <v>-1039.2639661749213</v>
      </c>
      <c r="G96" s="307">
        <f t="shared" ca="1" si="134"/>
        <v>-1360.876619752094</v>
      </c>
      <c r="H96" s="307">
        <f t="shared" ca="1" si="134"/>
        <v>-1638.2151404520089</v>
      </c>
      <c r="I96" s="307">
        <f t="shared" ca="1" si="134"/>
        <v>-2084.2920631129714</v>
      </c>
      <c r="J96" s="307">
        <f t="shared" ca="1" si="134"/>
        <v>-2398.5817710020428</v>
      </c>
    </row>
    <row r="97" spans="1:10" ht="24.95" customHeight="1">
      <c r="A97" s="193" t="s">
        <v>69</v>
      </c>
      <c r="B97" s="300">
        <f>SUM(B95:B96)</f>
        <v>7529</v>
      </c>
      <c r="C97" s="300">
        <f t="shared" ref="C97:D97" si="135">SUM(C95:C96)</f>
        <v>8393</v>
      </c>
      <c r="D97" s="300">
        <f t="shared" si="135"/>
        <v>8601</v>
      </c>
      <c r="E97" s="300">
        <f t="shared" ref="E97:J97" ca="1" si="136">SUM(E95:E96)</f>
        <v>7987.3717229310332</v>
      </c>
      <c r="F97" s="300">
        <f t="shared" ca="1" si="136"/>
        <v>7758.710445220564</v>
      </c>
      <c r="G97" s="300">
        <f t="shared" ca="1" si="136"/>
        <v>7477.2839348106936</v>
      </c>
      <c r="H97" s="300">
        <f t="shared" ca="1" si="136"/>
        <v>7105.6476422615369</v>
      </c>
      <c r="I97" s="300">
        <f t="shared" ca="1" si="136"/>
        <v>6732.2721795267425</v>
      </c>
      <c r="J97" s="300">
        <f t="shared" ca="1" si="136"/>
        <v>6417.24047921273</v>
      </c>
    </row>
    <row r="98" spans="1:10" ht="24.95" customHeight="1">
      <c r="A98" s="63"/>
      <c r="B98" s="216"/>
      <c r="C98" s="216"/>
      <c r="D98" s="216"/>
      <c r="E98" s="21"/>
      <c r="F98" s="21"/>
      <c r="G98" s="21"/>
      <c r="H98" s="21"/>
      <c r="I98" s="21"/>
      <c r="J98" s="21"/>
    </row>
    <row r="99" spans="1:10" ht="24.95" customHeight="1">
      <c r="A99" s="193" t="s">
        <v>70</v>
      </c>
      <c r="B99" s="21"/>
      <c r="C99" s="21"/>
      <c r="D99" s="21"/>
      <c r="E99" s="21"/>
      <c r="F99" s="21"/>
      <c r="G99" s="21"/>
      <c r="H99" s="21"/>
      <c r="I99" s="21"/>
      <c r="J99" s="21"/>
    </row>
    <row r="100" spans="1:10" ht="24.95" customHeight="1">
      <c r="A100" s="63"/>
      <c r="B100" s="21"/>
      <c r="C100" s="21"/>
      <c r="D100" s="21"/>
      <c r="E100" s="21"/>
      <c r="F100" s="21"/>
      <c r="G100" s="21"/>
      <c r="H100" s="21"/>
      <c r="I100" s="21"/>
      <c r="J100" s="21"/>
    </row>
    <row r="101" spans="1:10" ht="24.95" customHeight="1">
      <c r="A101" s="63" t="s">
        <v>605</v>
      </c>
      <c r="B101" s="216">
        <f>'Balance Sheet - Restated'!B49</f>
        <v>1910</v>
      </c>
      <c r="C101" s="216">
        <f>'Balance Sheet - Restated'!C49</f>
        <v>2178</v>
      </c>
      <c r="D101" s="216">
        <f>'Balance Sheet - Restated'!D49</f>
        <v>2601</v>
      </c>
      <c r="E101" s="216">
        <f ca="1">'Financing Forecasts '!G21</f>
        <v>3661.5162201344292</v>
      </c>
      <c r="F101" s="216">
        <f ca="1">'Financing Forecasts '!H21</f>
        <v>3843.3574201129604</v>
      </c>
      <c r="G101" s="216">
        <f ca="1">'Financing Forecasts '!I21</f>
        <v>4137.8670912006619</v>
      </c>
      <c r="H101" s="216">
        <f ca="1">'Financing Forecasts '!J21</f>
        <v>4484.8005460818022</v>
      </c>
      <c r="I101" s="216">
        <f ca="1">'Financing Forecasts '!K21</f>
        <v>4774.4437310101503</v>
      </c>
      <c r="J101" s="216">
        <f ca="1">'Financing Forecasts '!L21</f>
        <v>5097.5618080262921</v>
      </c>
    </row>
    <row r="102" spans="1:10" ht="24.95" customHeight="1">
      <c r="A102" s="63" t="s">
        <v>279</v>
      </c>
      <c r="B102" s="216">
        <f>'Balance Sheet - Restated'!B50</f>
        <v>16</v>
      </c>
      <c r="C102" s="216">
        <f>'Balance Sheet - Restated'!C50</f>
        <v>16</v>
      </c>
      <c r="D102" s="216">
        <f>'Balance Sheet - Restated'!D50</f>
        <v>558</v>
      </c>
      <c r="E102" s="216">
        <f>'Financing Forecasts '!G16</f>
        <v>558</v>
      </c>
      <c r="F102" s="216">
        <f>'Financing Forecasts '!H16</f>
        <v>558</v>
      </c>
      <c r="G102" s="216">
        <f>'Financing Forecasts '!I16</f>
        <v>558</v>
      </c>
      <c r="H102" s="216">
        <f>'Financing Forecasts '!J16</f>
        <v>558</v>
      </c>
      <c r="I102" s="216">
        <f>'Financing Forecasts '!K16</f>
        <v>558</v>
      </c>
      <c r="J102" s="216">
        <f>'Financing Forecasts '!L16</f>
        <v>558</v>
      </c>
    </row>
    <row r="103" spans="1:10" ht="24.95" customHeight="1">
      <c r="A103" s="193" t="s">
        <v>71</v>
      </c>
      <c r="B103" s="300">
        <f>SUM(B101:B102)</f>
        <v>1926</v>
      </c>
      <c r="C103" s="300">
        <f t="shared" ref="C103:J103" si="137">SUM(C101:C102)</f>
        <v>2194</v>
      </c>
      <c r="D103" s="300">
        <f t="shared" si="137"/>
        <v>3159</v>
      </c>
      <c r="E103" s="300">
        <f t="shared" ca="1" si="137"/>
        <v>4219.5162201344292</v>
      </c>
      <c r="F103" s="300">
        <f t="shared" ca="1" si="137"/>
        <v>4401.3574201129604</v>
      </c>
      <c r="G103" s="300">
        <f t="shared" ca="1" si="137"/>
        <v>4695.8670912006619</v>
      </c>
      <c r="H103" s="300">
        <f t="shared" ca="1" si="137"/>
        <v>5042.8005460818022</v>
      </c>
      <c r="I103" s="300">
        <f t="shared" ca="1" si="137"/>
        <v>5332.4437310101503</v>
      </c>
      <c r="J103" s="300">
        <f t="shared" ca="1" si="137"/>
        <v>5655.5618080262921</v>
      </c>
    </row>
    <row r="104" spans="1:10" ht="24.95" customHeight="1">
      <c r="A104" s="63"/>
      <c r="B104" s="60"/>
      <c r="C104" s="60"/>
      <c r="D104" s="60"/>
      <c r="E104" s="60"/>
      <c r="F104" s="60"/>
      <c r="G104" s="60"/>
      <c r="H104" s="60"/>
      <c r="I104" s="60"/>
      <c r="J104" s="60"/>
    </row>
    <row r="105" spans="1:10" ht="24.95" customHeight="1">
      <c r="A105" s="193" t="s">
        <v>61</v>
      </c>
      <c r="B105" s="309">
        <f>SUM(B97,B103)</f>
        <v>9455</v>
      </c>
      <c r="C105" s="300">
        <f t="shared" ref="C105:D105" si="138">SUM(C97,C103)</f>
        <v>10587</v>
      </c>
      <c r="D105" s="300">
        <f t="shared" si="138"/>
        <v>11760</v>
      </c>
      <c r="E105" s="300">
        <f ca="1">SUM(E97,E103)</f>
        <v>12206.887943065463</v>
      </c>
      <c r="F105" s="83">
        <f ca="1">SUM(F97,F103)</f>
        <v>12160.067865333524</v>
      </c>
      <c r="G105" s="300">
        <f ca="1">SUM(G97,G103)</f>
        <v>12173.151026011355</v>
      </c>
      <c r="H105" s="300">
        <f t="shared" ref="H105:I105" ca="1" si="139">SUM(H97,H103)</f>
        <v>12148.44818834334</v>
      </c>
      <c r="I105" s="300">
        <f t="shared" ca="1" si="139"/>
        <v>12064.715910536892</v>
      </c>
      <c r="J105" s="300">
        <f ca="1">SUM(J97,J103)</f>
        <v>12072.802287239021</v>
      </c>
    </row>
    <row r="106" spans="1:10" ht="24.95" customHeight="1">
      <c r="A106" s="61"/>
      <c r="B106" s="236"/>
      <c r="C106" s="236"/>
      <c r="D106" s="236"/>
    </row>
    <row r="107" spans="1:10" ht="24.95" customHeight="1">
      <c r="A107" s="454"/>
      <c r="B107" s="454" t="s">
        <v>86</v>
      </c>
      <c r="C107" s="454" t="s">
        <v>87</v>
      </c>
      <c r="D107" s="454" t="s">
        <v>88</v>
      </c>
      <c r="E107" s="454" t="s">
        <v>117</v>
      </c>
      <c r="F107" s="454" t="s">
        <v>118</v>
      </c>
      <c r="G107" s="454" t="s">
        <v>119</v>
      </c>
      <c r="H107" s="454" t="s">
        <v>548</v>
      </c>
      <c r="I107" s="454" t="s">
        <v>549</v>
      </c>
      <c r="J107" s="454" t="s">
        <v>550</v>
      </c>
    </row>
    <row r="108" spans="1:10" ht="24.95" customHeight="1">
      <c r="A108" s="61"/>
      <c r="B108" s="21"/>
      <c r="C108" s="21"/>
      <c r="D108" s="21"/>
      <c r="E108" s="21"/>
      <c r="F108" s="21"/>
      <c r="G108" s="21"/>
    </row>
    <row r="109" spans="1:10" ht="24.95" customHeight="1" thickBot="1">
      <c r="A109" s="62" t="s">
        <v>283</v>
      </c>
      <c r="B109" s="21"/>
      <c r="C109" s="21"/>
      <c r="D109" s="21"/>
      <c r="E109" s="21"/>
      <c r="F109" s="21"/>
      <c r="G109" s="21"/>
    </row>
    <row r="110" spans="1:10" ht="24.95" customHeight="1" thickTop="1">
      <c r="A110" s="61"/>
      <c r="B110" s="21"/>
      <c r="C110" s="21"/>
      <c r="D110" s="21"/>
      <c r="E110" s="21"/>
      <c r="F110" s="21"/>
      <c r="G110" s="21"/>
    </row>
    <row r="111" spans="1:10" ht="24.95" customHeight="1">
      <c r="A111" s="61" t="s">
        <v>114</v>
      </c>
      <c r="B111" s="21"/>
      <c r="C111" s="216">
        <f t="shared" ref="C111:J111" si="140">C31</f>
        <v>1904</v>
      </c>
      <c r="D111" s="216">
        <f t="shared" si="140"/>
        <v>1600</v>
      </c>
      <c r="E111" s="216">
        <f t="shared" si="140"/>
        <v>1529.0188368650902</v>
      </c>
      <c r="F111" s="216">
        <f t="shared" si="140"/>
        <v>1590.661245552338</v>
      </c>
      <c r="G111" s="216">
        <f t="shared" si="140"/>
        <v>1618.5032850914438</v>
      </c>
      <c r="H111" s="216">
        <f t="shared" si="140"/>
        <v>1647.5899401781974</v>
      </c>
      <c r="I111" s="216">
        <f t="shared" si="140"/>
        <v>1660.530452426282</v>
      </c>
      <c r="J111" s="216">
        <f t="shared" si="140"/>
        <v>1671.3918383445182</v>
      </c>
    </row>
    <row r="112" spans="1:10" ht="24.95" customHeight="1">
      <c r="A112" s="61" t="s">
        <v>284</v>
      </c>
      <c r="B112" s="21"/>
      <c r="C112" s="307">
        <f>-C111*C45</f>
        <v>-471.11647555823777</v>
      </c>
      <c r="D112" s="307">
        <f>-D111*D45</f>
        <v>-217.90820165538</v>
      </c>
      <c r="E112" s="289">
        <f>-'Operating Items Forecasts'!G19</f>
        <v>-323.76145421175295</v>
      </c>
      <c r="F112" s="289">
        <f>-'Operating Items Forecasts'!H19</f>
        <v>-336.81390026180731</v>
      </c>
      <c r="G112" s="289">
        <f>-'Operating Items Forecasts'!I19</f>
        <v>-342.70930128111956</v>
      </c>
      <c r="H112" s="289">
        <f>-'Operating Items Forecasts'!J19</f>
        <v>-348.86824289909907</v>
      </c>
      <c r="I112" s="289">
        <f>-'Operating Items Forecasts'!K19</f>
        <v>-351.60832625364736</v>
      </c>
      <c r="J112" s="289">
        <f>-'Operating Items Forecasts'!L19</f>
        <v>-353.90816587292443</v>
      </c>
    </row>
    <row r="113" spans="1:10" ht="24.95" customHeight="1">
      <c r="A113" s="197" t="s">
        <v>85</v>
      </c>
      <c r="B113" s="198"/>
      <c r="C113" s="310">
        <f t="shared" ref="C113:J113" si="141">C28</f>
        <v>481</v>
      </c>
      <c r="D113" s="310">
        <f t="shared" si="141"/>
        <v>516</v>
      </c>
      <c r="E113" s="310">
        <f t="shared" si="141"/>
        <v>532.91322424242423</v>
      </c>
      <c r="F113" s="310">
        <f t="shared" si="141"/>
        <v>567.16448594102553</v>
      </c>
      <c r="G113" s="310">
        <f t="shared" si="141"/>
        <v>602.35442086137414</v>
      </c>
      <c r="H113" s="310">
        <f t="shared" si="141"/>
        <v>638.28880279862983</v>
      </c>
      <c r="I113" s="310">
        <f t="shared" si="141"/>
        <v>674.5649036806218</v>
      </c>
      <c r="J113" s="310">
        <f t="shared" si="141"/>
        <v>605.50203198012582</v>
      </c>
    </row>
    <row r="114" spans="1:10" ht="24.95" customHeight="1">
      <c r="A114" s="34" t="s">
        <v>670</v>
      </c>
      <c r="B114" s="83"/>
      <c r="C114" s="300">
        <f>SUM(C111:C113)</f>
        <v>1913.8835244417623</v>
      </c>
      <c r="D114" s="300">
        <f>SUM(D111:D113)</f>
        <v>1898.09179834462</v>
      </c>
      <c r="E114" s="300">
        <f t="shared" ref="E114" si="142">SUM(E111:E113)</f>
        <v>1738.1706068957615</v>
      </c>
      <c r="F114" s="300">
        <f>SUM(F111:F113)</f>
        <v>1821.0118312315562</v>
      </c>
      <c r="G114" s="300">
        <f t="shared" ref="G114:J114" si="143">SUM(G111:G113)</f>
        <v>1878.1484046716985</v>
      </c>
      <c r="H114" s="300">
        <f t="shared" si="143"/>
        <v>1937.0105000777282</v>
      </c>
      <c r="I114" s="300">
        <f t="shared" si="143"/>
        <v>1983.4870298532564</v>
      </c>
      <c r="J114" s="300">
        <f t="shared" si="143"/>
        <v>1922.9857044517196</v>
      </c>
    </row>
    <row r="115" spans="1:10" ht="24.95" customHeight="1">
      <c r="A115" s="61"/>
      <c r="B115" s="21"/>
      <c r="C115" s="21"/>
      <c r="D115" s="21"/>
      <c r="E115" s="21"/>
      <c r="F115" s="21"/>
      <c r="G115" s="21"/>
    </row>
    <row r="116" spans="1:10" ht="24.95" customHeight="1">
      <c r="A116" s="63" t="s">
        <v>338</v>
      </c>
      <c r="B116" s="21"/>
      <c r="C116" s="216">
        <f t="shared" ref="C116:J116" si="144">C76-B76</f>
        <v>29</v>
      </c>
      <c r="D116" s="307">
        <f t="shared" si="144"/>
        <v>-391</v>
      </c>
      <c r="E116" s="216">
        <f t="shared" si="144"/>
        <v>724.99810064121948</v>
      </c>
      <c r="F116" s="306">
        <f t="shared" si="144"/>
        <v>-160.36638340030913</v>
      </c>
      <c r="G116" s="306">
        <f t="shared" si="144"/>
        <v>-2.4157755192017021</v>
      </c>
      <c r="H116" s="306">
        <f t="shared" si="144"/>
        <v>72.209656531189694</v>
      </c>
      <c r="I116" s="306">
        <f t="shared" si="144"/>
        <v>-36.87358804777466</v>
      </c>
      <c r="J116" s="306">
        <f t="shared" si="144"/>
        <v>7.849065316670135</v>
      </c>
    </row>
    <row r="117" spans="1:10" ht="24.95" customHeight="1">
      <c r="A117" s="61" t="s">
        <v>674</v>
      </c>
      <c r="B117" s="21"/>
      <c r="C117" s="307">
        <f>-C116</f>
        <v>-29</v>
      </c>
      <c r="D117" s="216">
        <f t="shared" ref="D117" si="145">-D116</f>
        <v>391</v>
      </c>
      <c r="E117" s="306">
        <f>-E116</f>
        <v>-724.99810064121948</v>
      </c>
      <c r="F117" s="216">
        <f>-F116</f>
        <v>160.36638340030913</v>
      </c>
      <c r="G117" s="216">
        <f>-G116</f>
        <v>2.4157755192017021</v>
      </c>
      <c r="H117" s="312">
        <f t="shared" ref="H117:J117" si="146">-H116</f>
        <v>-72.209656531189694</v>
      </c>
      <c r="I117" s="216">
        <f t="shared" si="146"/>
        <v>36.87358804777466</v>
      </c>
      <c r="J117" s="312">
        <f t="shared" si="146"/>
        <v>-7.849065316670135</v>
      </c>
    </row>
    <row r="118" spans="1:10" ht="24.95" customHeight="1">
      <c r="A118" s="197" t="s">
        <v>140</v>
      </c>
      <c r="B118" s="198"/>
      <c r="C118" s="311">
        <f>'Cash Flow Statement - As Repor.'!C30</f>
        <v>-501</v>
      </c>
      <c r="D118" s="311">
        <f>'Cash Flow Statement - As Repor.'!D30</f>
        <v>-578</v>
      </c>
      <c r="E118" s="320">
        <f>-'Investment Forecasts'!I9</f>
        <v>-558.13639999999998</v>
      </c>
      <c r="F118" s="320">
        <f>-'Investment Forecasts'!J9</f>
        <v>-572.15523605384192</v>
      </c>
      <c r="G118" s="320">
        <f>-'Investment Forecasts'!K9</f>
        <v>-589.11261631766581</v>
      </c>
      <c r="H118" s="320">
        <f>-'Investment Forecasts'!L9</f>
        <v>-596.72198761176901</v>
      </c>
      <c r="I118" s="320">
        <f>-'Investment Forecasts'!M9</f>
        <v>-600.3893414939663</v>
      </c>
      <c r="J118" s="320">
        <f>-'Investment Forecasts'!N9</f>
        <v>-605.50203198012582</v>
      </c>
    </row>
    <row r="119" spans="1:10" ht="24.95" customHeight="1">
      <c r="A119" s="34" t="s">
        <v>287</v>
      </c>
      <c r="B119" s="21"/>
      <c r="C119" s="300">
        <f>SUM(C114,C117,C118)</f>
        <v>1383.8835244417623</v>
      </c>
      <c r="D119" s="300">
        <f>SUM(D114,D117,D118)</f>
        <v>1711.0917983446197</v>
      </c>
      <c r="E119" s="300">
        <f>SUM(E114,E117,E118)</f>
        <v>455.03610625454201</v>
      </c>
      <c r="F119" s="300">
        <f>SUM(F114,F117,F118)</f>
        <v>1409.2229785780235</v>
      </c>
      <c r="G119" s="300">
        <f t="shared" ref="G119:J119" si="147">SUM(G114,G117,G118)</f>
        <v>1291.4515638732341</v>
      </c>
      <c r="H119" s="300">
        <f t="shared" si="147"/>
        <v>1268.0788559347695</v>
      </c>
      <c r="I119" s="300">
        <f t="shared" si="147"/>
        <v>1419.971276407065</v>
      </c>
      <c r="J119" s="300">
        <f t="shared" si="147"/>
        <v>1309.6346071549235</v>
      </c>
    </row>
    <row r="120" spans="1:10" ht="24.95" customHeight="1">
      <c r="A120" s="61"/>
      <c r="B120" s="21"/>
      <c r="C120" s="21"/>
      <c r="D120" s="21"/>
      <c r="E120" s="21"/>
      <c r="F120" s="21"/>
      <c r="G120" s="21"/>
    </row>
    <row r="121" spans="1:10" ht="24.95" customHeight="1">
      <c r="A121" s="61" t="s">
        <v>439</v>
      </c>
      <c r="B121" s="21"/>
      <c r="C121" s="216">
        <f t="shared" ref="C121:J121" si="148">-C44-C112</f>
        <v>61.116475558237767</v>
      </c>
      <c r="D121" s="216">
        <f t="shared" si="148"/>
        <v>36.908201655379997</v>
      </c>
      <c r="E121" s="216">
        <f t="shared" ca="1" si="148"/>
        <v>54.894214682433528</v>
      </c>
      <c r="F121" s="216">
        <f t="shared" ca="1" si="148"/>
        <v>51.332798100646755</v>
      </c>
      <c r="G121" s="216">
        <f t="shared" ca="1" si="148"/>
        <v>48.623765594112967</v>
      </c>
      <c r="H121" s="216">
        <f t="shared" ca="1" si="148"/>
        <v>45.738659324220862</v>
      </c>
      <c r="I121" s="216">
        <f t="shared" ca="1" si="148"/>
        <v>42.401538596480293</v>
      </c>
      <c r="J121" s="216">
        <f t="shared" ca="1" si="148"/>
        <v>39.213071235616496</v>
      </c>
    </row>
    <row r="122" spans="1:10" ht="24.95" customHeight="1">
      <c r="A122" s="61" t="s">
        <v>438</v>
      </c>
      <c r="B122" s="21"/>
      <c r="C122" s="216">
        <f>C38</f>
        <v>9</v>
      </c>
      <c r="D122" s="216">
        <f>D38</f>
        <v>16</v>
      </c>
      <c r="E122" s="216">
        <f ca="1">AVERAGE(D140:E140)*(IF(AVERAGE(D140:E140)&gt;0,'Financing Forecasts '!$B$43,'Financing Forecasts '!$B$30))</f>
        <v>17.3650874919242</v>
      </c>
      <c r="F122" s="216">
        <f ca="1">AVERAGE(E140:F140)*(IF(AVERAGE(E140:F140)&gt;0,'Financing Forecasts '!$B$43,'Financing Forecasts '!$B$30))</f>
        <v>32.671599251776712</v>
      </c>
      <c r="G122" s="216">
        <f ca="1">AVERAGE(F140:G140)*(IF(AVERAGE(F140:G140)&gt;0,'Financing Forecasts '!$B$43,'Financing Forecasts '!$B$30))</f>
        <v>51.148020552160446</v>
      </c>
      <c r="H122" s="216">
        <f ca="1">AVERAGE(G140:H140)*(IF(AVERAGE(G140:H140)&gt;0,'Financing Forecasts '!$B$43,'Financing Forecasts '!$B$30))</f>
        <v>63.91192577975059</v>
      </c>
      <c r="I122" s="216">
        <f ca="1">AVERAGE(H140:I140)*(IF(AVERAGE(H140:I140)&gt;0,'Financing Forecasts '!$B$43,'Financing Forecasts '!$B$30))</f>
        <v>79.328217717700241</v>
      </c>
      <c r="J122" s="216">
        <f ca="1">AVERAGE(I140:J140)*(IF(AVERAGE(I140:J140)&gt;0,'Financing Forecasts '!$B$43,'Financing Forecasts '!$B$30))</f>
        <v>95.531955229821463</v>
      </c>
    </row>
    <row r="123" spans="1:10" ht="24.95" customHeight="1">
      <c r="A123" s="61" t="s">
        <v>92</v>
      </c>
      <c r="B123" s="21"/>
      <c r="C123" s="289">
        <f t="shared" ref="C123:J123" si="149">-C35</f>
        <v>-256</v>
      </c>
      <c r="D123" s="289">
        <f t="shared" si="149"/>
        <v>-287</v>
      </c>
      <c r="E123" s="289">
        <f t="shared" si="149"/>
        <v>-276.61240428171294</v>
      </c>
      <c r="F123" s="289">
        <f t="shared" si="149"/>
        <v>-275.099517164286</v>
      </c>
      <c r="G123" s="289">
        <f t="shared" si="149"/>
        <v>-280.78206915661764</v>
      </c>
      <c r="H123" s="289">
        <f t="shared" si="149"/>
        <v>-279.92056661674275</v>
      </c>
      <c r="I123" s="289">
        <f t="shared" si="149"/>
        <v>-279.57673520699132</v>
      </c>
      <c r="J123" s="289">
        <f t="shared" si="149"/>
        <v>-280.72239031903274</v>
      </c>
    </row>
    <row r="124" spans="1:10" ht="24.95" customHeight="1">
      <c r="A124" s="61" t="s">
        <v>440</v>
      </c>
      <c r="B124" s="21"/>
      <c r="C124" s="216">
        <f>'Income Statement - Restated'!C24</f>
        <v>0</v>
      </c>
      <c r="D124" s="216">
        <f>'Income Statement - Restated'!D24</f>
        <v>8</v>
      </c>
      <c r="E124" s="216">
        <v>0</v>
      </c>
      <c r="F124" s="216">
        <v>0</v>
      </c>
      <c r="G124" s="216">
        <v>0</v>
      </c>
      <c r="H124" s="216">
        <v>0</v>
      </c>
      <c r="I124" s="216">
        <v>0</v>
      </c>
      <c r="J124" s="216">
        <v>0</v>
      </c>
    </row>
    <row r="125" spans="1:10" ht="24.95" customHeight="1">
      <c r="A125" s="61" t="s">
        <v>441</v>
      </c>
      <c r="B125" s="21"/>
      <c r="C125" s="216">
        <f>C50</f>
        <v>7</v>
      </c>
      <c r="D125" s="216">
        <f>D50</f>
        <v>196</v>
      </c>
      <c r="E125" s="216">
        <v>0</v>
      </c>
      <c r="F125" s="216">
        <v>0</v>
      </c>
      <c r="G125" s="216">
        <v>0</v>
      </c>
      <c r="H125" s="216">
        <v>0</v>
      </c>
      <c r="I125" s="216">
        <v>0</v>
      </c>
      <c r="J125" s="216">
        <v>0</v>
      </c>
    </row>
    <row r="126" spans="1:10" ht="24.95" customHeight="1">
      <c r="A126" s="61"/>
      <c r="B126" s="21"/>
      <c r="C126" s="21"/>
      <c r="D126" s="21"/>
      <c r="E126" s="21"/>
      <c r="F126" s="21"/>
      <c r="G126" s="21"/>
      <c r="H126" s="21"/>
      <c r="I126" s="21"/>
      <c r="J126" s="21"/>
    </row>
    <row r="127" spans="1:10" ht="24.95" customHeight="1">
      <c r="A127" s="61" t="s">
        <v>383</v>
      </c>
      <c r="B127" s="21"/>
      <c r="C127" s="216">
        <f t="shared" ref="C127:J127" si="150">C85-B85</f>
        <v>348</v>
      </c>
      <c r="D127" s="216">
        <f t="shared" si="150"/>
        <v>281</v>
      </c>
      <c r="E127" s="306">
        <f t="shared" si="150"/>
        <v>-303.33333333333326</v>
      </c>
      <c r="F127" s="306">
        <f t="shared" si="150"/>
        <v>108.55555555555566</v>
      </c>
      <c r="G127" s="306">
        <f t="shared" si="150"/>
        <v>28.740740740740875</v>
      </c>
      <c r="H127" s="306">
        <f t="shared" si="150"/>
        <v>-55.345679012345499</v>
      </c>
      <c r="I127" s="306">
        <f t="shared" si="150"/>
        <v>27.316872427983526</v>
      </c>
      <c r="J127" s="306">
        <f t="shared" si="150"/>
        <v>0.23731138545940667</v>
      </c>
    </row>
    <row r="128" spans="1:10" ht="24.95" customHeight="1">
      <c r="A128" s="61" t="s">
        <v>671</v>
      </c>
      <c r="B128" s="21"/>
      <c r="C128" s="289">
        <f>-C127</f>
        <v>-348</v>
      </c>
      <c r="D128" s="289">
        <f>-D127</f>
        <v>-281</v>
      </c>
      <c r="E128" s="306">
        <f>-E127</f>
        <v>303.33333333333326</v>
      </c>
      <c r="F128" s="306">
        <f>-F127</f>
        <v>-108.55555555555566</v>
      </c>
      <c r="G128" s="306">
        <f>-G127</f>
        <v>-28.740740740740875</v>
      </c>
      <c r="H128" s="306">
        <f t="shared" ref="H128:J128" si="151">-H127</f>
        <v>55.345679012345499</v>
      </c>
      <c r="I128" s="306">
        <f t="shared" si="151"/>
        <v>-27.316872427983526</v>
      </c>
      <c r="J128" s="306">
        <f t="shared" si="151"/>
        <v>-0.23731138545940667</v>
      </c>
    </row>
    <row r="129" spans="1:10" ht="24.95" customHeight="1">
      <c r="A129" s="61"/>
      <c r="B129" s="21"/>
      <c r="C129" s="21"/>
      <c r="D129" s="21"/>
      <c r="E129" s="21"/>
      <c r="F129" s="21"/>
      <c r="G129" s="21"/>
      <c r="H129" s="21"/>
      <c r="I129" s="21"/>
      <c r="J129" s="21"/>
    </row>
    <row r="130" spans="1:10" ht="24.95" customHeight="1">
      <c r="A130" s="61" t="s">
        <v>384</v>
      </c>
      <c r="B130" s="21"/>
      <c r="C130" s="216">
        <f>C95-B95</f>
        <v>865</v>
      </c>
      <c r="D130" s="216">
        <f>D95-C95</f>
        <v>248</v>
      </c>
      <c r="E130" s="306">
        <f>E95-D95</f>
        <v>-440.76485092645999</v>
      </c>
      <c r="F130" s="306">
        <f t="shared" ref="F130:G130" si="152">F95-E95</f>
        <v>316.73926232194572</v>
      </c>
      <c r="G130" s="306">
        <f t="shared" si="152"/>
        <v>40.186143167302362</v>
      </c>
      <c r="H130" s="306">
        <f t="shared" ref="H130" si="153">H95-G95</f>
        <v>-94.297771849242054</v>
      </c>
      <c r="I130" s="306">
        <f t="shared" ref="I130" si="154">I95-H95</f>
        <v>72.701459926167445</v>
      </c>
      <c r="J130" s="306">
        <f t="shared" ref="J130" si="155">J95-I95</f>
        <v>-0.7419924249406904</v>
      </c>
    </row>
    <row r="131" spans="1:10" ht="24.95" customHeight="1">
      <c r="A131" s="197" t="s">
        <v>385</v>
      </c>
      <c r="B131" s="198"/>
      <c r="C131" s="310">
        <f>C130</f>
        <v>865</v>
      </c>
      <c r="D131" s="310">
        <f>D130</f>
        <v>248</v>
      </c>
      <c r="E131" s="320">
        <f t="shared" ref="E131:G131" si="156">E130</f>
        <v>-440.76485092645999</v>
      </c>
      <c r="F131" s="320">
        <f t="shared" si="156"/>
        <v>316.73926232194572</v>
      </c>
      <c r="G131" s="320">
        <f t="shared" si="156"/>
        <v>40.186143167302362</v>
      </c>
      <c r="H131" s="320">
        <f t="shared" ref="H131:J131" si="157">H130</f>
        <v>-94.297771849242054</v>
      </c>
      <c r="I131" s="320">
        <f t="shared" si="157"/>
        <v>72.701459926167445</v>
      </c>
      <c r="J131" s="320">
        <f t="shared" si="157"/>
        <v>-0.7419924249406904</v>
      </c>
    </row>
    <row r="132" spans="1:10" ht="24.95" customHeight="1">
      <c r="A132" s="34" t="s">
        <v>294</v>
      </c>
      <c r="B132" s="83"/>
      <c r="C132" s="300">
        <f>SUM(C119,C121:C125,C128,C131)</f>
        <v>1722</v>
      </c>
      <c r="D132" s="300">
        <f>SUM(D119,D121:D125,D128,D131)</f>
        <v>1647.9999999999998</v>
      </c>
      <c r="E132" s="83">
        <f ca="1">SUM(E119,E121:E125,E128,E131)</f>
        <v>113.25148655405997</v>
      </c>
      <c r="F132" s="300">
        <f ca="1">SUM(F119,F121:F125,F128,F131)</f>
        <v>1426.311565532551</v>
      </c>
      <c r="G132" s="300">
        <f ca="1">SUM(G119,G121:G125,G128,G131)</f>
        <v>1121.8866832894514</v>
      </c>
      <c r="H132" s="300">
        <f t="shared" ref="H132:J132" ca="1" si="158">SUM(H119,H121:H125,H128,H131)</f>
        <v>1058.8567815851018</v>
      </c>
      <c r="I132" s="300">
        <f t="shared" ca="1" si="158"/>
        <v>1307.5088850124382</v>
      </c>
      <c r="J132" s="300">
        <f t="shared" ca="1" si="158"/>
        <v>1162.6779394909288</v>
      </c>
    </row>
    <row r="133" spans="1:10" ht="24.95" customHeight="1">
      <c r="A133" s="61"/>
      <c r="B133" s="21"/>
      <c r="C133" s="21"/>
      <c r="D133" s="21"/>
      <c r="E133" s="21"/>
      <c r="F133" s="21"/>
      <c r="G133" s="21"/>
      <c r="H133" s="21"/>
      <c r="I133" s="21"/>
      <c r="J133" s="21"/>
    </row>
    <row r="134" spans="1:10" ht="27" customHeight="1">
      <c r="A134" s="63" t="s">
        <v>672</v>
      </c>
      <c r="B134" s="21"/>
      <c r="C134" s="306">
        <f>(C103-B103)-C53</f>
        <v>-986</v>
      </c>
      <c r="D134" s="306">
        <f>(D103-C103)-D53</f>
        <v>-371</v>
      </c>
      <c r="E134" s="306">
        <f ca="1">(E103-D103)-E53</f>
        <v>59.611939588447285</v>
      </c>
      <c r="F134" s="306">
        <f ca="1">(F103-E103)-F53</f>
        <v>-880.91102550013693</v>
      </c>
      <c r="G134" s="306">
        <f ca="1">(G103-F103)-G53</f>
        <v>-800.27402971227866</v>
      </c>
      <c r="H134" s="306">
        <f ca="1">(H103-G103)-H53</f>
        <v>-781.51826088518692</v>
      </c>
      <c r="I134" s="306">
        <f ca="1">(I103-H103)-I53</f>
        <v>-861.4319623514757</v>
      </c>
      <c r="J134" s="306">
        <f ca="1">(J103-I103)-J53</f>
        <v>-848.38823160185734</v>
      </c>
    </row>
    <row r="135" spans="1:10" ht="24.95" customHeight="1">
      <c r="A135" s="61"/>
      <c r="B135" s="21"/>
      <c r="C135" s="21"/>
      <c r="D135" s="21"/>
      <c r="E135" s="21"/>
      <c r="F135" s="21"/>
      <c r="G135" s="21"/>
      <c r="H135" s="21"/>
      <c r="I135" s="21"/>
      <c r="J135" s="21"/>
    </row>
    <row r="136" spans="1:10" ht="24.95" customHeight="1">
      <c r="A136" s="61" t="s">
        <v>386</v>
      </c>
      <c r="B136" s="21"/>
      <c r="C136" s="216">
        <f>SUM(C132,C134)</f>
        <v>736</v>
      </c>
      <c r="D136" s="216">
        <f>SUM(D132,D134)</f>
        <v>1276.9999999999998</v>
      </c>
      <c r="E136" s="216">
        <f ca="1">SUM(E132,E134)</f>
        <v>172.86342614250725</v>
      </c>
      <c r="F136" s="216">
        <f ca="1">SUM(F132,F134)</f>
        <v>545.40054003241403</v>
      </c>
      <c r="G136" s="216">
        <f ca="1">SUM(G132,G134)</f>
        <v>321.61265357717275</v>
      </c>
      <c r="H136" s="216">
        <f ca="1">SUM(H132,H134)</f>
        <v>277.33852069991485</v>
      </c>
      <c r="I136" s="216">
        <f ca="1">SUM(I132,I134)</f>
        <v>446.07692266096251</v>
      </c>
      <c r="J136" s="216">
        <f ca="1">SUM(J132,J134)</f>
        <v>314.28970788907145</v>
      </c>
    </row>
    <row r="137" spans="1:10" ht="24.95" customHeight="1">
      <c r="A137" s="61"/>
      <c r="B137" s="21"/>
      <c r="C137" s="21"/>
      <c r="D137" s="21"/>
      <c r="E137" s="21"/>
      <c r="F137" s="21"/>
      <c r="G137" s="21"/>
      <c r="H137" s="21"/>
      <c r="I137" s="21"/>
      <c r="J137" s="21"/>
    </row>
    <row r="138" spans="1:10" ht="24.95" customHeight="1">
      <c r="A138" s="61" t="s">
        <v>412</v>
      </c>
      <c r="B138" s="21"/>
      <c r="C138" s="21"/>
      <c r="D138" s="21"/>
      <c r="E138" s="194">
        <f>D140</f>
        <v>321</v>
      </c>
      <c r="F138" s="289">
        <f ca="1">E140</f>
        <v>493.86342614250725</v>
      </c>
      <c r="G138" s="216">
        <f ca="1">F140</f>
        <v>1039.2639661749213</v>
      </c>
      <c r="H138" s="216">
        <f t="shared" ref="H138:J138" ca="1" si="159">G140</f>
        <v>1360.876619752094</v>
      </c>
      <c r="I138" s="216">
        <f t="shared" ca="1" si="159"/>
        <v>1638.2151404520089</v>
      </c>
      <c r="J138" s="216">
        <f t="shared" ca="1" si="159"/>
        <v>2084.2920631129714</v>
      </c>
    </row>
    <row r="139" spans="1:10" ht="24.95" customHeight="1">
      <c r="A139" s="197" t="s">
        <v>386</v>
      </c>
      <c r="B139" s="198"/>
      <c r="C139" s="198"/>
      <c r="D139" s="198"/>
      <c r="E139" s="321">
        <f ca="1">E136</f>
        <v>172.86342614250725</v>
      </c>
      <c r="F139" s="310">
        <f ca="1">F136</f>
        <v>545.40054003241403</v>
      </c>
      <c r="G139" s="310">
        <f ca="1">G136</f>
        <v>321.61265357717275</v>
      </c>
      <c r="H139" s="310">
        <f t="shared" ref="H139:J139" ca="1" si="160">H136</f>
        <v>277.33852069991485</v>
      </c>
      <c r="I139" s="310">
        <f t="shared" ca="1" si="160"/>
        <v>446.07692266096251</v>
      </c>
      <c r="J139" s="310">
        <f t="shared" ca="1" si="160"/>
        <v>314.28970788907145</v>
      </c>
    </row>
    <row r="140" spans="1:10" ht="24.95" customHeight="1">
      <c r="A140" s="61" t="s">
        <v>413</v>
      </c>
      <c r="B140" s="21"/>
      <c r="C140" s="21"/>
      <c r="D140" s="216">
        <f>-D96</f>
        <v>321</v>
      </c>
      <c r="E140" s="306">
        <f ca="1">SUM(E138:E139)</f>
        <v>493.86342614250725</v>
      </c>
      <c r="F140" s="216">
        <f ca="1">SUM(F138:F139)</f>
        <v>1039.2639661749213</v>
      </c>
      <c r="G140" s="216">
        <f ca="1">SUM(G138:G139)</f>
        <v>1360.876619752094</v>
      </c>
      <c r="H140" s="216">
        <f t="shared" ref="H140:J140" ca="1" si="161">SUM(H138:H139)</f>
        <v>1638.2151404520089</v>
      </c>
      <c r="I140" s="216">
        <f t="shared" ca="1" si="161"/>
        <v>2084.2920631129714</v>
      </c>
      <c r="J140" s="216">
        <f t="shared" ca="1" si="161"/>
        <v>2398.5817710020428</v>
      </c>
    </row>
    <row r="141" spans="1:10" ht="24.95" customHeight="1">
      <c r="B141" s="21"/>
      <c r="C141" s="21"/>
      <c r="D141" s="21"/>
      <c r="E141" s="21"/>
      <c r="F141" s="21"/>
      <c r="G141" s="21"/>
    </row>
  </sheetData>
  <phoneticPr fontId="40" type="noConversion"/>
  <pageMargins left="0.7" right="0.7" top="0.75" bottom="0.75" header="0.3" footer="0.3"/>
  <pageSetup paperSize="9"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66"/>
  <sheetViews>
    <sheetView topLeftCell="A53" zoomScaleNormal="100" workbookViewId="0">
      <selection activeCell="A65" sqref="A65"/>
    </sheetView>
  </sheetViews>
  <sheetFormatPr defaultColWidth="25.6640625" defaultRowHeight="24.95" customHeight="1"/>
  <cols>
    <col min="1" max="16384" width="25.6640625" style="39"/>
  </cols>
  <sheetData>
    <row r="1" spans="1:10" ht="24.95" customHeight="1">
      <c r="A1" s="172" t="s">
        <v>390</v>
      </c>
    </row>
    <row r="2" spans="1:10" ht="24.95" customHeight="1">
      <c r="J2" s="493"/>
    </row>
    <row r="3" spans="1:10" ht="36.75" customHeight="1">
      <c r="A3" s="453" t="s">
        <v>401</v>
      </c>
      <c r="B3" s="467" t="s">
        <v>86</v>
      </c>
      <c r="C3" s="467" t="s">
        <v>87</v>
      </c>
      <c r="D3" s="467" t="s">
        <v>88</v>
      </c>
      <c r="E3" s="467" t="s">
        <v>117</v>
      </c>
      <c r="F3" s="467" t="s">
        <v>118</v>
      </c>
      <c r="G3" s="467" t="s">
        <v>119</v>
      </c>
      <c r="H3" s="467" t="s">
        <v>548</v>
      </c>
      <c r="I3" s="467" t="s">
        <v>549</v>
      </c>
      <c r="J3" s="467" t="s">
        <v>550</v>
      </c>
    </row>
    <row r="4" spans="1:10" ht="24.95" customHeight="1">
      <c r="A4" s="163"/>
      <c r="B4" s="163"/>
    </row>
    <row r="5" spans="1:10" ht="24.95" customHeight="1">
      <c r="A5" s="61" t="s">
        <v>657</v>
      </c>
      <c r="B5" s="166"/>
      <c r="C5" s="326">
        <f>'Operating Forecasts'!C9</f>
        <v>-8.5615117624373311E-3</v>
      </c>
      <c r="D5" s="166">
        <f>'Operating Forecasts'!D9</f>
        <v>5.3913178777034387E-2</v>
      </c>
      <c r="E5" s="166">
        <f>'Operating Forecasts'!E9</f>
        <v>2.9999999999999988E-2</v>
      </c>
      <c r="F5" s="166">
        <f>'Operating Forecasts'!F9</f>
        <v>2.5117222338198963E-2</v>
      </c>
      <c r="G5" s="166">
        <f>'Operating Forecasts'!G9</f>
        <v>2.9637726259011492E-2</v>
      </c>
      <c r="H5" s="166">
        <f>'Operating Forecasts'!H9</f>
        <v>1.2916666666666668E-2</v>
      </c>
      <c r="I5" s="166">
        <f>'Operating Forecasts'!I9</f>
        <v>6.1458333333332428E-3</v>
      </c>
      <c r="J5" s="166">
        <f>'Operating Forecasts'!J9</f>
        <v>8.5156249999999954E-3</v>
      </c>
    </row>
    <row r="6" spans="1:10" ht="24.95" customHeight="1">
      <c r="A6" s="61" t="s">
        <v>658</v>
      </c>
      <c r="B6" s="166">
        <f>'Operating Forecasts'!B24/'Operating Forecasts'!B8</f>
        <v>0.14284612418048592</v>
      </c>
      <c r="C6" s="166">
        <f>'Operating Forecasts'!C24/'Operating Forecasts'!C8</f>
        <v>0.1855453555313521</v>
      </c>
      <c r="D6" s="166">
        <f>'Operating Forecasts'!D24/'Operating Forecasts'!D8</f>
        <v>0.15619694397283532</v>
      </c>
      <c r="E6" s="166">
        <f>'Operating Forecasts'!E24/'Operating Forecasts'!E8</f>
        <v>0.14777262770229746</v>
      </c>
      <c r="F6" s="166">
        <f>'Operating Forecasts'!F24/'Operating Forecasts'!F8</f>
        <v>0.15085596324353512</v>
      </c>
      <c r="G6" s="166">
        <f>'Operating Forecasts'!G24/'Operating Forecasts'!G8</f>
        <v>0.15079342349410965</v>
      </c>
      <c r="H6" s="166">
        <f>'Operating Forecasts'!H24/'Operating Forecasts'!H8</f>
        <v>0.15322906079767479</v>
      </c>
      <c r="I6" s="166">
        <f>'Operating Forecasts'!I24/'Operating Forecasts'!I8</f>
        <v>0.15557207263516157</v>
      </c>
      <c r="J6" s="166">
        <f>'Operating Forecasts'!J24/'Operating Forecasts'!J8</f>
        <v>0.15041362374152215</v>
      </c>
    </row>
    <row r="7" spans="1:10" ht="24.95" customHeight="1">
      <c r="A7" s="61" t="s">
        <v>659</v>
      </c>
      <c r="B7" s="166">
        <f>'Operating Forecasts'!B31/'Operating Forecasts'!B8</f>
        <v>0.10296953335904357</v>
      </c>
      <c r="C7" s="166">
        <f>'Operating Forecasts'!C31/'Operating Forecasts'!C8</f>
        <v>0.14812509724599346</v>
      </c>
      <c r="D7" s="166">
        <f>'Operating Forecasts'!D31/'Operating Forecasts'!D8</f>
        <v>0.11810733003617037</v>
      </c>
      <c r="E7" s="166">
        <f>'Operating Forecasts'!E31/'Operating Forecasts'!E8</f>
        <v>0.1095802987846763</v>
      </c>
      <c r="F7" s="166">
        <f>'Operating Forecasts'!F31/'Operating Forecasts'!F8</f>
        <v>0.11120487205697097</v>
      </c>
      <c r="G7" s="166">
        <f>'Operating Forecasts'!G31/'Operating Forecasts'!G8</f>
        <v>0.10989432174840419</v>
      </c>
      <c r="H7" s="166">
        <f>'Operating Forecasts'!H31/'Operating Forecasts'!H8</f>
        <v>0.1104427170027547</v>
      </c>
      <c r="I7" s="166">
        <f>'Operating Forecasts'!I31/'Operating Forecasts'!I8</f>
        <v>0.11063024192230567</v>
      </c>
      <c r="J7" s="166">
        <f>'Operating Forecasts'!J31/'Operating Forecasts'!J8</f>
        <v>0.11041362374152215</v>
      </c>
    </row>
    <row r="8" spans="1:10" ht="24.95" customHeight="1">
      <c r="A8" s="61" t="s">
        <v>660</v>
      </c>
      <c r="B8" s="166">
        <f>'Operating Forecasts'!B53/'Operating Forecasts'!B8</f>
        <v>5.3914384882375627E-2</v>
      </c>
      <c r="C8" s="166">
        <f>'Operating Forecasts'!C53/'Operating Forecasts'!C8</f>
        <v>9.7557180644157457E-2</v>
      </c>
      <c r="D8" s="166">
        <f>'Operating Forecasts'!D53/'Operating Forecasts'!D8</f>
        <v>9.8619620580202252E-2</v>
      </c>
      <c r="E8" s="166">
        <f ca="1">'Operating Forecasts'!E53/'Operating Forecasts'!E8</f>
        <v>7.1731876333167438E-2</v>
      </c>
      <c r="F8" s="166">
        <f ca="1">'Operating Forecasts'!F53/'Operating Forecasts'!F8</f>
        <v>7.4298173538249968E-2</v>
      </c>
      <c r="G8" s="166">
        <f ca="1">'Operating Forecasts'!G53/'Operating Forecasts'!G8</f>
        <v>7.4334425743117508E-2</v>
      </c>
      <c r="H8" s="166">
        <f ca="1">'Operating Forecasts'!H53/'Operating Forecasts'!H8</f>
        <v>7.56433809508293E-2</v>
      </c>
      <c r="I8" s="166">
        <f ca="1">'Operating Forecasts'!I53/'Operating Forecasts'!I8</f>
        <v>7.6688579741643642E-2</v>
      </c>
      <c r="J8" s="166">
        <f ca="1">'Operating Forecasts'!J53/'Operating Forecasts'!J8</f>
        <v>7.7390743333224751E-2</v>
      </c>
    </row>
    <row r="9" spans="1:10" ht="24.95" customHeight="1">
      <c r="A9" s="61"/>
      <c r="B9" s="166"/>
      <c r="C9" s="166"/>
      <c r="D9" s="166"/>
      <c r="E9" s="166"/>
      <c r="F9" s="166"/>
      <c r="G9" s="166"/>
      <c r="H9" s="166"/>
      <c r="I9" s="166"/>
      <c r="J9" s="166"/>
    </row>
    <row r="10" spans="1:10" ht="44.25" customHeight="1">
      <c r="A10" s="453" t="s">
        <v>402</v>
      </c>
      <c r="B10" s="467" t="s">
        <v>86</v>
      </c>
      <c r="C10" s="467" t="s">
        <v>87</v>
      </c>
      <c r="D10" s="467" t="s">
        <v>88</v>
      </c>
      <c r="E10" s="467" t="s">
        <v>117</v>
      </c>
      <c r="F10" s="467" t="s">
        <v>118</v>
      </c>
      <c r="G10" s="467" t="s">
        <v>119</v>
      </c>
      <c r="H10" s="467" t="s">
        <v>548</v>
      </c>
      <c r="I10" s="467" t="s">
        <v>549</v>
      </c>
      <c r="J10" s="467" t="s">
        <v>550</v>
      </c>
    </row>
    <row r="11" spans="1:10" ht="24.95" customHeight="1">
      <c r="A11" s="163"/>
      <c r="B11" s="163"/>
    </row>
    <row r="12" spans="1:10" ht="24.95" customHeight="1">
      <c r="A12" s="61" t="s">
        <v>140</v>
      </c>
      <c r="B12" s="59"/>
      <c r="C12" s="216">
        <f>-'Operating Forecasts'!C118</f>
        <v>501</v>
      </c>
      <c r="D12" s="216">
        <f>-'Operating Forecasts'!D118</f>
        <v>578</v>
      </c>
      <c r="E12" s="216">
        <f>-'Operating Forecasts'!E118</f>
        <v>558.13639999999998</v>
      </c>
      <c r="F12" s="216">
        <f>-'Operating Forecasts'!F118</f>
        <v>572.15523605384192</v>
      </c>
      <c r="G12" s="216">
        <f>-'Operating Forecasts'!G118</f>
        <v>589.11261631766581</v>
      </c>
      <c r="H12" s="216">
        <f>-'Operating Forecasts'!H118</f>
        <v>596.72198761176901</v>
      </c>
      <c r="I12" s="216">
        <f>-'Operating Forecasts'!I118</f>
        <v>600.3893414939663</v>
      </c>
      <c r="J12" s="216">
        <f>-'Operating Forecasts'!J118</f>
        <v>605.50203198012582</v>
      </c>
    </row>
    <row r="13" spans="1:10" ht="24.95" customHeight="1">
      <c r="A13" s="61" t="s">
        <v>85</v>
      </c>
      <c r="B13" s="59"/>
      <c r="C13" s="216">
        <f>-'Operating Forecasts'!C19</f>
        <v>481</v>
      </c>
      <c r="D13" s="216">
        <f>-'Operating Forecasts'!D19</f>
        <v>516</v>
      </c>
      <c r="E13" s="216">
        <f>-'Operating Forecasts'!E19</f>
        <v>532.91322424242423</v>
      </c>
      <c r="F13" s="216">
        <f>-'Operating Forecasts'!F19</f>
        <v>567.16448594102553</v>
      </c>
      <c r="G13" s="216">
        <f>-'Operating Forecasts'!G19</f>
        <v>602.35442086137414</v>
      </c>
      <c r="H13" s="216">
        <f>-'Operating Forecasts'!H19</f>
        <v>638.28880279862983</v>
      </c>
      <c r="I13" s="216">
        <f>-'Operating Forecasts'!I19</f>
        <v>674.5649036806218</v>
      </c>
      <c r="J13" s="216">
        <f>-'Operating Forecasts'!J19</f>
        <v>605.50203198012582</v>
      </c>
    </row>
    <row r="14" spans="1:10" ht="24.95" customHeight="1">
      <c r="A14" s="61"/>
      <c r="C14" s="60"/>
      <c r="D14" s="60"/>
      <c r="E14" s="60"/>
      <c r="F14" s="60"/>
      <c r="G14" s="60"/>
      <c r="H14" s="60"/>
      <c r="I14" s="60"/>
      <c r="J14" s="60"/>
    </row>
    <row r="15" spans="1:10" ht="24.95" customHeight="1">
      <c r="A15" s="61" t="s">
        <v>661</v>
      </c>
      <c r="C15" s="60" t="str">
        <f t="shared" ref="C15:G15" si="0">IF(C12&gt;C13,"EXPANDING",IF(C12&lt;C13,"DOWNSIZING","NEITHER"))</f>
        <v>EXPANDING</v>
      </c>
      <c r="D15" s="60" t="str">
        <f t="shared" si="0"/>
        <v>EXPANDING</v>
      </c>
      <c r="E15" s="60" t="str">
        <f t="shared" si="0"/>
        <v>EXPANDING</v>
      </c>
      <c r="F15" s="60" t="str">
        <f t="shared" si="0"/>
        <v>EXPANDING</v>
      </c>
      <c r="G15" s="60" t="str">
        <f t="shared" si="0"/>
        <v>DOWNSIZING</v>
      </c>
      <c r="H15" s="60" t="str">
        <f t="shared" ref="H15:J15" si="1">IF(H12&gt;H13,"EXPANDING",IF(H12&lt;H13,"DOWNSIZING","NEITHER"))</f>
        <v>DOWNSIZING</v>
      </c>
      <c r="I15" s="60" t="str">
        <f t="shared" si="1"/>
        <v>DOWNSIZING</v>
      </c>
      <c r="J15" s="60" t="str">
        <f t="shared" si="1"/>
        <v>NEITHER</v>
      </c>
    </row>
    <row r="16" spans="1:10" ht="24.95" customHeight="1">
      <c r="A16" s="61" t="s">
        <v>662</v>
      </c>
      <c r="C16" s="60" t="str">
        <f t="shared" ref="C16:G16" si="2">IF(C12&gt;0,"NO","YES")</f>
        <v>NO</v>
      </c>
      <c r="D16" s="60" t="str">
        <f t="shared" si="2"/>
        <v>NO</v>
      </c>
      <c r="E16" s="60" t="str">
        <f t="shared" si="2"/>
        <v>NO</v>
      </c>
      <c r="F16" s="60" t="str">
        <f t="shared" si="2"/>
        <v>NO</v>
      </c>
      <c r="G16" s="60" t="str">
        <f t="shared" si="2"/>
        <v>NO</v>
      </c>
      <c r="H16" s="60" t="str">
        <f t="shared" ref="H16:J16" si="3">IF(H12&gt;0,"NO","YES")</f>
        <v>NO</v>
      </c>
      <c r="I16" s="60" t="str">
        <f t="shared" si="3"/>
        <v>NO</v>
      </c>
      <c r="J16" s="60" t="str">
        <f t="shared" si="3"/>
        <v>NO</v>
      </c>
    </row>
    <row r="17" spans="1:10" ht="24.95" customHeight="1">
      <c r="A17" s="61"/>
      <c r="C17" s="60"/>
      <c r="D17" s="60"/>
      <c r="E17" s="60"/>
      <c r="F17" s="60"/>
      <c r="G17" s="60"/>
      <c r="H17" s="60"/>
      <c r="I17" s="60"/>
      <c r="J17" s="60"/>
    </row>
    <row r="18" spans="1:10" ht="24.95" customHeight="1">
      <c r="A18" s="61" t="s">
        <v>391</v>
      </c>
      <c r="B18" s="165"/>
      <c r="C18" s="166">
        <f t="shared" ref="C18:G18" si="4">C13/C12</f>
        <v>0.96007984031936133</v>
      </c>
      <c r="D18" s="166">
        <f t="shared" si="4"/>
        <v>0.89273356401384085</v>
      </c>
      <c r="E18" s="166">
        <f t="shared" si="4"/>
        <v>0.95480822294052892</v>
      </c>
      <c r="F18" s="166">
        <f t="shared" si="4"/>
        <v>0.99127727966410373</v>
      </c>
      <c r="G18" s="166">
        <f t="shared" si="4"/>
        <v>1.0224775436426368</v>
      </c>
      <c r="H18" s="166">
        <f t="shared" ref="H18:J18" si="5">H13/H12</f>
        <v>1.0696585948730022</v>
      </c>
      <c r="I18" s="166">
        <f t="shared" si="5"/>
        <v>1.1235457678213978</v>
      </c>
      <c r="J18" s="166">
        <f t="shared" si="5"/>
        <v>1</v>
      </c>
    </row>
    <row r="19" spans="1:10" ht="24.95" customHeight="1">
      <c r="A19" s="63" t="s">
        <v>406</v>
      </c>
      <c r="C19" s="166">
        <f>C13/(AVERAGE('Operating Forecasts'!B63:C63))</f>
        <v>0.13205216197666439</v>
      </c>
      <c r="D19" s="166">
        <f>D13/(AVERAGE('Operating Forecasts'!C63:D63))</f>
        <v>0.1385792936753055</v>
      </c>
      <c r="E19" s="166">
        <f>E13/(AVERAGE('Operating Forecasts'!D63:E63))</f>
        <v>0.14235270185825677</v>
      </c>
      <c r="F19" s="166">
        <f>F13/(AVERAGE('Operating Forecasts'!E63:F63))</f>
        <v>0.15020865762823554</v>
      </c>
      <c r="G19" s="166">
        <f>G13/(AVERAGE('Operating Forecasts'!F63:G63))</f>
        <v>0.15824616678830217</v>
      </c>
      <c r="H19" s="166">
        <f>H13/(AVERAGE('Operating Forecasts'!G63:H63))</f>
        <v>0.16732797353031537</v>
      </c>
      <c r="I19" s="166">
        <f>I13/(AVERAGE('Operating Forecasts'!H63:I63))</f>
        <v>0.17785260568782232</v>
      </c>
      <c r="J19" s="166">
        <f>J13/(AVERAGE('Operating Forecasts'!I63:J63))</f>
        <v>0.16044543112220966</v>
      </c>
    </row>
    <row r="20" spans="1:10" ht="24.95" customHeight="1">
      <c r="A20" s="63"/>
      <c r="C20" s="166"/>
      <c r="D20" s="166"/>
      <c r="E20" s="166"/>
      <c r="F20" s="166"/>
      <c r="G20" s="166"/>
      <c r="H20" s="166"/>
      <c r="I20" s="166"/>
      <c r="J20" s="166"/>
    </row>
    <row r="21" spans="1:10" ht="32.25" customHeight="1">
      <c r="A21" s="453" t="s">
        <v>403</v>
      </c>
      <c r="B21" s="453"/>
      <c r="C21" s="462"/>
      <c r="D21" s="462"/>
      <c r="E21" s="462"/>
      <c r="F21" s="462"/>
      <c r="G21" s="462"/>
      <c r="H21" s="462"/>
      <c r="I21" s="462"/>
      <c r="J21" s="462"/>
    </row>
    <row r="22" spans="1:10" ht="24.95" customHeight="1">
      <c r="A22" s="163"/>
      <c r="B22" s="163"/>
    </row>
    <row r="23" spans="1:10" ht="24.95" customHeight="1">
      <c r="A23" s="61" t="s">
        <v>416</v>
      </c>
      <c r="B23" s="216">
        <f>'Operating Forecasts'!B69*365/'Operating Forecasts'!B8</f>
        <v>31.136907057462398</v>
      </c>
      <c r="C23" s="216">
        <f>'Operating Forecasts'!C69*365/'Operating Forecasts'!C8</f>
        <v>35.494787614750273</v>
      </c>
      <c r="D23" s="216">
        <f>'Operating Forecasts'!D69*365/'Operating Forecasts'!D8</f>
        <v>31.334981914815089</v>
      </c>
      <c r="E23" s="216">
        <f>'Operating Forecasts'!E69*365/'Operating Forecasts'!E8</f>
        <v>34.614892394083142</v>
      </c>
      <c r="F23" s="216">
        <f>'Operating Forecasts'!F69*365/'Operating Forecasts'!F8</f>
        <v>34.614892394083142</v>
      </c>
      <c r="G23" s="216">
        <f>'Operating Forecasts'!G69*365/'Operating Forecasts'!G8</f>
        <v>34.614892394083142</v>
      </c>
      <c r="H23" s="216">
        <f>'Operating Forecasts'!H69*365/'Operating Forecasts'!H8</f>
        <v>34.614892394083142</v>
      </c>
      <c r="I23" s="216">
        <f>'Operating Forecasts'!I69*365/'Operating Forecasts'!I8</f>
        <v>34.614892394083142</v>
      </c>
      <c r="J23" s="216">
        <f>'Operating Forecasts'!J69*365/'Operating Forecasts'!J8</f>
        <v>34.614892394083142</v>
      </c>
    </row>
    <row r="24" spans="1:10" ht="24.95" customHeight="1">
      <c r="A24" s="61" t="s">
        <v>417</v>
      </c>
      <c r="B24" s="216">
        <f>-'Operating Forecasts'!B70*365/'Operating Forecasts'!B15</f>
        <v>92.518140450129138</v>
      </c>
      <c r="C24" s="216">
        <f>-'Operating Forecasts'!C70*365/'Operating Forecasts'!C15</f>
        <v>101.55548743102391</v>
      </c>
      <c r="D24" s="216">
        <f>-'Operating Forecasts'!D70*365/'Operating Forecasts'!D15</f>
        <v>100.42568869742659</v>
      </c>
      <c r="E24" s="216">
        <f>-'Operating Forecasts'!E70*365/'Operating Forecasts'!E15</f>
        <v>92.609847980685416</v>
      </c>
      <c r="F24" s="216">
        <f>-'Operating Forecasts'!F70*365/'Operating Forecasts'!F15</f>
        <v>92.609847980685416</v>
      </c>
      <c r="G24" s="216">
        <f>-'Operating Forecasts'!G70*365/'Operating Forecasts'!G15</f>
        <v>92.609847980685416</v>
      </c>
      <c r="H24" s="216">
        <f>-'Operating Forecasts'!H70*365/'Operating Forecasts'!H15</f>
        <v>92.609847980685416</v>
      </c>
      <c r="I24" s="216">
        <f>-'Operating Forecasts'!I70*365/'Operating Forecasts'!I15</f>
        <v>92.609847980685416</v>
      </c>
      <c r="J24" s="216">
        <f>-'Operating Forecasts'!J70*365/'Operating Forecasts'!J15</f>
        <v>92.609847980685402</v>
      </c>
    </row>
    <row r="25" spans="1:10" ht="24.95" customHeight="1">
      <c r="A25" s="61" t="s">
        <v>418</v>
      </c>
      <c r="B25" s="216">
        <f>'Operating Forecasts'!B72*365/'Operating Forecasts'!B8</f>
        <v>34.853065946779793</v>
      </c>
      <c r="C25" s="216">
        <f>'Operating Forecasts'!C72*365/'Operating Forecasts'!C8</f>
        <v>34.557725221720865</v>
      </c>
      <c r="D25" s="216">
        <f>'Operating Forecasts'!D72*365/'Operating Forecasts'!D8</f>
        <v>35.834502103786818</v>
      </c>
      <c r="E25" s="216">
        <f>'Operating Forecasts'!E72*365/'Operating Forecasts'!E8</f>
        <v>35.081764424095823</v>
      </c>
      <c r="F25" s="216">
        <f>'Operating Forecasts'!F72*365/'Operating Forecasts'!F8</f>
        <v>35.081764424095823</v>
      </c>
      <c r="G25" s="216">
        <f>'Operating Forecasts'!G72*365/'Operating Forecasts'!G8</f>
        <v>35.081764424095823</v>
      </c>
      <c r="H25" s="216">
        <f>'Operating Forecasts'!H72*365/'Operating Forecasts'!H8</f>
        <v>35.081764424095816</v>
      </c>
      <c r="I25" s="216">
        <f>'Operating Forecasts'!I72*365/'Operating Forecasts'!I8</f>
        <v>35.081764424095823</v>
      </c>
      <c r="J25" s="216">
        <f>'Operating Forecasts'!J72*365/'Operating Forecasts'!J8</f>
        <v>35.081764424095823</v>
      </c>
    </row>
    <row r="26" spans="1:10" ht="24.95" customHeight="1">
      <c r="A26" s="61"/>
    </row>
    <row r="27" spans="1:10" ht="24.95" customHeight="1">
      <c r="A27" s="61" t="s">
        <v>663</v>
      </c>
      <c r="C27" s="60" t="str">
        <f>IF(C23&gt;B23,"LATER",IF(C23&lt;B23,"SOONER","EQUALLY"))</f>
        <v>LATER</v>
      </c>
      <c r="D27" s="60" t="str">
        <f t="shared" ref="D27:G27" si="6">IF(D23&gt;C23,"LATER",IF(D23&lt;C23,"SOONER","EQUALLY"))</f>
        <v>SOONER</v>
      </c>
      <c r="E27" s="60" t="str">
        <f t="shared" si="6"/>
        <v>LATER</v>
      </c>
      <c r="F27" s="60" t="str">
        <f t="shared" si="6"/>
        <v>EQUALLY</v>
      </c>
      <c r="G27" s="60" t="str">
        <f t="shared" si="6"/>
        <v>EQUALLY</v>
      </c>
      <c r="H27" s="60" t="str">
        <f t="shared" ref="H27:H28" si="7">IF(H23&gt;G23,"LATER",IF(H23&lt;G23,"SOONER","EQUALLY"))</f>
        <v>EQUALLY</v>
      </c>
      <c r="I27" s="60" t="str">
        <f t="shared" ref="I27:I28" si="8">IF(I23&gt;H23,"LATER",IF(I23&lt;H23,"SOONER","EQUALLY"))</f>
        <v>EQUALLY</v>
      </c>
      <c r="J27" s="60" t="str">
        <f t="shared" ref="J27:J28" si="9">IF(J23&gt;I23,"LATER",IF(J23&lt;I23,"SOONER","EQUALLY"))</f>
        <v>EQUALLY</v>
      </c>
    </row>
    <row r="28" spans="1:10" ht="24.95" customHeight="1">
      <c r="A28" s="61" t="s">
        <v>664</v>
      </c>
      <c r="C28" s="60" t="str">
        <f>IF(C24&gt;B24,"LATER",IF(C24&lt;B24,"SOONER","EQUALLY"))</f>
        <v>LATER</v>
      </c>
      <c r="D28" s="60" t="str">
        <f t="shared" ref="D28:G28" si="10">IF(D24&gt;C24,"LATER",IF(D24&lt;C24,"SOONER","EQUALLY"))</f>
        <v>SOONER</v>
      </c>
      <c r="E28" s="60" t="str">
        <f t="shared" si="10"/>
        <v>SOONER</v>
      </c>
      <c r="F28" s="60" t="str">
        <f t="shared" si="10"/>
        <v>EQUALLY</v>
      </c>
      <c r="G28" s="60" t="str">
        <f t="shared" si="10"/>
        <v>EQUALLY</v>
      </c>
      <c r="H28" s="60" t="str">
        <f t="shared" si="7"/>
        <v>EQUALLY</v>
      </c>
      <c r="I28" s="60" t="str">
        <f t="shared" si="8"/>
        <v>EQUALLY</v>
      </c>
      <c r="J28" s="60" t="str">
        <f t="shared" si="9"/>
        <v>EQUALLY</v>
      </c>
    </row>
    <row r="29" spans="1:10" ht="24.95" customHeight="1">
      <c r="A29" s="61" t="s">
        <v>665</v>
      </c>
      <c r="C29" s="60" t="str">
        <f>IF(C25&gt;B25,"LONGER",IF(C25&lt;B25,"LESS","EQUALLY"))</f>
        <v>LESS</v>
      </c>
      <c r="D29" s="60" t="str">
        <f t="shared" ref="D29:G29" si="11">IF(D25&gt;C25,"LONGER",IF(D25&lt;C25,"LESS","EQUALLY"))</f>
        <v>LONGER</v>
      </c>
      <c r="E29" s="60" t="str">
        <f t="shared" si="11"/>
        <v>LESS</v>
      </c>
      <c r="F29" s="60" t="str">
        <f t="shared" si="11"/>
        <v>EQUALLY</v>
      </c>
      <c r="G29" s="60" t="str">
        <f t="shared" si="11"/>
        <v>EQUALLY</v>
      </c>
      <c r="H29" s="60" t="str">
        <f t="shared" ref="H29" si="12">IF(H25&gt;G25,"LONGER",IF(H25&lt;G25,"LESS","EQUALLY"))</f>
        <v>EQUALLY</v>
      </c>
      <c r="I29" s="60" t="str">
        <f t="shared" ref="I29" si="13">IF(I25&gt;H25,"LONGER",IF(I25&lt;H25,"LESS","EQUALLY"))</f>
        <v>EQUALLY</v>
      </c>
      <c r="J29" s="60" t="str">
        <f t="shared" ref="J29" si="14">IF(J25&gt;I25,"LONGER",IF(J25&lt;I25,"LESS","EQUALLY"))</f>
        <v>EQUALLY</v>
      </c>
    </row>
    <row r="30" spans="1:10" ht="24.95" customHeight="1">
      <c r="A30" s="61"/>
      <c r="C30" s="60"/>
      <c r="D30" s="60"/>
      <c r="E30" s="60"/>
      <c r="F30" s="60"/>
      <c r="G30" s="60"/>
      <c r="H30" s="60"/>
      <c r="I30" s="60"/>
      <c r="J30" s="60"/>
    </row>
    <row r="31" spans="1:10" ht="24.95" customHeight="1">
      <c r="A31" s="453" t="s">
        <v>390</v>
      </c>
      <c r="B31" s="453"/>
      <c r="C31" s="462"/>
      <c r="D31" s="462"/>
      <c r="E31" s="462"/>
      <c r="F31" s="462"/>
      <c r="G31" s="462"/>
      <c r="H31" s="462"/>
      <c r="I31" s="462"/>
      <c r="J31" s="462"/>
    </row>
    <row r="32" spans="1:10" ht="24.95" customHeight="1">
      <c r="B32" s="315"/>
      <c r="C32" s="315"/>
      <c r="D32" s="315"/>
      <c r="E32" s="315"/>
      <c r="F32" s="315"/>
      <c r="G32" s="315"/>
    </row>
    <row r="33" spans="1:10" ht="24.95" customHeight="1">
      <c r="A33" s="61" t="s">
        <v>392</v>
      </c>
      <c r="B33" s="216">
        <f>'Operating Forecasts'!B97/'Operating Forecasts'!B103</f>
        <v>3.9091381100726896</v>
      </c>
      <c r="C33" s="216">
        <f>'Operating Forecasts'!C97/'Operating Forecasts'!C103</f>
        <v>3.8254329990884228</v>
      </c>
      <c r="D33" s="216">
        <f>'Operating Forecasts'!D97/'Operating Forecasts'!D103</f>
        <v>2.7226970560303894</v>
      </c>
      <c r="E33" s="216">
        <f ca="1">'Operating Forecasts'!E97/'Operating Forecasts'!E103</f>
        <v>1.8929591228533218</v>
      </c>
      <c r="F33" s="216">
        <f ca="1">'Operating Forecasts'!F97/'Operating Forecasts'!F103</f>
        <v>1.7627994513159619</v>
      </c>
      <c r="G33" s="216">
        <f ca="1">'Operating Forecasts'!G97/'Operating Forecasts'!G103</f>
        <v>1.5923116624876335</v>
      </c>
      <c r="H33" s="216">
        <f ca="1">'Operating Forecasts'!H97/'Operating Forecasts'!H103</f>
        <v>1.409067754579852</v>
      </c>
      <c r="I33" s="216">
        <f ca="1">'Operating Forecasts'!I97/'Operating Forecasts'!I103</f>
        <v>1.2625116211496181</v>
      </c>
      <c r="J33" s="216">
        <f ca="1">'Operating Forecasts'!J97/'Operating Forecasts'!J103</f>
        <v>1.1346778086848019</v>
      </c>
    </row>
    <row r="34" spans="1:10" ht="24.95" customHeight="1">
      <c r="A34" s="61" t="s">
        <v>393</v>
      </c>
      <c r="B34" s="325">
        <f>'Operating Forecasts'!B97/'Operating Forecasts'!B105</f>
        <v>0.79629825489159178</v>
      </c>
      <c r="C34" s="325">
        <f>'Operating Forecasts'!C97/'Operating Forecasts'!C105</f>
        <v>0.79276471143855676</v>
      </c>
      <c r="D34" s="325">
        <f>'Operating Forecasts'!D97/'Operating Forecasts'!D105</f>
        <v>0.73137755102040813</v>
      </c>
      <c r="E34" s="325">
        <f ca="1">'Operating Forecasts'!E97/'Operating Forecasts'!E105</f>
        <v>0.6543331732203318</v>
      </c>
      <c r="F34" s="325">
        <f ca="1">'Operating Forecasts'!F97/'Operating Forecasts'!F105</f>
        <v>0.63804828485698262</v>
      </c>
      <c r="G34" s="325">
        <f ca="1">'Operating Forecasts'!G97/'Operating Forecasts'!G105</f>
        <v>0.61424391423661606</v>
      </c>
      <c r="H34" s="325">
        <f ca="1">'Operating Forecasts'!H97/'Operating Forecasts'!H105</f>
        <v>0.58490167074009802</v>
      </c>
      <c r="I34" s="325">
        <f ca="1">'Operating Forecasts'!I97/'Operating Forecasts'!I105</f>
        <v>0.55801331995285663</v>
      </c>
      <c r="J34" s="325">
        <f ca="1">'Operating Forecasts'!J97/'Operating Forecasts'!J105</f>
        <v>0.53154523088610239</v>
      </c>
    </row>
    <row r="35" spans="1:10" ht="24.95" customHeight="1">
      <c r="A35" s="61"/>
      <c r="B35" s="216"/>
      <c r="C35" s="216"/>
      <c r="D35" s="216"/>
      <c r="E35" s="216"/>
      <c r="F35" s="216"/>
      <c r="G35" s="216"/>
      <c r="H35" s="216"/>
      <c r="I35" s="216"/>
      <c r="J35" s="216"/>
    </row>
    <row r="36" spans="1:10" ht="24.95" customHeight="1">
      <c r="A36" s="61" t="s">
        <v>666</v>
      </c>
      <c r="B36" s="216">
        <f>'Operating Forecasts'!B97/'Operating Forecasts'!B24</f>
        <v>4.0653347732181428</v>
      </c>
      <c r="C36" s="216">
        <f>'Operating Forecasts'!C97/'Operating Forecasts'!C24</f>
        <v>3.5190775681341719</v>
      </c>
      <c r="D36" s="216">
        <f>'Operating Forecasts'!D97/'Operating Forecasts'!D24</f>
        <v>4.0647448015122869</v>
      </c>
      <c r="E36" s="216">
        <f ca="1">'Operating Forecasts'!E97/'Operating Forecasts'!E24</f>
        <v>3.8737317652652528</v>
      </c>
      <c r="F36" s="216">
        <f ca="1">'Operating Forecasts'!F97/'Operating Forecasts'!F24</f>
        <v>3.595614943311944</v>
      </c>
      <c r="G36" s="216">
        <f ca="1">'Operating Forecasts'!G97/'Operating Forecasts'!G24</f>
        <v>3.3668451223905418</v>
      </c>
      <c r="H36" s="216">
        <f ca="1">'Operating Forecasts'!H97/'Operating Forecasts'!H24</f>
        <v>3.1084971869540543</v>
      </c>
      <c r="I36" s="216">
        <f ca="1">'Operating Forecasts'!I97/'Operating Forecasts'!I24</f>
        <v>2.883082338337934</v>
      </c>
      <c r="J36" s="216">
        <f ca="1">'Operating Forecasts'!J97/'Operating Forecasts'!J24</f>
        <v>2.8184187953818625</v>
      </c>
    </row>
    <row r="37" spans="1:10" ht="24.95" customHeight="1">
      <c r="A37" s="61" t="s">
        <v>667</v>
      </c>
      <c r="B37" s="216">
        <f>'Operating Forecasts'!B31/('Operating Forecasts'!B35-'Operating Forecasts'!B38)</f>
        <v>3.3291770573566084</v>
      </c>
      <c r="C37" s="216">
        <f>'Operating Forecasts'!C31/('Operating Forecasts'!C35-'Operating Forecasts'!C38)</f>
        <v>7.7085020242914979</v>
      </c>
      <c r="D37" s="216">
        <f>'Operating Forecasts'!D31/('Operating Forecasts'!D35-'Operating Forecasts'!D38)</f>
        <v>5.9040590405904059</v>
      </c>
      <c r="E37" s="216">
        <f ca="1">'Operating Forecasts'!E31/('Operating Forecasts'!E35-'Operating Forecasts'!E38)</f>
        <v>5.8979157655270873</v>
      </c>
      <c r="F37" s="216">
        <f ca="1">'Operating Forecasts'!F31/('Operating Forecasts'!F35-'Operating Forecasts'!F38)</f>
        <v>6.5613781582960984</v>
      </c>
      <c r="G37" s="216">
        <f ca="1">'Operating Forecasts'!G31/('Operating Forecasts'!G35-'Operating Forecasts'!G38)</f>
        <v>7.0481851229270571</v>
      </c>
      <c r="H37" s="216">
        <f ca="1">'Operating Forecasts'!H31/('Operating Forecasts'!H35-'Operating Forecasts'!H38)</f>
        <v>7.6274260779295755</v>
      </c>
      <c r="I37" s="216">
        <f ca="1">'Operating Forecasts'!I31/('Operating Forecasts'!I35-'Operating Forecasts'!I38)</f>
        <v>8.2923482942393516</v>
      </c>
      <c r="J37" s="216">
        <f ca="1">'Operating Forecasts'!J31/('Operating Forecasts'!J35-'Operating Forecasts'!J38)</f>
        <v>9.02526006561496</v>
      </c>
    </row>
    <row r="38" spans="1:10" ht="24.95" customHeight="1">
      <c r="A38" s="61"/>
      <c r="B38" s="216"/>
      <c r="C38" s="216"/>
      <c r="D38" s="216"/>
      <c r="E38" s="216"/>
      <c r="F38" s="216"/>
      <c r="G38" s="216"/>
      <c r="H38" s="216"/>
      <c r="I38" s="216"/>
      <c r="J38" s="216"/>
    </row>
    <row r="39" spans="1:10" ht="24.95" customHeight="1">
      <c r="A39" s="61" t="s">
        <v>394</v>
      </c>
      <c r="B39" s="216"/>
      <c r="C39" s="216">
        <f>'Operating Forecasts'!C119/(-('Operating Forecasts'!C123)-'Operating Forecasts'!C122+'Operating Forecasts'!C130)</f>
        <v>1.2444995723397143</v>
      </c>
      <c r="D39" s="216">
        <f>'Operating Forecasts'!D119/(-('Operating Forecasts'!D123)-'Operating Forecasts'!D122+'Operating Forecasts'!D130)</f>
        <v>3.2969013455580343</v>
      </c>
      <c r="E39" s="306">
        <f ca="1">'Operating Forecasts'!E119/(-('Operating Forecasts'!E123)-'Operating Forecasts'!E122+'Operating Forecasts'!E130)</f>
        <v>-2.5068438066811138</v>
      </c>
      <c r="F39" s="216">
        <f ca="1">'Operating Forecasts'!F119/(-('Operating Forecasts'!F123)-'Operating Forecasts'!F122+'Operating Forecasts'!F130)</f>
        <v>2.5202176171840875</v>
      </c>
      <c r="G39" s="216">
        <f ca="1">'Operating Forecasts'!G119/(-('Operating Forecasts'!G123)-'Operating Forecasts'!G122+'Operating Forecasts'!G130)</f>
        <v>4.7863414349867144</v>
      </c>
      <c r="H39" s="216">
        <f ca="1">'Operating Forecasts'!H119/(-('Operating Forecasts'!H123)-'Operating Forecasts'!H122+'Operating Forecasts'!H130)</f>
        <v>10.418780725839683</v>
      </c>
      <c r="I39" s="216">
        <f ca="1">'Operating Forecasts'!I119/(-('Operating Forecasts'!I123)-'Operating Forecasts'!I122+'Operating Forecasts'!I130)</f>
        <v>5.2023132218315578</v>
      </c>
      <c r="J39" s="216">
        <f ca="1">'Operating Forecasts'!J119/(-('Operating Forecasts'!J123)-'Operating Forecasts'!J122+'Operating Forecasts'!J130)</f>
        <v>7.1002746796767182</v>
      </c>
    </row>
    <row r="40" spans="1:10" ht="24.95" customHeight="1">
      <c r="A40" s="61"/>
      <c r="B40" s="216"/>
      <c r="C40" s="216"/>
      <c r="D40" s="216"/>
      <c r="E40" s="306"/>
      <c r="F40" s="216"/>
      <c r="G40" s="216"/>
      <c r="H40" s="216"/>
      <c r="I40" s="216"/>
      <c r="J40" s="216"/>
    </row>
    <row r="41" spans="1:10" ht="24.95" customHeight="1">
      <c r="A41" s="453" t="s">
        <v>404</v>
      </c>
      <c r="B41" s="468"/>
      <c r="C41" s="469"/>
      <c r="D41" s="469"/>
      <c r="E41" s="469"/>
      <c r="F41" s="469"/>
      <c r="G41" s="469"/>
      <c r="H41" s="469"/>
      <c r="I41" s="469"/>
      <c r="J41" s="469"/>
    </row>
    <row r="42" spans="1:10" ht="24.95" customHeight="1">
      <c r="B42" s="60"/>
      <c r="C42" s="60"/>
      <c r="D42" s="60"/>
      <c r="E42" s="60"/>
      <c r="F42" s="60"/>
      <c r="G42" s="60"/>
    </row>
    <row r="43" spans="1:10" ht="24.95" customHeight="1">
      <c r="A43" s="61" t="s">
        <v>668</v>
      </c>
      <c r="B43" s="216">
        <f>'Balance Sheet - As Reported'!B14/'Balance Sheet - As Reported'!B38</f>
        <v>0.65713008493518099</v>
      </c>
      <c r="C43" s="216">
        <f>'Balance Sheet - As Reported'!C14/'Balance Sheet - As Reported'!C38</f>
        <v>0.67138434321096863</v>
      </c>
      <c r="D43" s="216">
        <f>'Balance Sheet - As Reported'!D14/'Balance Sheet - As Reported'!D38</f>
        <v>0.69706336939721791</v>
      </c>
      <c r="E43" s="60"/>
      <c r="F43" s="60"/>
      <c r="G43" s="60"/>
    </row>
    <row r="44" spans="1:10" ht="24.95" customHeight="1">
      <c r="A44" s="61" t="s">
        <v>669</v>
      </c>
      <c r="B44" s="216">
        <f>('Balance Sheet - As Reported'!B14-'Balance Sheet - As Reported'!B12)/'Balance Sheet - As Reported'!B38</f>
        <v>0.38042020563254358</v>
      </c>
      <c r="C44" s="216">
        <f>('Balance Sheet - As Reported'!C14-'Balance Sheet - As Reported'!C12)/'Balance Sheet - As Reported'!C38</f>
        <v>0.40225563909774437</v>
      </c>
      <c r="D44" s="216">
        <f>('Balance Sheet - As Reported'!D14-'Balance Sheet - As Reported'!D12)/'Balance Sheet - As Reported'!D38</f>
        <v>0.40340030911901081</v>
      </c>
      <c r="E44" s="60"/>
      <c r="F44" s="60"/>
      <c r="G44" s="60"/>
    </row>
    <row r="45" spans="1:10" ht="24.95" customHeight="1">
      <c r="A45" s="61"/>
      <c r="B45" s="216"/>
      <c r="C45" s="216"/>
      <c r="D45" s="216"/>
      <c r="E45" s="60"/>
      <c r="F45" s="60"/>
      <c r="G45" s="60"/>
    </row>
    <row r="46" spans="1:10" ht="24.95" customHeight="1">
      <c r="A46" s="453" t="s">
        <v>405</v>
      </c>
      <c r="B46" s="468"/>
      <c r="C46" s="469"/>
      <c r="D46" s="469"/>
      <c r="E46" s="469"/>
      <c r="F46" s="469"/>
      <c r="G46" s="469"/>
      <c r="H46" s="469"/>
      <c r="I46" s="469"/>
      <c r="J46" s="469"/>
    </row>
    <row r="47" spans="1:10" ht="24.95" customHeight="1">
      <c r="B47" s="60"/>
      <c r="C47" s="60"/>
      <c r="D47" s="60"/>
      <c r="E47" s="60"/>
      <c r="F47" s="60"/>
      <c r="G47" s="60"/>
    </row>
    <row r="48" spans="1:10" ht="24.95" customHeight="1">
      <c r="A48" s="61" t="s">
        <v>410</v>
      </c>
      <c r="B48" s="60"/>
      <c r="C48" s="216">
        <f>'Operating Forecasts'!C31+'Operating Forecasts'!C112</f>
        <v>1432.8835244417623</v>
      </c>
      <c r="D48" s="216">
        <f>'Operating Forecasts'!D31+'Operating Forecasts'!D112</f>
        <v>1382.09179834462</v>
      </c>
      <c r="E48" s="216">
        <f>'Operating Forecasts'!E31+'Operating Forecasts'!E112</f>
        <v>1205.2573826533371</v>
      </c>
      <c r="F48" s="216">
        <f>'Operating Forecasts'!F31+'Operating Forecasts'!F112</f>
        <v>1253.8473452905307</v>
      </c>
      <c r="G48" s="216">
        <f>'Operating Forecasts'!G31+'Operating Forecasts'!G112</f>
        <v>1275.7939838103243</v>
      </c>
      <c r="H48" s="216">
        <f>'Operating Forecasts'!H31+'Operating Forecasts'!H112</f>
        <v>1298.7216972790984</v>
      </c>
      <c r="I48" s="216">
        <f>'Operating Forecasts'!I31+'Operating Forecasts'!I112</f>
        <v>1308.9221261726345</v>
      </c>
      <c r="J48" s="216">
        <f>'Operating Forecasts'!J31+'Operating Forecasts'!J112</f>
        <v>1317.4836724715938</v>
      </c>
    </row>
    <row r="49" spans="1:10" ht="24.95" customHeight="1">
      <c r="A49" s="61" t="s">
        <v>57</v>
      </c>
      <c r="B49" s="60"/>
      <c r="C49" s="216">
        <f>'Operating Forecasts'!C78</f>
        <v>10766</v>
      </c>
      <c r="D49" s="216">
        <f>'Operating Forecasts'!D78</f>
        <v>11658</v>
      </c>
      <c r="E49" s="216">
        <f>'Operating Forecasts'!E78</f>
        <v>12408.221276398795</v>
      </c>
      <c r="F49" s="216">
        <f>'Operating Forecasts'!F78</f>
        <v>12252.796904809906</v>
      </c>
      <c r="G49" s="216">
        <f>'Operating Forecasts'!G78</f>
        <v>12237.129259667341</v>
      </c>
      <c r="H49" s="216">
        <f>'Operating Forecasts'!H78</f>
        <v>12267.806482948927</v>
      </c>
      <c r="I49" s="216">
        <f>'Operating Forecasts'!I78</f>
        <v>12156.733433596488</v>
      </c>
      <c r="J49" s="216">
        <f>'Operating Forecasts'!J78</f>
        <v>12164.582498913158</v>
      </c>
    </row>
    <row r="50" spans="1:10" ht="24.95" customHeight="1">
      <c r="A50" s="34" t="s">
        <v>395</v>
      </c>
      <c r="B50" s="60"/>
      <c r="C50" s="254">
        <f>C48/C49</f>
        <v>0.13309339814617893</v>
      </c>
      <c r="D50" s="254">
        <f t="shared" ref="D50:G50" si="15">D48/D49</f>
        <v>0.11855307928843883</v>
      </c>
      <c r="E50" s="254">
        <f t="shared" si="15"/>
        <v>9.7133775728662358E-2</v>
      </c>
      <c r="F50" s="254">
        <f t="shared" si="15"/>
        <v>0.10233152112382812</v>
      </c>
      <c r="G50" s="254">
        <f t="shared" si="15"/>
        <v>0.1042559865748289</v>
      </c>
      <c r="H50" s="254">
        <f t="shared" ref="H50:J50" si="16">H48/H49</f>
        <v>0.10586421452638635</v>
      </c>
      <c r="I50" s="254">
        <f t="shared" si="16"/>
        <v>0.1076705459836178</v>
      </c>
      <c r="J50" s="254">
        <f t="shared" si="16"/>
        <v>0.10830488202856975</v>
      </c>
    </row>
    <row r="51" spans="1:10" ht="24.95" customHeight="1">
      <c r="A51" s="61"/>
      <c r="B51" s="60"/>
      <c r="C51" s="60"/>
      <c r="D51" s="60"/>
      <c r="E51" s="60"/>
      <c r="F51" s="60"/>
      <c r="G51" s="60"/>
      <c r="H51" s="60"/>
      <c r="I51" s="60"/>
      <c r="J51" s="60"/>
    </row>
    <row r="52" spans="1:10" ht="24.95" customHeight="1">
      <c r="A52" s="61"/>
      <c r="B52" s="60"/>
      <c r="C52" s="60"/>
      <c r="D52" s="60"/>
      <c r="E52" s="60"/>
      <c r="F52" s="60"/>
      <c r="G52" s="60"/>
      <c r="H52" s="60"/>
      <c r="I52" s="60"/>
      <c r="J52" s="60"/>
    </row>
    <row r="53" spans="1:10" ht="24.95" customHeight="1">
      <c r="A53" s="61"/>
      <c r="B53" s="60"/>
      <c r="C53" s="60"/>
      <c r="D53" s="60"/>
      <c r="E53" s="60"/>
      <c r="F53" s="60"/>
      <c r="G53" s="60"/>
      <c r="H53" s="60"/>
      <c r="I53" s="60"/>
      <c r="J53" s="60"/>
    </row>
    <row r="54" spans="1:10" ht="24.95" customHeight="1">
      <c r="A54" s="61" t="s">
        <v>396</v>
      </c>
      <c r="B54" s="60"/>
      <c r="C54" s="60"/>
      <c r="D54" s="60"/>
      <c r="E54" s="60"/>
      <c r="F54" s="60"/>
      <c r="G54" s="60"/>
      <c r="H54" s="60"/>
      <c r="I54" s="60"/>
      <c r="J54" s="60"/>
    </row>
    <row r="55" spans="1:10" ht="24.95" customHeight="1">
      <c r="A55" s="61" t="s">
        <v>397</v>
      </c>
      <c r="B55" s="143"/>
      <c r="C55" s="166">
        <f>'Operating Forecasts'!C45</f>
        <v>0.24743512371756185</v>
      </c>
      <c r="D55" s="166">
        <f>'Operating Forecasts'!D45</f>
        <v>0.13619262603461249</v>
      </c>
      <c r="E55" s="166">
        <f>'Operating Forecasts'!E45</f>
        <v>0.21174458182317302</v>
      </c>
      <c r="F55" s="166">
        <f>'Operating Forecasts'!F45</f>
        <v>0.21174458182317302</v>
      </c>
      <c r="G55" s="166">
        <f>'Operating Forecasts'!G45</f>
        <v>0.21174458182317302</v>
      </c>
      <c r="H55" s="166">
        <f>'Operating Forecasts'!H45</f>
        <v>0.21174458182317302</v>
      </c>
      <c r="I55" s="166">
        <f>'Operating Forecasts'!I45</f>
        <v>0.21174458182317302</v>
      </c>
      <c r="J55" s="166">
        <f>'Operating Forecasts'!J45</f>
        <v>0.21174458182317302</v>
      </c>
    </row>
    <row r="56" spans="1:10" ht="24.95" customHeight="1">
      <c r="A56" s="61" t="s">
        <v>408</v>
      </c>
      <c r="B56" s="151"/>
      <c r="C56" s="252">
        <f>'Operating Forecasts'!C31/'Operating Forecasts'!C8</f>
        <v>0.14812509724599346</v>
      </c>
      <c r="D56" s="252">
        <f>'Operating Forecasts'!D31/'Operating Forecasts'!D8</f>
        <v>0.11810733003617037</v>
      </c>
      <c r="E56" s="252">
        <f>'Operating Forecasts'!E31/'Operating Forecasts'!E8</f>
        <v>0.1095802987846763</v>
      </c>
      <c r="F56" s="252">
        <f>'Operating Forecasts'!F31/'Operating Forecasts'!F8</f>
        <v>0.11120487205697097</v>
      </c>
      <c r="G56" s="252">
        <f>'Operating Forecasts'!G31/'Operating Forecasts'!G8</f>
        <v>0.10989432174840419</v>
      </c>
      <c r="H56" s="252">
        <f>'Operating Forecasts'!H31/'Operating Forecasts'!H8</f>
        <v>0.1104427170027547</v>
      </c>
      <c r="I56" s="252">
        <f>'Operating Forecasts'!I31/'Operating Forecasts'!I8</f>
        <v>0.11063024192230567</v>
      </c>
      <c r="J56" s="252">
        <f>'Operating Forecasts'!J31/'Operating Forecasts'!J8</f>
        <v>0.11041362374152215</v>
      </c>
    </row>
    <row r="57" spans="1:10" ht="24.95" customHeight="1">
      <c r="A57" s="92" t="s">
        <v>409</v>
      </c>
      <c r="B57" s="155"/>
      <c r="C57" s="324">
        <f>'Operating Forecasts'!C8/'Operating Forecasts'!C78</f>
        <v>1.1939438974549508</v>
      </c>
      <c r="D57" s="324">
        <f>'Operating Forecasts'!D8/'Operating Forecasts'!D78</f>
        <v>1.1620346543146338</v>
      </c>
      <c r="E57" s="324">
        <f>'Operating Forecasts'!E8/'Operating Forecasts'!E78</f>
        <v>1.1245294300594275</v>
      </c>
      <c r="F57" s="324">
        <f>'Operating Forecasts'!F8/'Operating Forecasts'!F78</f>
        <v>1.1673972083656246</v>
      </c>
      <c r="G57" s="324">
        <f>'Operating Forecasts'!G8/'Operating Forecasts'!G78</f>
        <v>1.2035351670659735</v>
      </c>
      <c r="H57" s="324">
        <f>'Operating Forecasts'!H8/'Operating Forecasts'!H78</f>
        <v>1.216032361696354</v>
      </c>
      <c r="I57" s="324">
        <f>'Operating Forecasts'!I8/'Operating Forecasts'!I78</f>
        <v>1.2346847629206119</v>
      </c>
      <c r="J57" s="324">
        <f>'Operating Forecasts'!J8/'Operating Forecasts'!J78</f>
        <v>1.244395424245395</v>
      </c>
    </row>
    <row r="58" spans="1:10" ht="24.95" customHeight="1">
      <c r="A58" s="61" t="s">
        <v>395</v>
      </c>
      <c r="B58" s="60"/>
      <c r="C58" s="254">
        <f>C56*(1-C55)*C57</f>
        <v>0.1330933981461789</v>
      </c>
      <c r="D58" s="254">
        <f>D56*(1-D55)*D57</f>
        <v>0.11855307928843885</v>
      </c>
      <c r="E58" s="254">
        <f t="shared" ref="E58:F58" si="17">E56*(1-E55)*E57</f>
        <v>9.7133775728662358E-2</v>
      </c>
      <c r="F58" s="254">
        <f t="shared" si="17"/>
        <v>0.10233152112382812</v>
      </c>
      <c r="G58" s="254">
        <f t="shared" ref="G58:J58" si="18">G57*(1-G55)*G56</f>
        <v>0.10425598657482892</v>
      </c>
      <c r="H58" s="254">
        <f t="shared" si="18"/>
        <v>0.10586421452638635</v>
      </c>
      <c r="I58" s="254">
        <f t="shared" si="18"/>
        <v>0.1076705459836178</v>
      </c>
      <c r="J58" s="254">
        <f t="shared" si="18"/>
        <v>0.10830488202856975</v>
      </c>
    </row>
    <row r="59" spans="1:10" ht="24.95" customHeight="1">
      <c r="A59" s="61" t="s">
        <v>398</v>
      </c>
      <c r="B59" s="60"/>
      <c r="C59" s="252" t="str">
        <f>IF(C58=C50,"OK","NOT OK")</f>
        <v>OK</v>
      </c>
      <c r="D59" s="252" t="str">
        <f t="shared" ref="D59:G59" si="19">IF(D58=D50,"OK","NOT OK")</f>
        <v>OK</v>
      </c>
      <c r="E59" s="252" t="str">
        <f t="shared" si="19"/>
        <v>OK</v>
      </c>
      <c r="F59" s="252" t="str">
        <f t="shared" si="19"/>
        <v>OK</v>
      </c>
      <c r="G59" s="252" t="str">
        <f t="shared" si="19"/>
        <v>OK</v>
      </c>
      <c r="H59" s="252" t="str">
        <f t="shared" ref="H59:J59" si="20">IF(H58=H50,"OK","NOT OK")</f>
        <v>OK</v>
      </c>
      <c r="I59" s="252" t="str">
        <f t="shared" si="20"/>
        <v>OK</v>
      </c>
      <c r="J59" s="252" t="str">
        <f t="shared" si="20"/>
        <v>OK</v>
      </c>
    </row>
    <row r="60" spans="1:10" ht="24.95" customHeight="1">
      <c r="A60" s="61"/>
      <c r="B60" s="60"/>
      <c r="C60" s="252"/>
      <c r="D60" s="252"/>
      <c r="E60" s="252"/>
      <c r="F60" s="252"/>
      <c r="G60" s="252"/>
      <c r="H60" s="252"/>
      <c r="I60" s="252"/>
      <c r="J60" s="252"/>
    </row>
    <row r="61" spans="1:10" ht="24.95" customHeight="1">
      <c r="A61" s="61" t="s">
        <v>399</v>
      </c>
      <c r="B61" s="60"/>
      <c r="C61" s="252">
        <f>'Operating Forecasts'!C53/AVERAGE('Operating Forecasts'!B103:C103)</f>
        <v>0.60873786407766994</v>
      </c>
      <c r="D61" s="252">
        <f>'Operating Forecasts'!D53/AVERAGE('Operating Forecasts'!C103:D103)</f>
        <v>0.49915934989725386</v>
      </c>
      <c r="E61" s="252">
        <f ca="1">'Operating Forecasts'!E53/AVERAGE('Operating Forecasts'!D103:E103)</f>
        <v>0.27130231897159029</v>
      </c>
      <c r="F61" s="252">
        <f ca="1">'Operating Forecasts'!F53/AVERAGE('Operating Forecasts'!E103:F103)</f>
        <v>0.24655325430524946</v>
      </c>
      <c r="G61" s="252">
        <f ca="1">'Operating Forecasts'!G53/AVERAGE('Operating Forecasts'!F103:G103)</f>
        <v>0.24068521106376328</v>
      </c>
      <c r="H61" s="252">
        <f ca="1">'Operating Forecasts'!H53/AVERAGE('Operating Forecasts'!G103:H103)</f>
        <v>0.23174663265974588</v>
      </c>
      <c r="I61" s="252">
        <f ca="1">'Operating Forecasts'!I53/AVERAGE('Operating Forecasts'!H103:I103)</f>
        <v>0.22188877997240861</v>
      </c>
      <c r="J61" s="252">
        <f ca="1">'Operating Forecasts'!J53/AVERAGE('Operating Forecasts'!I103:J103)</f>
        <v>0.21323365818410944</v>
      </c>
    </row>
    <row r="62" spans="1:10" ht="24.95" customHeight="1">
      <c r="A62" s="63" t="s">
        <v>400</v>
      </c>
      <c r="B62" s="60"/>
      <c r="C62" s="166">
        <f>('Operating Forecasts'!C35-'Operating Forecasts'!C38)/AVERAGE('Operating Forecasts'!B97:C97)</f>
        <v>3.1026252983293555E-2</v>
      </c>
      <c r="D62" s="166">
        <f>('Operating Forecasts'!D35-'Operating Forecasts'!D38)/AVERAGE('Operating Forecasts'!C97:D97)</f>
        <v>3.1893609509238557E-2</v>
      </c>
      <c r="E62" s="166">
        <f ca="1">('Operating Forecasts'!E35-'Operating Forecasts'!E38)/AVERAGE('Operating Forecasts'!D97:E97)</f>
        <v>3.1256511623912631E-2</v>
      </c>
      <c r="F62" s="166">
        <f ca="1">('Operating Forecasts'!F35-'Operating Forecasts'!F38)/AVERAGE('Operating Forecasts'!E97:F97)</f>
        <v>3.0792157099605359E-2</v>
      </c>
      <c r="G62" s="166">
        <f ca="1">('Operating Forecasts'!G35-'Operating Forecasts'!G38)/AVERAGE('Operating Forecasts'!F97:G97)</f>
        <v>3.0143624745021212E-2</v>
      </c>
      <c r="H62" s="166">
        <f ca="1">('Operating Forecasts'!H35-'Operating Forecasts'!H38)/AVERAGE('Operating Forecasts'!G97:H97)</f>
        <v>2.9624858307174411E-2</v>
      </c>
      <c r="I62" s="166">
        <f ca="1">('Operating Forecasts'!I35-'Operating Forecasts'!I38)/AVERAGE('Operating Forecasts'!H97:I97)</f>
        <v>2.8941997072998344E-2</v>
      </c>
      <c r="J62" s="166">
        <f ca="1">('Operating Forecasts'!J35-'Operating Forecasts'!J38)/AVERAGE('Operating Forecasts'!I97:J97)</f>
        <v>2.8166889510711928E-2</v>
      </c>
    </row>
    <row r="63" spans="1:10" ht="24.95" customHeight="1">
      <c r="B63" s="60"/>
      <c r="C63" s="166"/>
      <c r="D63" s="60"/>
      <c r="E63" s="60"/>
      <c r="F63" s="60"/>
      <c r="G63" s="60"/>
    </row>
    <row r="64" spans="1:10" ht="24.95" customHeight="1">
      <c r="B64" s="60"/>
      <c r="C64" s="60"/>
      <c r="D64" s="60"/>
      <c r="E64" s="60"/>
      <c r="F64" s="60"/>
      <c r="G64" s="60"/>
    </row>
    <row r="65" spans="2:7" ht="24.95" customHeight="1">
      <c r="B65" s="60"/>
      <c r="C65" s="60"/>
      <c r="D65" s="60"/>
      <c r="E65" s="60"/>
      <c r="F65" s="60"/>
      <c r="G65" s="60"/>
    </row>
    <row r="66" spans="2:7" ht="24.95" customHeight="1">
      <c r="B66" s="60"/>
      <c r="C66" s="60"/>
      <c r="D66" s="60"/>
      <c r="E66" s="60"/>
      <c r="F66" s="60"/>
      <c r="G66" s="60"/>
    </row>
  </sheetData>
  <phoneticPr fontId="40"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509BF-9EBE-4F61-AD4A-081A52A82B58}">
  <sheetPr>
    <tabColor rgb="FFD31245"/>
  </sheetPr>
  <dimension ref="A1"/>
  <sheetViews>
    <sheetView workbookViewId="0">
      <selection sqref="A1:XFD1048576"/>
    </sheetView>
  </sheetViews>
  <sheetFormatPr defaultRowHeight="12.75"/>
  <cols>
    <col min="1" max="16384" width="9.33203125" style="525"/>
  </cols>
  <sheetData/>
  <mergeCells count="1">
    <mergeCell ref="A1:XFD1048576"/>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7"/>
  <sheetViews>
    <sheetView topLeftCell="H26" zoomScaleNormal="100" workbookViewId="0">
      <selection activeCell="Q41" sqref="Q41"/>
    </sheetView>
  </sheetViews>
  <sheetFormatPr defaultColWidth="20.83203125" defaultRowHeight="20.100000000000001" customHeight="1"/>
  <cols>
    <col min="1" max="1" width="64.83203125" style="40" customWidth="1"/>
    <col min="2" max="3" width="20.83203125" style="40"/>
    <col min="4" max="4" width="28.6640625" style="40" customWidth="1"/>
    <col min="5" max="5" width="26" style="40" customWidth="1"/>
    <col min="6" max="6" width="33.5" style="40" customWidth="1"/>
    <col min="7" max="12" width="20.83203125" style="40"/>
    <col min="13" max="13" width="27.33203125" style="40" customWidth="1"/>
    <col min="14" max="16384" width="20.83203125" style="40"/>
  </cols>
  <sheetData>
    <row r="1" spans="1:16" ht="20.100000000000001" customHeight="1">
      <c r="A1" s="200" t="s">
        <v>128</v>
      </c>
    </row>
    <row r="3" spans="1:16" ht="15" customHeight="1">
      <c r="A3" s="14" t="s">
        <v>171</v>
      </c>
      <c r="B3" s="42"/>
      <c r="C3" s="42"/>
      <c r="D3" s="42"/>
      <c r="E3" s="42"/>
      <c r="F3" s="42"/>
      <c r="G3" s="42"/>
      <c r="H3" s="42"/>
      <c r="I3" s="42"/>
      <c r="J3" s="43"/>
      <c r="K3" s="43"/>
      <c r="L3" s="43"/>
      <c r="M3" s="43"/>
    </row>
    <row r="4" spans="1:16" ht="15" customHeight="1">
      <c r="A4" s="69" t="s">
        <v>81</v>
      </c>
      <c r="B4" s="42"/>
      <c r="C4" s="42"/>
      <c r="D4" s="42"/>
      <c r="E4" s="42"/>
      <c r="F4" s="42"/>
      <c r="G4" s="42"/>
      <c r="H4" s="42"/>
      <c r="I4" s="42"/>
      <c r="J4" s="43"/>
      <c r="K4" s="43"/>
      <c r="L4" s="43"/>
      <c r="M4" s="43"/>
    </row>
    <row r="5" spans="1:16" s="152" customFormat="1" ht="60" customHeight="1">
      <c r="A5" s="470" t="s">
        <v>591</v>
      </c>
      <c r="B5" s="471" t="s">
        <v>132</v>
      </c>
      <c r="C5" s="471" t="s">
        <v>133</v>
      </c>
      <c r="D5" s="471" t="s">
        <v>163</v>
      </c>
      <c r="E5" s="471" t="s">
        <v>165</v>
      </c>
      <c r="F5" s="471" t="s">
        <v>166</v>
      </c>
      <c r="G5" s="471" t="s">
        <v>299</v>
      </c>
      <c r="H5" s="471" t="s">
        <v>164</v>
      </c>
      <c r="I5" s="471" t="s">
        <v>167</v>
      </c>
      <c r="J5" s="471" t="s">
        <v>134</v>
      </c>
      <c r="K5" s="471" t="s">
        <v>135</v>
      </c>
      <c r="L5" s="471" t="s">
        <v>143</v>
      </c>
      <c r="M5" s="471" t="s">
        <v>146</v>
      </c>
      <c r="N5" s="471" t="s">
        <v>172</v>
      </c>
      <c r="O5" s="471" t="s">
        <v>145</v>
      </c>
    </row>
    <row r="7" spans="1:16" ht="20.100000000000001" customHeight="1">
      <c r="A7" s="61" t="s">
        <v>168</v>
      </c>
      <c r="B7" s="61" t="s">
        <v>124</v>
      </c>
      <c r="C7" s="61" t="s">
        <v>131</v>
      </c>
      <c r="D7" s="216">
        <v>2839.6213760000001</v>
      </c>
      <c r="E7" s="216">
        <v>164.3</v>
      </c>
      <c r="F7" s="216">
        <v>0</v>
      </c>
      <c r="G7" s="307">
        <v>-73.599999999999994</v>
      </c>
      <c r="H7" s="216">
        <v>0</v>
      </c>
      <c r="I7" s="216">
        <v>2298.6</v>
      </c>
      <c r="J7" s="336">
        <f>D7-E7+F7+H7+I7+G7</f>
        <v>4900.3213759999999</v>
      </c>
      <c r="K7" s="327">
        <f>(I7-E7)/(D7+F7+H7)</f>
        <v>0.75161428845364475</v>
      </c>
      <c r="L7" s="342">
        <v>0.60467271576654102</v>
      </c>
      <c r="M7" s="336">
        <f>L7*(2/3) + 1/3</f>
        <v>0.73644847717769402</v>
      </c>
      <c r="N7" s="347">
        <v>0.27600000000000002</v>
      </c>
      <c r="O7" s="347">
        <f>M7/(1+K7*(1-N7))</f>
        <v>0.47692227914753732</v>
      </c>
    </row>
    <row r="8" spans="1:16" ht="20.100000000000001" customHeight="1">
      <c r="A8" s="61" t="s">
        <v>169</v>
      </c>
      <c r="B8" s="61" t="s">
        <v>170</v>
      </c>
      <c r="C8" s="61" t="s">
        <v>131</v>
      </c>
      <c r="D8" s="216">
        <v>248705.13058262697</v>
      </c>
      <c r="E8" s="216">
        <v>10481.278</v>
      </c>
      <c r="F8" s="216">
        <v>0</v>
      </c>
      <c r="G8" s="307">
        <v>-5432</v>
      </c>
      <c r="H8" s="216">
        <v>1058.2011</v>
      </c>
      <c r="I8" s="216">
        <v>41100.936099999999</v>
      </c>
      <c r="J8" s="336">
        <f t="shared" ref="J8:J11" si="0">D8-E8+F8+H8+I8+G8</f>
        <v>274950.98978262697</v>
      </c>
      <c r="K8" s="327">
        <f t="shared" ref="K8:K10" si="1">(I8-E8)/(D8+F8+H8)</f>
        <v>0.12259468951554606</v>
      </c>
      <c r="L8" s="342">
        <v>0.7465332539500581</v>
      </c>
      <c r="M8" s="336">
        <f t="shared" ref="M8:M11" si="2">L8*(2/3) + 1/3</f>
        <v>0.83102216930003869</v>
      </c>
      <c r="N8" s="347">
        <v>0.26469999999999999</v>
      </c>
      <c r="O8" s="347">
        <f t="shared" ref="O8:O11" si="3">M8/(1+K8*(1-N8))</f>
        <v>0.76230503899953783</v>
      </c>
    </row>
    <row r="9" spans="1:16" ht="20.100000000000001" customHeight="1">
      <c r="A9" s="61" t="s">
        <v>136</v>
      </c>
      <c r="B9" s="61" t="s">
        <v>124</v>
      </c>
      <c r="C9" s="61" t="s">
        <v>131</v>
      </c>
      <c r="D9" s="216">
        <v>22487.197695999999</v>
      </c>
      <c r="E9" s="216">
        <v>587.99800000000005</v>
      </c>
      <c r="F9" s="216">
        <v>0</v>
      </c>
      <c r="G9" s="307">
        <v>-261.5</v>
      </c>
      <c r="H9" s="216">
        <v>8.5449999999999999</v>
      </c>
      <c r="I9" s="216">
        <v>4457.5959999999995</v>
      </c>
      <c r="J9" s="336">
        <f t="shared" si="0"/>
        <v>26103.840695999999</v>
      </c>
      <c r="K9" s="327">
        <f t="shared" si="1"/>
        <v>0.17201468083505678</v>
      </c>
      <c r="L9" s="342">
        <v>0.37401542424579404</v>
      </c>
      <c r="M9" s="336">
        <f t="shared" si="2"/>
        <v>0.58267694949719595</v>
      </c>
      <c r="N9" s="347">
        <v>0.16950000000000001</v>
      </c>
      <c r="O9" s="347">
        <f t="shared" si="3"/>
        <v>0.50984186258182074</v>
      </c>
      <c r="P9" s="49"/>
    </row>
    <row r="10" spans="1:16" ht="20.100000000000001" customHeight="1">
      <c r="A10" s="61" t="s">
        <v>137</v>
      </c>
      <c r="B10" s="61" t="s">
        <v>124</v>
      </c>
      <c r="C10" s="61" t="s">
        <v>131</v>
      </c>
      <c r="D10" s="216">
        <v>58197.032959999997</v>
      </c>
      <c r="E10" s="216">
        <v>1100</v>
      </c>
      <c r="F10" s="216">
        <v>0</v>
      </c>
      <c r="G10" s="307">
        <v>-1440</v>
      </c>
      <c r="H10" s="216">
        <v>76</v>
      </c>
      <c r="I10" s="216">
        <v>18372</v>
      </c>
      <c r="J10" s="336">
        <f t="shared" si="0"/>
        <v>74105.032959999997</v>
      </c>
      <c r="K10" s="327">
        <f t="shared" si="1"/>
        <v>0.29639782113033164</v>
      </c>
      <c r="L10" s="342">
        <v>0.60650002631026301</v>
      </c>
      <c r="M10" s="336">
        <f t="shared" si="2"/>
        <v>0.737666684206842</v>
      </c>
      <c r="N10" s="347">
        <v>0.27200000000000002</v>
      </c>
      <c r="O10" s="347">
        <f t="shared" si="3"/>
        <v>0.60674474989846083</v>
      </c>
      <c r="P10" s="49"/>
    </row>
    <row r="11" spans="1:16" ht="20.100000000000001" customHeight="1">
      <c r="A11" s="61" t="s">
        <v>138</v>
      </c>
      <c r="B11" s="61" t="s">
        <v>124</v>
      </c>
      <c r="C11" s="61" t="s">
        <v>131</v>
      </c>
      <c r="D11" s="216">
        <v>52484.472831999999</v>
      </c>
      <c r="E11" s="216">
        <v>1130</v>
      </c>
      <c r="F11" s="216">
        <v>0</v>
      </c>
      <c r="G11" s="216">
        <v>693</v>
      </c>
      <c r="H11" s="216">
        <v>121</v>
      </c>
      <c r="I11" s="216">
        <v>31168</v>
      </c>
      <c r="J11" s="337">
        <f t="shared" si="0"/>
        <v>83336.472831999999</v>
      </c>
      <c r="K11" s="339">
        <f>(I11-E11)/(D11+F11+H11)</f>
        <v>0.57100522783872465</v>
      </c>
      <c r="L11" s="342">
        <v>0.63220130648698603</v>
      </c>
      <c r="M11" s="336">
        <f t="shared" si="2"/>
        <v>0.75480087099132398</v>
      </c>
      <c r="N11" s="348">
        <v>9.4E-2</v>
      </c>
      <c r="O11" s="347">
        <f t="shared" si="3"/>
        <v>0.49745309501293605</v>
      </c>
      <c r="P11" s="49"/>
    </row>
    <row r="12" spans="1:16" ht="20.100000000000001" customHeight="1">
      <c r="A12" s="47" t="s">
        <v>125</v>
      </c>
      <c r="B12" s="48"/>
      <c r="C12" s="48"/>
      <c r="D12" s="332"/>
      <c r="E12" s="332"/>
      <c r="F12" s="332"/>
      <c r="G12" s="48"/>
      <c r="H12" s="332"/>
      <c r="I12" s="48"/>
      <c r="J12" s="49"/>
      <c r="K12" s="340">
        <f>AVERAGE(K7:K11)</f>
        <v>0.38272534155466076</v>
      </c>
      <c r="L12" s="343"/>
      <c r="M12" s="332"/>
      <c r="N12" s="349"/>
      <c r="O12" s="349">
        <f>AVERAGE(O7:O11)</f>
        <v>0.57065340512805851</v>
      </c>
      <c r="P12" s="49"/>
    </row>
    <row r="13" spans="1:16" ht="20.100000000000001" customHeight="1">
      <c r="A13" s="46"/>
      <c r="B13" s="46"/>
      <c r="C13" s="46"/>
      <c r="D13" s="333"/>
      <c r="E13" s="333"/>
      <c r="F13" s="333"/>
      <c r="G13" s="46"/>
      <c r="H13" s="333"/>
      <c r="I13" s="46"/>
      <c r="J13" s="46"/>
      <c r="K13" s="46"/>
      <c r="L13" s="344"/>
      <c r="M13" s="333"/>
      <c r="N13" s="350"/>
      <c r="O13" s="350"/>
    </row>
    <row r="14" spans="1:16" s="50" customFormat="1" ht="20.100000000000001" customHeight="1">
      <c r="A14" s="53" t="s">
        <v>144</v>
      </c>
      <c r="B14" s="53" t="s">
        <v>124</v>
      </c>
      <c r="C14" s="54" t="s">
        <v>131</v>
      </c>
      <c r="D14" s="334">
        <f>'Income Statement - As Reported'!D44</f>
        <v>19783.675419439998</v>
      </c>
      <c r="E14" s="334">
        <v>321</v>
      </c>
      <c r="F14" s="334">
        <v>0</v>
      </c>
      <c r="G14" s="335">
        <v>-423</v>
      </c>
      <c r="H14" s="334">
        <v>558</v>
      </c>
      <c r="I14" s="334">
        <v>8922</v>
      </c>
      <c r="J14" s="338">
        <f>D14+H14+I14-E14+F14+G14</f>
        <v>28519.675419439998</v>
      </c>
      <c r="K14" s="341">
        <f>(I14-E14)/(D14+F14+H14)</f>
        <v>0.42282652842745949</v>
      </c>
      <c r="L14" s="345">
        <v>0.42384377024681003</v>
      </c>
      <c r="M14" s="346">
        <f>L14*(2/3) + 1/3</f>
        <v>0.61589584683120657</v>
      </c>
      <c r="N14" s="351">
        <v>0.13619999999999999</v>
      </c>
      <c r="O14" s="352">
        <f>M14/(1+K14*(1-N14))</f>
        <v>0.45112723749815148</v>
      </c>
    </row>
    <row r="16" spans="1:16" ht="24.95" customHeight="1">
      <c r="A16" s="472" t="s">
        <v>147</v>
      </c>
      <c r="B16" s="473"/>
      <c r="C16" s="474"/>
      <c r="D16" s="473"/>
      <c r="E16" s="473"/>
      <c r="F16" s="473"/>
      <c r="G16" s="473"/>
      <c r="H16" s="473"/>
      <c r="I16" s="473"/>
      <c r="J16" s="475"/>
      <c r="K16" s="475"/>
      <c r="L16" s="475"/>
      <c r="M16" s="475"/>
      <c r="N16" s="475"/>
      <c r="O16" s="475"/>
    </row>
    <row r="17" spans="1:11" ht="20.100000000000001" customHeight="1">
      <c r="A17" s="55"/>
      <c r="B17" s="55"/>
      <c r="C17" s="70"/>
      <c r="D17" s="55"/>
      <c r="E17" s="122"/>
      <c r="F17" s="55"/>
      <c r="G17" s="55"/>
    </row>
    <row r="18" spans="1:11" ht="20.100000000000001" customHeight="1">
      <c r="A18" s="409" t="s">
        <v>655</v>
      </c>
      <c r="B18" s="432">
        <f>K12</f>
        <v>0.38272534155466076</v>
      </c>
      <c r="C18" s="68"/>
      <c r="D18" s="56"/>
      <c r="E18" s="71"/>
      <c r="F18" s="56"/>
      <c r="G18" s="56"/>
    </row>
    <row r="19" spans="1:11" ht="20.100000000000001" customHeight="1">
      <c r="A19" s="410" t="s">
        <v>656</v>
      </c>
      <c r="B19" s="433">
        <f>Initial_Leverage</f>
        <v>0.38300000000000001</v>
      </c>
      <c r="C19" s="68"/>
      <c r="D19" s="56"/>
      <c r="E19" s="71"/>
      <c r="F19" s="56"/>
      <c r="G19" s="56"/>
    </row>
    <row r="20" spans="1:11" ht="20.100000000000001" customHeight="1">
      <c r="B20" s="434"/>
      <c r="C20" s="67"/>
      <c r="D20" s="56"/>
      <c r="E20" s="404"/>
      <c r="F20" s="404"/>
      <c r="G20" s="404"/>
    </row>
    <row r="21" spans="1:11" ht="20.100000000000001" customHeight="1">
      <c r="A21" s="409" t="s">
        <v>586</v>
      </c>
      <c r="B21" s="216">
        <v>67.98</v>
      </c>
      <c r="C21" s="67"/>
      <c r="D21" s="56"/>
      <c r="E21" s="123"/>
      <c r="F21" s="57"/>
      <c r="G21" s="57"/>
      <c r="H21" s="401"/>
    </row>
    <row r="22" spans="1:11" ht="20.100000000000001" customHeight="1">
      <c r="A22" s="409" t="s">
        <v>587</v>
      </c>
      <c r="B22" s="60">
        <v>57.5</v>
      </c>
      <c r="C22" s="67"/>
      <c r="D22" s="56"/>
      <c r="E22" s="123"/>
      <c r="F22" s="57"/>
      <c r="G22" s="57"/>
      <c r="H22" s="401"/>
    </row>
    <row r="23" spans="1:11" ht="20.100000000000001" customHeight="1">
      <c r="A23" s="411"/>
      <c r="B23" s="423"/>
      <c r="C23" s="67"/>
      <c r="D23" s="58"/>
      <c r="E23" s="123"/>
      <c r="F23" s="57"/>
      <c r="G23" s="57"/>
      <c r="H23" s="401"/>
    </row>
    <row r="24" spans="1:11" ht="20.100000000000001" customHeight="1">
      <c r="A24" s="409" t="s">
        <v>173</v>
      </c>
      <c r="B24" s="432">
        <f>Risk_Free_Rate</f>
        <v>2.8000000000000001E-2</v>
      </c>
      <c r="C24" s="68"/>
      <c r="D24" s="56"/>
      <c r="E24" s="71"/>
      <c r="F24" s="56"/>
      <c r="G24" s="56"/>
    </row>
    <row r="25" spans="1:11" ht="20.100000000000001" customHeight="1">
      <c r="A25" s="409" t="s">
        <v>126</v>
      </c>
      <c r="B25" s="432">
        <f>O12</f>
        <v>0.57065340512805851</v>
      </c>
      <c r="C25" s="81"/>
      <c r="D25" s="58"/>
      <c r="E25" s="58"/>
      <c r="F25" s="58"/>
      <c r="G25" s="58"/>
      <c r="I25" s="403"/>
      <c r="J25" s="403"/>
      <c r="K25" s="402"/>
    </row>
    <row r="26" spans="1:11" ht="20.100000000000001" customHeight="1">
      <c r="A26" s="409" t="s">
        <v>430</v>
      </c>
      <c r="B26" s="432">
        <f>N14</f>
        <v>0.13619999999999999</v>
      </c>
      <c r="C26" s="68"/>
      <c r="D26" s="56"/>
      <c r="E26" s="56"/>
      <c r="F26" s="56"/>
      <c r="G26" s="56"/>
      <c r="H26" s="56"/>
      <c r="I26" s="56"/>
    </row>
    <row r="27" spans="1:11" ht="20.100000000000001" customHeight="1">
      <c r="A27" s="409" t="s">
        <v>127</v>
      </c>
      <c r="B27" s="432">
        <f>B25*(1+(1-B26)*B19)</f>
        <v>0.75944575267496184</v>
      </c>
      <c r="C27" s="81"/>
      <c r="D27" s="67"/>
      <c r="E27" s="58"/>
      <c r="F27" s="58"/>
      <c r="G27" s="58"/>
      <c r="H27" s="58"/>
      <c r="I27" s="58"/>
    </row>
    <row r="28" spans="1:11" ht="20.100000000000001" customHeight="1">
      <c r="A28" s="412" t="s">
        <v>174</v>
      </c>
      <c r="B28" s="435">
        <v>5.3999999999999999E-2</v>
      </c>
      <c r="C28" s="68"/>
      <c r="E28" s="56"/>
      <c r="F28" s="56"/>
      <c r="G28" s="56"/>
      <c r="H28" s="56"/>
      <c r="I28" s="56"/>
    </row>
    <row r="29" spans="1:11" ht="20.100000000000001" customHeight="1">
      <c r="A29" s="413"/>
      <c r="C29" s="67"/>
      <c r="E29" s="67"/>
      <c r="F29" s="67"/>
      <c r="G29" s="67"/>
      <c r="H29" s="67"/>
      <c r="I29" s="67"/>
    </row>
    <row r="30" spans="1:11" ht="20.100000000000001" customHeight="1">
      <c r="A30" s="414" t="s">
        <v>428</v>
      </c>
      <c r="B30" s="408">
        <f>IF(Choice_Of_Cost_Of_Equity="Accounting Return",'Income Statement - Restated'!D25/'Balance Sheet - Restated'!D51,IF(Choice_Of_Cost_Of_Equity="Implied Return",(B22-B21+'Income Statement - As Reported'!D25)/WACC!B22,IF(Choice_Of_Cost_Of_Equity="Dividend Discount Model",('Income Statement - As Reported'!D25*(1+Long_Term_Growth))/WACC!B22+Long_Term_Growth,IF(Choice_Of_Cost_Of_Equity= "CAPM",B24+B27*B28,(Assumptions!B61*(1+Long_Term_Growth))/'Trading Multiples'!P20 + Long_Term_Growth))))</f>
        <v>5.803266736233658E-2</v>
      </c>
      <c r="C30" s="67"/>
      <c r="D30" s="418" t="s">
        <v>595</v>
      </c>
      <c r="E30" s="67"/>
      <c r="F30" s="67"/>
      <c r="G30" s="67"/>
      <c r="H30" s="67"/>
      <c r="I30" s="67"/>
    </row>
    <row r="31" spans="1:11" ht="20.100000000000001" customHeight="1">
      <c r="A31" s="415"/>
      <c r="B31" s="329"/>
      <c r="C31" s="55"/>
      <c r="D31" s="77"/>
      <c r="E31" s="55"/>
      <c r="F31" s="55"/>
      <c r="G31" s="55"/>
      <c r="H31" s="55"/>
      <c r="I31" s="55"/>
    </row>
    <row r="32" spans="1:11" ht="20.100000000000001" customHeight="1">
      <c r="A32" s="416" t="s">
        <v>427</v>
      </c>
      <c r="B32" s="330">
        <f>B24+B25*B28</f>
        <v>5.8815283876915161E-2</v>
      </c>
      <c r="C32" s="76"/>
      <c r="E32" s="76"/>
      <c r="F32" s="76"/>
      <c r="G32" s="76"/>
      <c r="H32" s="76"/>
      <c r="I32" s="76"/>
    </row>
    <row r="33" spans="1:16" ht="20.100000000000001" customHeight="1">
      <c r="A33" s="55"/>
      <c r="B33" s="331"/>
      <c r="C33" s="77"/>
      <c r="E33" s="77"/>
      <c r="F33" s="77"/>
      <c r="G33" s="77"/>
      <c r="H33" s="77"/>
      <c r="I33" s="77"/>
    </row>
    <row r="34" spans="1:16" ht="24.95" customHeight="1">
      <c r="A34" s="472" t="s">
        <v>330</v>
      </c>
      <c r="B34" s="476"/>
      <c r="C34" s="474"/>
      <c r="D34" s="473"/>
      <c r="E34" s="473"/>
      <c r="F34" s="473"/>
      <c r="G34" s="473"/>
      <c r="H34" s="473"/>
      <c r="I34" s="473"/>
      <c r="J34" s="475"/>
      <c r="K34" s="475"/>
      <c r="L34" s="475"/>
      <c r="M34" s="475"/>
      <c r="N34" s="475"/>
      <c r="O34" s="475"/>
    </row>
    <row r="35" spans="1:16" ht="20.100000000000001" customHeight="1">
      <c r="A35" s="55"/>
      <c r="B35" s="331"/>
      <c r="C35" s="77"/>
      <c r="D35" s="75"/>
      <c r="E35" s="77"/>
      <c r="F35" s="77"/>
      <c r="G35" s="77"/>
      <c r="H35" s="77"/>
      <c r="I35" s="77"/>
    </row>
    <row r="36" spans="1:16" ht="20.100000000000001" customHeight="1">
      <c r="A36" s="409" t="s">
        <v>173</v>
      </c>
      <c r="B36" s="420">
        <f>B24</f>
        <v>2.8000000000000001E-2</v>
      </c>
      <c r="C36" s="75"/>
      <c r="D36" s="75"/>
      <c r="E36" s="75"/>
      <c r="F36" s="75"/>
      <c r="G36" s="75"/>
      <c r="H36" s="75"/>
      <c r="I36" s="75"/>
    </row>
    <row r="37" spans="1:16" ht="20.100000000000001" customHeight="1">
      <c r="A37" s="412" t="s">
        <v>466</v>
      </c>
      <c r="B37" s="421">
        <f>Spread</f>
        <v>9.7999999999999997E-3</v>
      </c>
      <c r="C37" s="75"/>
      <c r="D37" s="75"/>
      <c r="E37" s="75"/>
      <c r="F37" s="75"/>
      <c r="G37" s="75"/>
      <c r="H37" s="75"/>
      <c r="I37" s="75"/>
    </row>
    <row r="38" spans="1:16" ht="20.100000000000001" customHeight="1">
      <c r="A38" s="413"/>
      <c r="B38" s="422"/>
      <c r="C38" s="78"/>
      <c r="D38" s="75"/>
      <c r="E38" s="75"/>
      <c r="F38" s="75"/>
      <c r="G38" s="75"/>
      <c r="H38" s="75"/>
      <c r="I38" s="75"/>
    </row>
    <row r="39" spans="1:16" ht="20.100000000000001" customHeight="1">
      <c r="A39" s="417" t="s">
        <v>429</v>
      </c>
      <c r="B39" s="423">
        <f>B36+B37</f>
        <v>3.78E-2</v>
      </c>
      <c r="C39" s="75"/>
      <c r="D39" s="79"/>
      <c r="E39" s="75"/>
      <c r="F39" s="75"/>
      <c r="G39" s="75"/>
      <c r="H39" s="75"/>
      <c r="I39" s="75"/>
    </row>
    <row r="40" spans="1:16" ht="20.100000000000001" customHeight="1">
      <c r="A40" s="55"/>
      <c r="B40" s="55"/>
      <c r="C40" s="79"/>
      <c r="D40" s="77"/>
      <c r="E40" s="79"/>
      <c r="F40" s="79"/>
      <c r="G40" s="79"/>
      <c r="H40" s="79"/>
      <c r="I40" s="79"/>
    </row>
    <row r="41" spans="1:16" ht="20.100000000000001" customHeight="1">
      <c r="C41" s="77"/>
      <c r="E41" s="77"/>
      <c r="F41" s="77"/>
      <c r="G41" s="77"/>
      <c r="H41" s="77"/>
      <c r="I41" s="77"/>
      <c r="P41" s="44"/>
    </row>
    <row r="42" spans="1:16" ht="24.95" customHeight="1">
      <c r="A42" s="472" t="s">
        <v>128</v>
      </c>
      <c r="B42" s="473"/>
      <c r="C42" s="474"/>
      <c r="D42" s="473"/>
      <c r="E42" s="473"/>
      <c r="F42" s="473"/>
      <c r="G42" s="473"/>
      <c r="H42" s="473"/>
      <c r="I42" s="473"/>
      <c r="J42" s="475"/>
      <c r="K42" s="475"/>
      <c r="L42" s="475"/>
      <c r="M42" s="475"/>
      <c r="N42" s="475"/>
      <c r="O42" s="475"/>
    </row>
    <row r="43" spans="1:16" s="182" customFormat="1" ht="20.100000000000001" customHeight="1">
      <c r="A43" s="178"/>
      <c r="B43" s="179"/>
      <c r="C43" s="180"/>
      <c r="D43" s="40"/>
      <c r="E43" s="179"/>
      <c r="F43" s="179"/>
      <c r="G43" s="179"/>
      <c r="H43" s="179"/>
      <c r="I43" s="179"/>
      <c r="J43" s="181"/>
      <c r="K43" s="181"/>
      <c r="L43" s="181"/>
      <c r="M43" s="181"/>
      <c r="N43" s="181"/>
      <c r="O43" s="181"/>
    </row>
    <row r="44" spans="1:16" ht="20.100000000000001" customHeight="1">
      <c r="A44" s="409" t="s">
        <v>129</v>
      </c>
      <c r="B44" s="327">
        <f>B19/(1+B19)</f>
        <v>0.2769342010122921</v>
      </c>
      <c r="C44" s="77"/>
      <c r="D44" s="406"/>
      <c r="E44" s="77"/>
      <c r="F44" s="77"/>
      <c r="G44" s="77"/>
      <c r="H44" s="77"/>
      <c r="I44" s="77"/>
    </row>
    <row r="45" spans="1:16" ht="20.100000000000001" customHeight="1">
      <c r="A45" s="409" t="s">
        <v>130</v>
      </c>
      <c r="B45" s="327">
        <f>1-B44</f>
        <v>0.72306579898770784</v>
      </c>
      <c r="C45" s="77"/>
      <c r="D45" s="327"/>
      <c r="E45" s="406"/>
      <c r="F45" s="406"/>
      <c r="G45" s="406"/>
      <c r="H45" s="77"/>
      <c r="I45" s="77"/>
    </row>
    <row r="46" spans="1:16" ht="20.100000000000001" customHeight="1">
      <c r="A46" s="416" t="s">
        <v>128</v>
      </c>
      <c r="B46" s="328">
        <f>B39*(1-B26)*B44+B30*B45</f>
        <v>5.1003792828876772E-2</v>
      </c>
      <c r="C46" s="77"/>
      <c r="D46" s="78"/>
      <c r="E46" s="407"/>
      <c r="F46" s="407"/>
      <c r="G46" s="405"/>
      <c r="H46" s="77"/>
      <c r="I46" s="77"/>
    </row>
    <row r="47" spans="1:16" ht="20.100000000000001" customHeight="1">
      <c r="C47" s="76"/>
      <c r="D47" s="80"/>
      <c r="E47" s="76"/>
      <c r="F47" s="76"/>
      <c r="G47" s="76"/>
      <c r="H47" s="76"/>
      <c r="I47" s="76"/>
      <c r="M47" s="41"/>
      <c r="P47" s="45"/>
    </row>
    <row r="48" spans="1:16" ht="20.100000000000001" customHeight="1">
      <c r="A48" s="41"/>
      <c r="B48" s="41"/>
      <c r="C48" s="78"/>
      <c r="D48" s="80"/>
      <c r="F48" s="78"/>
      <c r="G48" s="78"/>
      <c r="H48" s="78"/>
      <c r="I48" s="78"/>
    </row>
    <row r="49" spans="1:9" s="41" customFormat="1" ht="20.100000000000001" customHeight="1">
      <c r="C49" s="80"/>
      <c r="D49" s="80"/>
      <c r="F49" s="80"/>
      <c r="G49" s="80"/>
      <c r="H49" s="80"/>
      <c r="I49" s="80"/>
    </row>
    <row r="50" spans="1:9" s="41" customFormat="1" ht="20.100000000000001" customHeight="1">
      <c r="C50" s="80"/>
      <c r="D50" s="80"/>
      <c r="E50" s="80"/>
      <c r="F50" s="80"/>
      <c r="G50" s="80"/>
      <c r="H50" s="80"/>
      <c r="I50" s="80"/>
    </row>
    <row r="51" spans="1:9" s="41" customFormat="1" ht="20.100000000000001" customHeight="1">
      <c r="C51" s="80"/>
      <c r="D51" s="80"/>
      <c r="E51" s="80"/>
      <c r="F51" s="80"/>
      <c r="G51" s="80"/>
      <c r="H51" s="80"/>
      <c r="I51" s="80"/>
    </row>
    <row r="52" spans="1:9" s="41" customFormat="1" ht="20.100000000000001" customHeight="1">
      <c r="C52" s="80"/>
      <c r="E52" s="80"/>
      <c r="F52" s="80"/>
      <c r="G52" s="80"/>
      <c r="H52" s="80"/>
      <c r="I52" s="80"/>
    </row>
    <row r="53" spans="1:9" s="41" customFormat="1" ht="20.100000000000001" customHeight="1">
      <c r="C53" s="80"/>
      <c r="E53" s="80"/>
      <c r="F53" s="80"/>
      <c r="G53" s="80"/>
      <c r="H53" s="80"/>
      <c r="I53" s="80"/>
    </row>
    <row r="54" spans="1:9" s="41" customFormat="1" ht="20.100000000000001" customHeight="1"/>
    <row r="55" spans="1:9" s="41" customFormat="1" ht="20.100000000000001" customHeight="1"/>
    <row r="56" spans="1:9" s="41" customFormat="1" ht="20.100000000000001" customHeight="1">
      <c r="D56" s="40"/>
    </row>
    <row r="57" spans="1:9" s="41" customFormat="1" ht="20.100000000000001" customHeight="1">
      <c r="A57" s="40"/>
      <c r="B57" s="40"/>
      <c r="D57" s="40"/>
    </row>
  </sheetData>
  <dataValidations count="1">
    <dataValidation type="list" allowBlank="1" showInputMessage="1" showErrorMessage="1" sqref="D30" xr:uid="{1BBE4A7A-2F66-40A5-87A4-44C6944787B4}">
      <formula1>"Accounting Return, Implied Return, CAPM, Dividend Discount Model, P/E Model"</formula1>
    </dataValidation>
  </dataValidations>
  <pageMargins left="0.7" right="0.7" top="0.75" bottom="0.75" header="0.3" footer="0.3"/>
  <pageSetup paperSize="9"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CC6A3-45BF-4F98-9358-187C876B6348}">
  <dimension ref="A1:K41"/>
  <sheetViews>
    <sheetView zoomScaleNormal="100" workbookViewId="0">
      <selection activeCell="C1" sqref="C1"/>
    </sheetView>
  </sheetViews>
  <sheetFormatPr defaultColWidth="25.83203125" defaultRowHeight="24.95" customHeight="1"/>
  <cols>
    <col min="1" max="1" width="35.33203125" style="175" customWidth="1"/>
    <col min="2" max="16384" width="25.83203125" style="175"/>
  </cols>
  <sheetData>
    <row r="1" spans="1:11" ht="24.95" customHeight="1">
      <c r="A1" s="200" t="s">
        <v>689</v>
      </c>
    </row>
    <row r="2" spans="1:11" ht="24.95" customHeight="1">
      <c r="K2" s="505" t="s">
        <v>323</v>
      </c>
    </row>
    <row r="3" spans="1:11" ht="24.95" customHeight="1">
      <c r="A3" s="522"/>
      <c r="B3" s="523"/>
      <c r="C3" s="472" t="s">
        <v>86</v>
      </c>
      <c r="D3" s="472" t="s">
        <v>87</v>
      </c>
      <c r="E3" s="472" t="s">
        <v>88</v>
      </c>
      <c r="F3" s="472" t="s">
        <v>117</v>
      </c>
      <c r="G3" s="472" t="s">
        <v>118</v>
      </c>
      <c r="H3" s="472" t="s">
        <v>119</v>
      </c>
      <c r="I3" s="472" t="s">
        <v>548</v>
      </c>
      <c r="J3" s="472" t="s">
        <v>549</v>
      </c>
      <c r="K3" s="472" t="s">
        <v>550</v>
      </c>
    </row>
    <row r="4" spans="1:11" ht="24.95" customHeight="1" thickBot="1">
      <c r="A4" s="506" t="s">
        <v>425</v>
      </c>
    </row>
    <row r="5" spans="1:11" ht="24.95" customHeight="1" thickTop="1"/>
    <row r="6" spans="1:11" ht="24.95" customHeight="1">
      <c r="A6" s="14" t="s">
        <v>426</v>
      </c>
      <c r="B6" s="383">
        <f>Long_Term_Growth</f>
        <v>8.5156250000000006E-3</v>
      </c>
    </row>
    <row r="7" spans="1:11" ht="24.95" customHeight="1">
      <c r="A7" s="14" t="s">
        <v>128</v>
      </c>
      <c r="B7" s="382">
        <f>WACC!B46</f>
        <v>5.1003792828876772E-2</v>
      </c>
    </row>
    <row r="8" spans="1:11" ht="24.95" customHeight="1">
      <c r="A8" s="14" t="s">
        <v>427</v>
      </c>
      <c r="B8" s="382">
        <f>WACC!B32</f>
        <v>5.8815283876915161E-2</v>
      </c>
    </row>
    <row r="9" spans="1:11" ht="24.95" customHeight="1">
      <c r="A9" s="14" t="s">
        <v>428</v>
      </c>
      <c r="B9" s="382">
        <f>WACC!B30</f>
        <v>5.803266736233658E-2</v>
      </c>
    </row>
    <row r="10" spans="1:11" ht="24.95" customHeight="1">
      <c r="A10" s="14" t="s">
        <v>429</v>
      </c>
      <c r="B10" s="382">
        <f>WACC!B39</f>
        <v>3.78E-2</v>
      </c>
    </row>
    <row r="11" spans="1:11" ht="24.95" customHeight="1">
      <c r="A11" s="507" t="s">
        <v>430</v>
      </c>
      <c r="B11" s="382">
        <f>WACC!B26</f>
        <v>0.13619999999999999</v>
      </c>
    </row>
    <row r="12" spans="1:11" ht="24.95" customHeight="1">
      <c r="A12" s="14" t="s">
        <v>690</v>
      </c>
      <c r="B12" s="376" t="s">
        <v>691</v>
      </c>
    </row>
    <row r="14" spans="1:11" ht="24.95" customHeight="1">
      <c r="A14" s="14" t="s">
        <v>692</v>
      </c>
      <c r="E14" s="508">
        <v>0</v>
      </c>
      <c r="F14" s="508">
        <v>1</v>
      </c>
      <c r="G14" s="508">
        <v>2</v>
      </c>
      <c r="H14" s="508">
        <v>3</v>
      </c>
      <c r="I14" s="508">
        <v>4</v>
      </c>
      <c r="J14" s="508">
        <v>5</v>
      </c>
    </row>
    <row r="16" spans="1:11" ht="24.95" customHeight="1">
      <c r="A16" s="472" t="s">
        <v>693</v>
      </c>
      <c r="B16" s="523"/>
      <c r="C16" s="472" t="s">
        <v>86</v>
      </c>
      <c r="D16" s="472" t="s">
        <v>87</v>
      </c>
      <c r="E16" s="472" t="s">
        <v>88</v>
      </c>
      <c r="F16" s="472" t="s">
        <v>117</v>
      </c>
      <c r="G16" s="472" t="s">
        <v>118</v>
      </c>
      <c r="H16" s="472" t="s">
        <v>119</v>
      </c>
      <c r="I16" s="472" t="s">
        <v>548</v>
      </c>
      <c r="J16" s="472" t="s">
        <v>549</v>
      </c>
      <c r="K16" s="472" t="s">
        <v>550</v>
      </c>
    </row>
    <row r="17" spans="1:11" ht="24.95" customHeight="1">
      <c r="C17" s="376"/>
      <c r="D17" s="376"/>
      <c r="E17" s="376"/>
      <c r="F17" s="376"/>
      <c r="G17" s="376"/>
      <c r="H17" s="376"/>
    </row>
    <row r="18" spans="1:11" ht="24.95" customHeight="1">
      <c r="A18" s="14" t="s">
        <v>287</v>
      </c>
      <c r="C18" s="376"/>
      <c r="D18" s="387">
        <f>'Operating Forecasts'!C119</f>
        <v>1383.8835244417623</v>
      </c>
      <c r="E18" s="387">
        <f>'Operating Forecasts'!D119</f>
        <v>1711.0917983446197</v>
      </c>
      <c r="F18" s="387">
        <f>'Operating Forecasts'!E119</f>
        <v>455.03610625454201</v>
      </c>
      <c r="G18" s="387">
        <f>'Operating Forecasts'!F119</f>
        <v>1409.2229785780235</v>
      </c>
      <c r="H18" s="387">
        <f>'Operating Forecasts'!G119</f>
        <v>1291.4515638732341</v>
      </c>
      <c r="I18" s="387">
        <f>'Operating Forecasts'!H119</f>
        <v>1268.0788559347695</v>
      </c>
      <c r="J18" s="387">
        <f>'Operating Forecasts'!I119</f>
        <v>1419.971276407065</v>
      </c>
      <c r="K18" s="387">
        <f>'Operating Forecasts'!J119</f>
        <v>1309.6346071549235</v>
      </c>
    </row>
    <row r="19" spans="1:11" ht="24.95" customHeight="1">
      <c r="A19" s="14" t="s">
        <v>694</v>
      </c>
      <c r="C19" s="376"/>
      <c r="D19" s="387"/>
      <c r="E19" s="509"/>
      <c r="F19" s="387">
        <f>1/(1+$B$7)^F14</f>
        <v>0.95147135226639368</v>
      </c>
      <c r="G19" s="387">
        <f t="shared" ref="G19:J19" si="0">1/(1+$B$7)^G14</f>
        <v>0.9052977341836399</v>
      </c>
      <c r="H19" s="387">
        <f t="shared" si="0"/>
        <v>0.86136485934741014</v>
      </c>
      <c r="I19" s="387">
        <f t="shared" si="0"/>
        <v>0.8195639875180325</v>
      </c>
      <c r="J19" s="387">
        <f t="shared" si="0"/>
        <v>0.77979165547262019</v>
      </c>
      <c r="K19" s="387"/>
    </row>
    <row r="20" spans="1:11" ht="24.95" customHeight="1">
      <c r="A20" s="14" t="s">
        <v>695</v>
      </c>
      <c r="C20" s="376"/>
      <c r="D20" s="387"/>
      <c r="E20" s="387"/>
      <c r="F20" s="387">
        <f>F18*F19</f>
        <v>432.95381934804345</v>
      </c>
      <c r="G20" s="387">
        <f t="shared" ref="G20:J20" si="1">G18*G19</f>
        <v>1275.7663694662047</v>
      </c>
      <c r="H20" s="387">
        <f t="shared" si="1"/>
        <v>1112.4109946696612</v>
      </c>
      <c r="I20" s="387">
        <f t="shared" si="1"/>
        <v>1039.2717636572045</v>
      </c>
      <c r="J20" s="387">
        <f t="shared" si="1"/>
        <v>1107.2817523530348</v>
      </c>
    </row>
    <row r="21" spans="1:11" ht="24.95" customHeight="1">
      <c r="A21" s="510" t="s">
        <v>696</v>
      </c>
      <c r="B21" s="511"/>
      <c r="C21" s="512"/>
      <c r="D21" s="513"/>
      <c r="E21" s="513"/>
      <c r="F21" s="513"/>
      <c r="G21" s="511"/>
      <c r="H21" s="514"/>
      <c r="I21" s="511"/>
      <c r="J21" s="513">
        <f>K18/(B7-B6)</f>
        <v>30823.513323274907</v>
      </c>
    </row>
    <row r="22" spans="1:11" ht="24.95" customHeight="1">
      <c r="C22" s="376"/>
      <c r="D22" s="376"/>
      <c r="E22" s="376"/>
      <c r="F22" s="376"/>
      <c r="G22" s="376"/>
      <c r="H22" s="376"/>
    </row>
    <row r="23" spans="1:11" ht="24.95" customHeight="1">
      <c r="A23" s="515" t="s">
        <v>697</v>
      </c>
      <c r="C23" s="376"/>
      <c r="D23" s="376"/>
      <c r="E23" s="516">
        <f>SUM(F20:J20)</f>
        <v>4967.6846994941488</v>
      </c>
      <c r="F23" s="376"/>
      <c r="G23" s="376"/>
      <c r="H23" s="376"/>
    </row>
    <row r="24" spans="1:11" ht="24.95" customHeight="1">
      <c r="A24" s="515" t="s">
        <v>698</v>
      </c>
      <c r="C24" s="376"/>
      <c r="D24" s="376"/>
      <c r="E24" s="516">
        <f>J21*J19</f>
        <v>24035.918481838904</v>
      </c>
      <c r="F24" s="376"/>
      <c r="G24" s="376"/>
      <c r="H24" s="376"/>
    </row>
    <row r="25" spans="1:11" ht="24.95" customHeight="1">
      <c r="A25" s="515"/>
      <c r="C25" s="376"/>
      <c r="D25" s="376"/>
      <c r="E25" s="516"/>
      <c r="F25" s="376"/>
      <c r="G25" s="376"/>
      <c r="H25" s="376"/>
    </row>
    <row r="26" spans="1:11" ht="24.95" customHeight="1">
      <c r="A26" s="515" t="s">
        <v>442</v>
      </c>
      <c r="C26" s="376"/>
      <c r="D26" s="376"/>
      <c r="E26" s="516">
        <f>SUM(E23:E24)</f>
        <v>29003.603181333052</v>
      </c>
      <c r="F26" s="376"/>
      <c r="G26" s="376"/>
      <c r="H26" s="376"/>
    </row>
    <row r="27" spans="1:11" ht="24.95" customHeight="1">
      <c r="A27" s="517"/>
      <c r="C27" s="376"/>
      <c r="D27" s="376"/>
      <c r="E27" s="387"/>
      <c r="F27" s="376"/>
      <c r="G27" s="376"/>
      <c r="H27" s="376"/>
    </row>
    <row r="28" spans="1:11" ht="24.95" customHeight="1">
      <c r="A28" s="472" t="s">
        <v>699</v>
      </c>
      <c r="B28" s="523"/>
      <c r="C28" s="472" t="s">
        <v>693</v>
      </c>
      <c r="D28" s="472"/>
      <c r="E28" s="472"/>
      <c r="F28" s="472"/>
      <c r="G28" s="472"/>
      <c r="H28" s="472"/>
    </row>
    <row r="30" spans="1:11" ht="24.95" customHeight="1">
      <c r="A30" s="518" t="s">
        <v>442</v>
      </c>
      <c r="C30" s="516">
        <f>E26</f>
        <v>29003.603181333052</v>
      </c>
    </row>
    <row r="31" spans="1:11" ht="24.95" customHeight="1">
      <c r="A31" s="518" t="s">
        <v>648</v>
      </c>
      <c r="C31" s="519">
        <f>-'Balance Sheet - Restated'!D45</f>
        <v>-8601</v>
      </c>
    </row>
    <row r="32" spans="1:11" ht="24.95" customHeight="1">
      <c r="A32" s="518" t="s">
        <v>649</v>
      </c>
      <c r="C32" s="387">
        <f>'Balance Sheet - Restated'!D31</f>
        <v>102</v>
      </c>
    </row>
    <row r="33" spans="1:8" ht="24.95" customHeight="1">
      <c r="A33" s="520" t="s">
        <v>303</v>
      </c>
      <c r="B33" s="511"/>
      <c r="C33" s="521">
        <f>-'Balance Sheet - Restated'!D50</f>
        <v>-558</v>
      </c>
      <c r="D33" s="511"/>
      <c r="E33" s="511"/>
      <c r="F33" s="511"/>
      <c r="G33" s="511"/>
      <c r="H33" s="511"/>
    </row>
    <row r="34" spans="1:8" ht="24.95" customHeight="1">
      <c r="A34" s="518"/>
    </row>
    <row r="35" spans="1:8" ht="24.95" customHeight="1">
      <c r="A35" s="518" t="s">
        <v>526</v>
      </c>
      <c r="C35" s="516">
        <f>SUM(C30:C33)</f>
        <v>19946.603181333052</v>
      </c>
    </row>
    <row r="36" spans="1:8" ht="24.95" customHeight="1">
      <c r="C36" s="516"/>
    </row>
    <row r="37" spans="1:8" ht="24.95" customHeight="1">
      <c r="A37" s="518" t="s">
        <v>710</v>
      </c>
      <c r="C37" s="387">
        <v>347.02100000000002</v>
      </c>
    </row>
    <row r="38" spans="1:8" ht="24.95" customHeight="1">
      <c r="A38" s="518" t="s">
        <v>711</v>
      </c>
      <c r="C38" s="387">
        <f>C35/C37</f>
        <v>57.479527698130809</v>
      </c>
    </row>
    <row r="39" spans="1:8" ht="24.95" customHeight="1">
      <c r="A39" s="518"/>
      <c r="C39" s="387"/>
    </row>
    <row r="41" spans="1:8" ht="24.95" customHeight="1">
      <c r="A41" s="14" t="s">
        <v>700</v>
      </c>
      <c r="C41" s="524">
        <v>68</v>
      </c>
    </row>
  </sheetData>
  <phoneticPr fontId="64" type="noConversion"/>
  <pageMargins left="0.7" right="0.7" top="0.75" bottom="0.75" header="0.3" footer="0.3"/>
  <pageSetup paperSize="9" orientation="portrait" horizontalDpi="4294967293" verticalDpi="1200" r:id="rId1"/>
  <legacyDrawing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7"/>
  <sheetViews>
    <sheetView zoomScaleNormal="100" zoomScaleSheetLayoutView="110" workbookViewId="0"/>
  </sheetViews>
  <sheetFormatPr defaultColWidth="25.83203125" defaultRowHeight="24.95" customHeight="1"/>
  <cols>
    <col min="1" max="1" width="38.5" style="39" customWidth="1"/>
    <col min="2" max="16384" width="25.83203125" style="39"/>
  </cols>
  <sheetData>
    <row r="1" spans="1:17" ht="24.95" customHeight="1">
      <c r="A1" s="172" t="s">
        <v>464</v>
      </c>
    </row>
    <row r="3" spans="1:17" s="187" customFormat="1" ht="34.5" customHeight="1">
      <c r="A3" s="454" t="s">
        <v>591</v>
      </c>
      <c r="B3" s="454" t="s">
        <v>243</v>
      </c>
      <c r="C3" s="454" t="s">
        <v>244</v>
      </c>
      <c r="D3" s="453" t="s">
        <v>312</v>
      </c>
      <c r="E3" s="454" t="s">
        <v>245</v>
      </c>
      <c r="F3" s="454" t="s">
        <v>246</v>
      </c>
      <c r="G3" s="454" t="s">
        <v>247</v>
      </c>
      <c r="H3" s="454" t="s">
        <v>248</v>
      </c>
      <c r="I3" s="454" t="s">
        <v>249</v>
      </c>
      <c r="J3" s="454" t="s">
        <v>250</v>
      </c>
      <c r="K3" s="454" t="s">
        <v>251</v>
      </c>
      <c r="L3" s="454" t="s">
        <v>252</v>
      </c>
      <c r="M3" s="454" t="s">
        <v>253</v>
      </c>
      <c r="N3" s="454" t="s">
        <v>254</v>
      </c>
      <c r="O3" s="454" t="s">
        <v>255</v>
      </c>
      <c r="P3" s="454" t="s">
        <v>256</v>
      </c>
      <c r="Q3" s="454" t="s">
        <v>257</v>
      </c>
    </row>
    <row r="5" spans="1:17" ht="24.95" customHeight="1">
      <c r="A5" s="61" t="s">
        <v>168</v>
      </c>
      <c r="B5" s="61" t="s">
        <v>124</v>
      </c>
      <c r="C5" s="61" t="s">
        <v>131</v>
      </c>
      <c r="D5" s="216">
        <v>2839.6213760000001</v>
      </c>
      <c r="E5" s="216">
        <f>WACC!J7</f>
        <v>4900.3213759999999</v>
      </c>
      <c r="F5" s="216">
        <v>5812.1</v>
      </c>
      <c r="G5" s="216">
        <v>4304.5</v>
      </c>
      <c r="H5" s="216">
        <v>326.2</v>
      </c>
      <c r="I5" s="216">
        <v>481.88900000000001</v>
      </c>
      <c r="J5" s="307">
        <v>-61.4</v>
      </c>
      <c r="K5" s="307">
        <v>-88</v>
      </c>
      <c r="L5" s="307">
        <f>E5/F5</f>
        <v>0.84312406462380196</v>
      </c>
      <c r="M5" s="307">
        <f>E5/G5</f>
        <v>1.1384182543849459</v>
      </c>
      <c r="N5" s="307">
        <f>E5/H5</f>
        <v>15.022444438994482</v>
      </c>
      <c r="O5" s="307">
        <f>E5/I5</f>
        <v>10.168983678814</v>
      </c>
      <c r="P5" s="289">
        <f t="shared" ref="P5:Q9" si="0">D5/J5</f>
        <v>-46.247905146579804</v>
      </c>
      <c r="Q5" s="289">
        <f t="shared" si="0"/>
        <v>-55.685470181818182</v>
      </c>
    </row>
    <row r="6" spans="1:17" ht="24.95" customHeight="1">
      <c r="A6" s="61" t="s">
        <v>169</v>
      </c>
      <c r="B6" s="61" t="s">
        <v>170</v>
      </c>
      <c r="C6" s="61" t="s">
        <v>131</v>
      </c>
      <c r="D6" s="216">
        <v>248705.13058262697</v>
      </c>
      <c r="E6" s="216">
        <f>WACC!J8</f>
        <v>274950.98978262697</v>
      </c>
      <c r="F6" s="216">
        <v>93807.339300000007</v>
      </c>
      <c r="G6" s="216">
        <v>96122.229000000007</v>
      </c>
      <c r="H6" s="216">
        <v>18072.354500000001</v>
      </c>
      <c r="I6" s="216">
        <v>20539.492999999999</v>
      </c>
      <c r="J6" s="361">
        <v>10362.2603</v>
      </c>
      <c r="K6" s="361">
        <v>12718.772999999999</v>
      </c>
      <c r="L6" s="307">
        <f t="shared" ref="L6:L9" si="1">E6/F6</f>
        <v>2.9310178908637585</v>
      </c>
      <c r="M6" s="307">
        <f t="shared" ref="M6:M9" si="2">E6/G6</f>
        <v>2.8604308560367131</v>
      </c>
      <c r="N6" s="307">
        <f t="shared" ref="N6:N9" si="3">E6/H6</f>
        <v>15.213899759581794</v>
      </c>
      <c r="O6" s="307">
        <f t="shared" ref="O6:O9" si="4">E6/I6</f>
        <v>13.386454562565248</v>
      </c>
      <c r="P6" s="289">
        <f t="shared" si="0"/>
        <v>24.001050290410767</v>
      </c>
      <c r="Q6" s="289">
        <f t="shared" si="0"/>
        <v>21.617729145934675</v>
      </c>
    </row>
    <row r="7" spans="1:17" ht="24.95" customHeight="1">
      <c r="A7" s="61" t="s">
        <v>136</v>
      </c>
      <c r="B7" s="61" t="s">
        <v>124</v>
      </c>
      <c r="C7" s="61" t="s">
        <v>131</v>
      </c>
      <c r="D7" s="216">
        <v>22487.197695999999</v>
      </c>
      <c r="E7" s="216">
        <f>WACC!J9</f>
        <v>26103.840695999999</v>
      </c>
      <c r="F7" s="216">
        <v>7791.0690000000004</v>
      </c>
      <c r="G7" s="216">
        <v>7976.6149999999998</v>
      </c>
      <c r="H7" s="216">
        <v>1918.808</v>
      </c>
      <c r="I7" s="216">
        <v>1986.6</v>
      </c>
      <c r="J7" s="361">
        <v>1177.5619999999999</v>
      </c>
      <c r="K7" s="361">
        <v>1195</v>
      </c>
      <c r="L7" s="307">
        <f t="shared" si="1"/>
        <v>3.3504825455916252</v>
      </c>
      <c r="M7" s="307">
        <f t="shared" si="2"/>
        <v>3.2725461484602176</v>
      </c>
      <c r="N7" s="307">
        <f t="shared" si="3"/>
        <v>13.604196301036893</v>
      </c>
      <c r="O7" s="307">
        <f t="shared" si="4"/>
        <v>13.13995806704923</v>
      </c>
      <c r="P7" s="289">
        <f t="shared" si="0"/>
        <v>19.096402309177776</v>
      </c>
      <c r="Q7" s="289">
        <f t="shared" si="0"/>
        <v>21.844218155648534</v>
      </c>
    </row>
    <row r="8" spans="1:17" ht="24.95" customHeight="1">
      <c r="A8" s="61" t="s">
        <v>137</v>
      </c>
      <c r="B8" s="61" t="s">
        <v>124</v>
      </c>
      <c r="C8" s="61" t="s">
        <v>131</v>
      </c>
      <c r="D8" s="216">
        <v>58197.032959999997</v>
      </c>
      <c r="E8" s="216">
        <f>WACC!J10</f>
        <v>74105.032959999997</v>
      </c>
      <c r="F8" s="216">
        <v>25938</v>
      </c>
      <c r="G8" s="216">
        <v>25793.117999999999</v>
      </c>
      <c r="H8" s="216">
        <v>4123</v>
      </c>
      <c r="I8" s="216">
        <v>5234.5</v>
      </c>
      <c r="J8" s="361">
        <v>3381</v>
      </c>
      <c r="K8" s="361">
        <v>3786</v>
      </c>
      <c r="L8" s="307">
        <f t="shared" si="1"/>
        <v>2.8570064368879633</v>
      </c>
      <c r="M8" s="307">
        <f t="shared" si="2"/>
        <v>2.8730544698008207</v>
      </c>
      <c r="N8" s="307">
        <f t="shared" si="3"/>
        <v>17.973570933786078</v>
      </c>
      <c r="O8" s="307">
        <f t="shared" si="4"/>
        <v>14.157041352564715</v>
      </c>
      <c r="P8" s="289">
        <f t="shared" si="0"/>
        <v>17.212964495711326</v>
      </c>
      <c r="Q8" s="289">
        <f t="shared" si="0"/>
        <v>19.573437126254621</v>
      </c>
    </row>
    <row r="9" spans="1:17" ht="24.95" customHeight="1">
      <c r="A9" s="92" t="s">
        <v>138</v>
      </c>
      <c r="B9" s="92" t="s">
        <v>124</v>
      </c>
      <c r="C9" s="92" t="s">
        <v>131</v>
      </c>
      <c r="D9" s="314">
        <v>52484.472831999999</v>
      </c>
      <c r="E9" s="314">
        <f>WACC!J11</f>
        <v>83336.472831999999</v>
      </c>
      <c r="F9" s="314">
        <v>26268</v>
      </c>
      <c r="G9" s="314">
        <v>25044.556</v>
      </c>
      <c r="H9" s="362">
        <v>-9237</v>
      </c>
      <c r="I9" s="314">
        <v>6036</v>
      </c>
      <c r="J9" s="358">
        <v>-10192</v>
      </c>
      <c r="K9" s="362">
        <v>3427.2939999999999</v>
      </c>
      <c r="L9" s="358">
        <f t="shared" si="1"/>
        <v>3.1725473135373838</v>
      </c>
      <c r="M9" s="358">
        <f t="shared" si="2"/>
        <v>3.3275284589593044</v>
      </c>
      <c r="N9" s="358">
        <f t="shared" si="3"/>
        <v>-9.0220280212190112</v>
      </c>
      <c r="O9" s="358">
        <f t="shared" si="4"/>
        <v>13.806572702451955</v>
      </c>
      <c r="P9" s="399">
        <f t="shared" si="0"/>
        <v>-5.1495754348508633</v>
      </c>
      <c r="Q9" s="399">
        <f t="shared" si="0"/>
        <v>24.31553080418546</v>
      </c>
    </row>
    <row r="10" spans="1:17" ht="24.95" customHeight="1">
      <c r="J10" s="359"/>
      <c r="K10" s="359"/>
      <c r="L10" s="359"/>
      <c r="M10" s="359"/>
      <c r="N10" s="359"/>
      <c r="O10" s="359"/>
      <c r="P10" s="359"/>
      <c r="Q10" s="359"/>
    </row>
    <row r="11" spans="1:17" ht="24.95" customHeight="1">
      <c r="A11" s="34" t="s">
        <v>125</v>
      </c>
      <c r="D11" s="216">
        <f>AVERAGE(D5:D9)</f>
        <v>76942.691089325381</v>
      </c>
      <c r="E11" s="315"/>
      <c r="J11" s="359"/>
      <c r="K11" s="359"/>
      <c r="L11" s="307">
        <f>AVERAGE(L5:L9)</f>
        <v>2.6308356503009067</v>
      </c>
      <c r="M11" s="307">
        <f t="shared" ref="M11:O11" si="5">AVERAGE(M5:M9)</f>
        <v>2.6943956375284004</v>
      </c>
      <c r="N11" s="307">
        <f>AVERAGE(N5:N8)</f>
        <v>15.453527858349812</v>
      </c>
      <c r="O11" s="307">
        <f t="shared" si="5"/>
        <v>12.931802072689029</v>
      </c>
      <c r="P11" s="307">
        <f>AVERAGE(P6:P8)</f>
        <v>20.103472365099957</v>
      </c>
      <c r="Q11" s="307">
        <f>AVERAGE(Q6:Q9)</f>
        <v>21.837728808005821</v>
      </c>
    </row>
    <row r="12" spans="1:17" ht="24.95" customHeight="1">
      <c r="A12" s="94" t="s">
        <v>258</v>
      </c>
      <c r="B12" s="95"/>
      <c r="C12" s="95"/>
      <c r="D12" s="314">
        <f>MEDIAN(D5:D9)</f>
        <v>52484.472831999999</v>
      </c>
      <c r="E12" s="400"/>
      <c r="F12" s="95"/>
      <c r="G12" s="95"/>
      <c r="H12" s="95"/>
      <c r="I12" s="95"/>
      <c r="J12" s="360"/>
      <c r="K12" s="360"/>
      <c r="L12" s="358">
        <f>MEDIAN(L5:L9)</f>
        <v>2.9310178908637585</v>
      </c>
      <c r="M12" s="358">
        <f t="shared" ref="M12:O12" si="6">MEDIAN(M5:M9)</f>
        <v>2.8730544698008207</v>
      </c>
      <c r="N12" s="358">
        <f>MEDIAN(N5:N8)</f>
        <v>15.118172099288138</v>
      </c>
      <c r="O12" s="358">
        <f t="shared" si="6"/>
        <v>13.386454562565248</v>
      </c>
      <c r="P12" s="358">
        <f>MEDIAN(P6:P8)</f>
        <v>19.096402309177776</v>
      </c>
      <c r="Q12" s="358">
        <f>MEDIAN(Q6:Q9)</f>
        <v>21.730973650791604</v>
      </c>
    </row>
    <row r="14" spans="1:17" ht="24.95" customHeight="1">
      <c r="A14" s="61" t="s">
        <v>646</v>
      </c>
      <c r="D14" s="166">
        <v>0.3</v>
      </c>
      <c r="E14" s="315"/>
      <c r="F14" s="315"/>
      <c r="L14" s="166">
        <f>$D$14</f>
        <v>0.3</v>
      </c>
      <c r="M14" s="166">
        <f t="shared" ref="M14:Q14" si="7">$D$14</f>
        <v>0.3</v>
      </c>
      <c r="N14" s="166">
        <f t="shared" si="7"/>
        <v>0.3</v>
      </c>
      <c r="O14" s="166">
        <f t="shared" si="7"/>
        <v>0.3</v>
      </c>
      <c r="P14" s="166">
        <f t="shared" si="7"/>
        <v>0.3</v>
      </c>
      <c r="Q14" s="166">
        <f t="shared" si="7"/>
        <v>0.3</v>
      </c>
    </row>
    <row r="15" spans="1:17" ht="24.95" customHeight="1">
      <c r="A15" s="92"/>
      <c r="B15" s="95"/>
      <c r="C15" s="95"/>
      <c r="D15" s="95"/>
      <c r="E15" s="95"/>
      <c r="F15" s="95"/>
      <c r="G15" s="95"/>
      <c r="H15" s="95"/>
      <c r="I15" s="95"/>
      <c r="J15" s="95"/>
      <c r="K15" s="95"/>
      <c r="L15" s="95"/>
      <c r="M15" s="95"/>
      <c r="N15" s="95"/>
      <c r="O15" s="95"/>
      <c r="P15" s="95"/>
      <c r="Q15" s="95"/>
    </row>
    <row r="16" spans="1:17" ht="24.95" customHeight="1">
      <c r="A16" s="34" t="s">
        <v>125</v>
      </c>
      <c r="L16" s="216">
        <f>(1-L14)*L11</f>
        <v>1.8415849552106345</v>
      </c>
      <c r="M16" s="216">
        <f t="shared" ref="M16:P16" si="8">(1-M14)*M11</f>
        <v>1.8860769462698801</v>
      </c>
      <c r="N16" s="216">
        <f t="shared" si="8"/>
        <v>10.817469500844867</v>
      </c>
      <c r="O16" s="216">
        <f t="shared" si="8"/>
        <v>9.0522614508823196</v>
      </c>
      <c r="P16" s="216">
        <f t="shared" si="8"/>
        <v>14.072430655569969</v>
      </c>
      <c r="Q16" s="216">
        <f>(1-Q14)*Q11</f>
        <v>15.286410165604073</v>
      </c>
    </row>
    <row r="17" spans="1:17" ht="24.95" customHeight="1">
      <c r="A17" s="34" t="s">
        <v>258</v>
      </c>
      <c r="L17" s="216">
        <f>(1-L14)*L12</f>
        <v>2.051712523604631</v>
      </c>
      <c r="M17" s="216">
        <f t="shared" ref="M17:Q17" si="9">(1-M14)*M12</f>
        <v>2.0111381288605745</v>
      </c>
      <c r="N17" s="216">
        <f t="shared" si="9"/>
        <v>10.582720469501696</v>
      </c>
      <c r="O17" s="216">
        <f t="shared" si="9"/>
        <v>9.3705181937956734</v>
      </c>
      <c r="P17" s="216">
        <f t="shared" si="9"/>
        <v>13.367481616424442</v>
      </c>
      <c r="Q17" s="216">
        <f t="shared" si="9"/>
        <v>15.211681555554122</v>
      </c>
    </row>
    <row r="20" spans="1:17" ht="24.95" customHeight="1">
      <c r="A20" s="124" t="s">
        <v>259</v>
      </c>
      <c r="B20" s="124" t="s">
        <v>124</v>
      </c>
      <c r="C20" s="124" t="s">
        <v>131</v>
      </c>
      <c r="D20" s="363">
        <v>19783.675904</v>
      </c>
      <c r="E20" s="363">
        <f>WACC!J14</f>
        <v>28519.675419439998</v>
      </c>
      <c r="F20" s="363">
        <f>'Operating Forecasts'!D8</f>
        <v>13547</v>
      </c>
      <c r="G20" s="363">
        <f>'Operating Forecasts'!F8</f>
        <v>14303.880901346049</v>
      </c>
      <c r="H20" s="363">
        <f>'Operating Forecasts'!D24</f>
        <v>2116</v>
      </c>
      <c r="I20" s="363">
        <f>'Operating Forecasts'!E24</f>
        <v>2061.9320611075145</v>
      </c>
      <c r="J20" s="363">
        <f>'Operating Forecasts'!D53</f>
        <v>1336</v>
      </c>
      <c r="K20" s="363">
        <f ca="1">'Operating Forecasts'!E53</f>
        <v>1000.9042805459819</v>
      </c>
      <c r="L20" s="363">
        <f>E20/F20</f>
        <v>2.1052391983051595</v>
      </c>
      <c r="M20" s="363">
        <f>E20/G20</f>
        <v>1.9938417843479241</v>
      </c>
      <c r="N20" s="363">
        <f>E20/H20</f>
        <v>13.47810747610586</v>
      </c>
      <c r="O20" s="363">
        <f>E20/I20</f>
        <v>13.831530125256105</v>
      </c>
      <c r="P20" s="363">
        <f>D20/J20</f>
        <v>14.808140646706587</v>
      </c>
      <c r="Q20" s="363">
        <f ca="1">E20/K20</f>
        <v>28.493908931913889</v>
      </c>
    </row>
    <row r="22" spans="1:17" ht="24.95" customHeight="1">
      <c r="A22" s="477" t="s">
        <v>300</v>
      </c>
      <c r="B22" s="454"/>
      <c r="C22" s="454"/>
      <c r="D22" s="454" t="s">
        <v>313</v>
      </c>
      <c r="E22" s="454" t="s">
        <v>313</v>
      </c>
      <c r="F22" s="454" t="s">
        <v>314</v>
      </c>
      <c r="G22" s="454" t="s">
        <v>314</v>
      </c>
      <c r="H22" s="454" t="s">
        <v>315</v>
      </c>
      <c r="I22" s="454" t="s">
        <v>315</v>
      </c>
      <c r="J22" s="454" t="s">
        <v>316</v>
      </c>
      <c r="K22" s="454" t="s">
        <v>316</v>
      </c>
      <c r="L22" s="454" t="s">
        <v>317</v>
      </c>
      <c r="M22" s="454" t="s">
        <v>317</v>
      </c>
      <c r="N22" s="454" t="s">
        <v>318</v>
      </c>
      <c r="O22" s="454" t="s">
        <v>318</v>
      </c>
      <c r="P22" s="133"/>
      <c r="Q22" s="133"/>
    </row>
    <row r="23" spans="1:17" ht="24.95" customHeight="1">
      <c r="A23" s="126"/>
      <c r="B23" s="50"/>
      <c r="C23" s="50"/>
      <c r="D23" s="481" t="s">
        <v>125</v>
      </c>
      <c r="E23" s="481" t="s">
        <v>258</v>
      </c>
      <c r="F23" s="481" t="s">
        <v>125</v>
      </c>
      <c r="G23" s="481" t="s">
        <v>258</v>
      </c>
      <c r="H23" s="481" t="s">
        <v>125</v>
      </c>
      <c r="I23" s="481" t="s">
        <v>258</v>
      </c>
      <c r="J23" s="481" t="s">
        <v>125</v>
      </c>
      <c r="K23" s="481" t="s">
        <v>258</v>
      </c>
      <c r="L23" s="481" t="s">
        <v>125</v>
      </c>
      <c r="M23" s="481" t="s">
        <v>258</v>
      </c>
      <c r="N23" s="481" t="s">
        <v>125</v>
      </c>
      <c r="O23" s="481" t="s">
        <v>258</v>
      </c>
      <c r="P23" s="50"/>
      <c r="Q23" s="50"/>
    </row>
    <row r="24" spans="1:17" ht="24.95" customHeight="1">
      <c r="A24" s="50"/>
      <c r="B24" s="50"/>
      <c r="C24" s="50"/>
      <c r="D24" s="559" t="s">
        <v>306</v>
      </c>
      <c r="E24" s="559"/>
      <c r="F24" s="559" t="s">
        <v>307</v>
      </c>
      <c r="G24" s="559"/>
      <c r="H24" s="559" t="s">
        <v>308</v>
      </c>
      <c r="I24" s="559"/>
      <c r="J24" s="559" t="s">
        <v>309</v>
      </c>
      <c r="K24" s="559"/>
      <c r="L24" s="559" t="s">
        <v>310</v>
      </c>
      <c r="M24" s="559"/>
      <c r="N24" s="559" t="s">
        <v>311</v>
      </c>
      <c r="O24" s="559"/>
      <c r="P24" s="50"/>
      <c r="Q24" s="50"/>
    </row>
    <row r="25" spans="1:17" ht="24.95" customHeight="1">
      <c r="A25" s="134" t="s">
        <v>647</v>
      </c>
      <c r="B25" s="135"/>
      <c r="C25" s="135"/>
      <c r="D25" s="560"/>
      <c r="E25" s="560"/>
      <c r="F25" s="560"/>
      <c r="G25" s="560"/>
      <c r="H25" s="560"/>
      <c r="I25" s="560"/>
      <c r="J25" s="560"/>
      <c r="K25" s="560"/>
      <c r="L25" s="560"/>
      <c r="M25" s="560"/>
      <c r="N25" s="560"/>
      <c r="O25" s="560"/>
      <c r="P25" s="50"/>
      <c r="Q25" s="50"/>
    </row>
    <row r="26" spans="1:17" ht="24.95" customHeight="1">
      <c r="A26" s="136" t="s">
        <v>647</v>
      </c>
      <c r="B26" s="137"/>
      <c r="C26" s="137"/>
      <c r="D26" s="336">
        <f>F20</f>
        <v>13547</v>
      </c>
      <c r="E26" s="336">
        <v>13547</v>
      </c>
      <c r="F26" s="336">
        <f>G20</f>
        <v>14303.880901346049</v>
      </c>
      <c r="G26" s="336">
        <v>13736.454794999998</v>
      </c>
      <c r="H26" s="336">
        <f>H20</f>
        <v>2116</v>
      </c>
      <c r="I26" s="336">
        <v>2132</v>
      </c>
      <c r="J26" s="336">
        <f>I20</f>
        <v>2061.9320611075145</v>
      </c>
      <c r="K26" s="336">
        <v>2259.92</v>
      </c>
      <c r="L26" s="336">
        <f>J20</f>
        <v>1336</v>
      </c>
      <c r="M26" s="336">
        <v>1336</v>
      </c>
      <c r="N26" s="336">
        <f ca="1">K20</f>
        <v>1000.9042805459819</v>
      </c>
      <c r="O26" s="336">
        <v>1174.3500000000001</v>
      </c>
      <c r="P26" s="50"/>
      <c r="Q26" s="50"/>
    </row>
    <row r="27" spans="1:17" ht="24.95" customHeight="1">
      <c r="A27" s="136" t="s">
        <v>301</v>
      </c>
      <c r="B27" s="138"/>
      <c r="C27" s="138"/>
      <c r="D27" s="336">
        <f>L16</f>
        <v>1.8415849552106345</v>
      </c>
      <c r="E27" s="336">
        <f>L17</f>
        <v>2.051712523604631</v>
      </c>
      <c r="F27" s="336">
        <f>M16</f>
        <v>1.8860769462698801</v>
      </c>
      <c r="G27" s="336">
        <f>M17</f>
        <v>2.0111381288605745</v>
      </c>
      <c r="H27" s="336">
        <f>N16</f>
        <v>10.817469500844867</v>
      </c>
      <c r="I27" s="336">
        <f>N17</f>
        <v>10.582720469501696</v>
      </c>
      <c r="J27" s="336">
        <f>O16</f>
        <v>9.0522614508823196</v>
      </c>
      <c r="K27" s="336">
        <f>O17</f>
        <v>9.3705181937956734</v>
      </c>
      <c r="L27" s="336">
        <f>P16</f>
        <v>14.072430655569969</v>
      </c>
      <c r="M27" s="336">
        <f>P17</f>
        <v>13.367481616424442</v>
      </c>
      <c r="N27" s="336">
        <f>Q16</f>
        <v>15.286410165604073</v>
      </c>
      <c r="O27" s="336">
        <f>Q17</f>
        <v>15.211681555554122</v>
      </c>
      <c r="P27" s="50"/>
      <c r="Q27" s="50"/>
    </row>
    <row r="28" spans="1:17" ht="24.95" customHeight="1">
      <c r="A28" s="145" t="s">
        <v>442</v>
      </c>
      <c r="B28" s="144"/>
      <c r="C28" s="144"/>
      <c r="D28" s="353">
        <f>D26*D27</f>
        <v>24947.951388238464</v>
      </c>
      <c r="E28" s="353">
        <f t="shared" ref="E28:O28" si="10">E26*E27</f>
        <v>27794.549557271937</v>
      </c>
      <c r="F28" s="353">
        <f t="shared" si="10"/>
        <v>26978.220010218814</v>
      </c>
      <c r="G28" s="353">
        <f t="shared" si="10"/>
        <v>27625.907993594163</v>
      </c>
      <c r="H28" s="353">
        <f>H26*H27</f>
        <v>22889.765463787739</v>
      </c>
      <c r="I28" s="353">
        <f t="shared" si="10"/>
        <v>22562.360040977615</v>
      </c>
      <c r="J28" s="353">
        <f t="shared" si="10"/>
        <v>18665.14811110188</v>
      </c>
      <c r="K28" s="353">
        <f t="shared" si="10"/>
        <v>21176.62147652272</v>
      </c>
      <c r="L28" s="353">
        <f t="shared" si="10"/>
        <v>18800.767355841479</v>
      </c>
      <c r="M28" s="353">
        <f t="shared" si="10"/>
        <v>17858.955439543053</v>
      </c>
      <c r="N28" s="353">
        <f ca="1">N26*N27</f>
        <v>15300.233368934729</v>
      </c>
      <c r="O28" s="353">
        <f t="shared" si="10"/>
        <v>17863.838234764986</v>
      </c>
      <c r="P28" s="50"/>
      <c r="Q28" s="50"/>
    </row>
    <row r="29" spans="1:17" ht="24.95" customHeight="1">
      <c r="A29" s="50"/>
      <c r="B29" s="50"/>
      <c r="C29" s="50"/>
      <c r="D29" s="50"/>
      <c r="E29" s="50"/>
      <c r="F29" s="50"/>
      <c r="G29" s="50"/>
      <c r="H29" s="50"/>
      <c r="I29" s="50"/>
      <c r="J29" s="137"/>
      <c r="K29" s="137"/>
      <c r="L29" s="50"/>
      <c r="M29" s="50"/>
      <c r="N29" s="50"/>
      <c r="O29" s="50"/>
      <c r="P29" s="50"/>
      <c r="Q29" s="50"/>
    </row>
    <row r="30" spans="1:17" ht="24.95" customHeight="1">
      <c r="A30" s="139" t="s">
        <v>648</v>
      </c>
      <c r="B30" s="140"/>
      <c r="C30" s="140"/>
      <c r="D30" s="355">
        <f>-'Operating Forecasts'!$D$97</f>
        <v>-8601</v>
      </c>
      <c r="E30" s="355">
        <f>-'Operating Forecasts'!$D$97</f>
        <v>-8601</v>
      </c>
      <c r="F30" s="355">
        <f>-'Operating Forecasts'!$D$97</f>
        <v>-8601</v>
      </c>
      <c r="G30" s="355">
        <f>-'Operating Forecasts'!$D$97</f>
        <v>-8601</v>
      </c>
      <c r="H30" s="355">
        <f>-'Operating Forecasts'!$D$97</f>
        <v>-8601</v>
      </c>
      <c r="I30" s="355">
        <f>-'Operating Forecasts'!$D$97</f>
        <v>-8601</v>
      </c>
      <c r="J30" s="354">
        <f>-'Operating Forecasts'!$D$97</f>
        <v>-8601</v>
      </c>
      <c r="K30" s="354">
        <f>-'Operating Forecasts'!$D$97</f>
        <v>-8601</v>
      </c>
      <c r="L30" s="50"/>
      <c r="M30" s="50"/>
      <c r="N30" s="50"/>
      <c r="O30" s="50"/>
      <c r="P30" s="50"/>
      <c r="Q30" s="50"/>
    </row>
    <row r="31" spans="1:17" ht="24.95" customHeight="1">
      <c r="A31" s="139" t="s">
        <v>649</v>
      </c>
      <c r="B31" s="140"/>
      <c r="C31" s="140"/>
      <c r="D31" s="199">
        <f>'Operating Forecasts'!$D$85</f>
        <v>102</v>
      </c>
      <c r="E31" s="199">
        <f>'Operating Forecasts'!$D$85</f>
        <v>102</v>
      </c>
      <c r="F31" s="199">
        <f>'Operating Forecasts'!$D$85</f>
        <v>102</v>
      </c>
      <c r="G31" s="199">
        <f>'Operating Forecasts'!$D$85</f>
        <v>102</v>
      </c>
      <c r="H31" s="199">
        <f>'Operating Forecasts'!$D$85</f>
        <v>102</v>
      </c>
      <c r="I31" s="199">
        <f>'Operating Forecasts'!$D$85</f>
        <v>102</v>
      </c>
      <c r="J31" s="199">
        <f>'Operating Forecasts'!$D$85</f>
        <v>102</v>
      </c>
      <c r="K31" s="140">
        <v>102</v>
      </c>
      <c r="L31" s="50"/>
      <c r="M31" s="50"/>
      <c r="N31" s="50"/>
      <c r="O31" s="50"/>
      <c r="P31" s="50"/>
      <c r="Q31" s="50"/>
    </row>
    <row r="32" spans="1:17" ht="24.95" customHeight="1">
      <c r="A32" s="139" t="s">
        <v>303</v>
      </c>
      <c r="B32" s="140"/>
      <c r="C32" s="140"/>
      <c r="D32" s="356">
        <f>-'Operating Forecasts'!$D$102</f>
        <v>-558</v>
      </c>
      <c r="E32" s="356">
        <f>-'Operating Forecasts'!$D$102</f>
        <v>-558</v>
      </c>
      <c r="F32" s="356">
        <f>-'Operating Forecasts'!$D$102</f>
        <v>-558</v>
      </c>
      <c r="G32" s="356">
        <f>-'Operating Forecasts'!$D$102</f>
        <v>-558</v>
      </c>
      <c r="H32" s="356">
        <f>-'Operating Forecasts'!$D$102</f>
        <v>-558</v>
      </c>
      <c r="I32" s="356">
        <f>-'Operating Forecasts'!$D$102</f>
        <v>-558</v>
      </c>
      <c r="J32" s="354">
        <f>-'Operating Forecasts'!$D$102</f>
        <v>-558</v>
      </c>
      <c r="K32" s="354">
        <f>-'Operating Forecasts'!$D$102</f>
        <v>-558</v>
      </c>
      <c r="L32" s="50"/>
      <c r="M32" s="50"/>
      <c r="N32" s="50"/>
      <c r="O32" s="50"/>
      <c r="P32" s="50"/>
      <c r="Q32" s="50"/>
    </row>
    <row r="33" spans="1:17" ht="24.95" customHeight="1">
      <c r="A33" s="186" t="s">
        <v>526</v>
      </c>
      <c r="B33" s="144"/>
      <c r="C33" s="144"/>
      <c r="D33" s="357">
        <f>+SUM(D28:D32)</f>
        <v>15890.951388238464</v>
      </c>
      <c r="E33" s="357">
        <f t="shared" ref="E33:G33" si="11">+SUM(E28:E32)</f>
        <v>18737.549557271937</v>
      </c>
      <c r="F33" s="357">
        <f t="shared" si="11"/>
        <v>17921.220010218814</v>
      </c>
      <c r="G33" s="357">
        <f t="shared" si="11"/>
        <v>18568.907993594163</v>
      </c>
      <c r="H33" s="357">
        <f>+SUM(H28:H32)</f>
        <v>13832.765463787739</v>
      </c>
      <c r="I33" s="357">
        <f>+SUM(I28:I32)</f>
        <v>13505.360040977615</v>
      </c>
      <c r="J33" s="357">
        <f>+SUM(J28:J32)</f>
        <v>9608.1481111018802</v>
      </c>
      <c r="K33" s="357">
        <f>+SUM(K28:K32)</f>
        <v>12119.62147652272</v>
      </c>
      <c r="L33" s="357">
        <f t="shared" ref="L33:O33" si="12">+SUM(L28:L32)</f>
        <v>18800.767355841479</v>
      </c>
      <c r="M33" s="357">
        <f t="shared" si="12"/>
        <v>17858.955439543053</v>
      </c>
      <c r="N33" s="357">
        <f t="shared" ca="1" si="12"/>
        <v>15300.233368934729</v>
      </c>
      <c r="O33" s="357">
        <f t="shared" si="12"/>
        <v>17863.838234764986</v>
      </c>
      <c r="P33" s="336"/>
      <c r="Q33" s="50"/>
    </row>
    <row r="34" spans="1:17" ht="24.95" customHeight="1">
      <c r="A34" s="50"/>
      <c r="B34" s="50"/>
      <c r="C34" s="50"/>
      <c r="D34" s="50"/>
      <c r="E34" s="50"/>
      <c r="F34" s="50"/>
      <c r="G34" s="50"/>
      <c r="H34" s="50"/>
      <c r="I34" s="50"/>
      <c r="J34" s="50"/>
      <c r="K34" s="50"/>
      <c r="L34" s="137"/>
      <c r="M34" s="137"/>
      <c r="N34" s="137"/>
      <c r="O34" s="137"/>
      <c r="P34" s="50"/>
      <c r="Q34" s="50"/>
    </row>
    <row r="35" spans="1:17" ht="24.95" customHeight="1">
      <c r="A35" s="139" t="s">
        <v>62</v>
      </c>
      <c r="B35" s="50"/>
      <c r="C35" s="50"/>
      <c r="D35" s="50"/>
      <c r="E35" s="50"/>
      <c r="F35" s="50"/>
      <c r="G35" s="50"/>
      <c r="H35" s="50"/>
      <c r="I35" s="50"/>
      <c r="J35" s="50"/>
      <c r="K35" s="50"/>
      <c r="L35" s="364">
        <f>'Operating Forecasts'!$D$97</f>
        <v>8601</v>
      </c>
      <c r="M35" s="364">
        <f>'Operating Forecasts'!$D$97</f>
        <v>8601</v>
      </c>
      <c r="N35" s="364">
        <f>'Operating Forecasts'!$D$97</f>
        <v>8601</v>
      </c>
      <c r="O35" s="364">
        <f>'Operating Forecasts'!$D$97</f>
        <v>8601</v>
      </c>
      <c r="P35" s="50"/>
      <c r="Q35" s="50"/>
    </row>
    <row r="36" spans="1:17" ht="24.95" customHeight="1">
      <c r="A36" s="139" t="s">
        <v>650</v>
      </c>
      <c r="B36" s="50"/>
      <c r="C36" s="50"/>
      <c r="D36" s="50"/>
      <c r="E36" s="50"/>
      <c r="F36" s="50"/>
      <c r="G36" s="50"/>
      <c r="H36" s="50"/>
      <c r="I36" s="50"/>
      <c r="J36" s="50"/>
      <c r="K36" s="50"/>
      <c r="L36" s="140">
        <f>-'Operating Forecasts'!$D$85</f>
        <v>-102</v>
      </c>
      <c r="M36" s="140">
        <f>-'Operating Forecasts'!$D$85</f>
        <v>-102</v>
      </c>
      <c r="N36" s="140">
        <f>-'Operating Forecasts'!$D$85</f>
        <v>-102</v>
      </c>
      <c r="O36" s="140">
        <f>-'Operating Forecasts'!$D$85</f>
        <v>-102</v>
      </c>
      <c r="P36" s="50"/>
      <c r="Q36" s="50"/>
    </row>
    <row r="37" spans="1:17" ht="24.95" customHeight="1">
      <c r="A37" s="139" t="s">
        <v>304</v>
      </c>
      <c r="B37" s="50"/>
      <c r="C37" s="50"/>
      <c r="D37" s="50"/>
      <c r="E37" s="50"/>
      <c r="F37" s="50"/>
      <c r="G37" s="50"/>
      <c r="H37" s="50"/>
      <c r="I37" s="50"/>
      <c r="J37" s="50"/>
      <c r="K37" s="50"/>
      <c r="L37" s="364">
        <f>'Operating Forecasts'!$D$102</f>
        <v>558</v>
      </c>
      <c r="M37" s="364">
        <f>'Operating Forecasts'!$D$102</f>
        <v>558</v>
      </c>
      <c r="N37" s="364">
        <f>'Operating Forecasts'!$D$102</f>
        <v>558</v>
      </c>
      <c r="O37" s="364">
        <f>'Operating Forecasts'!$D$102</f>
        <v>558</v>
      </c>
      <c r="P37" s="199"/>
      <c r="Q37" s="199"/>
    </row>
    <row r="38" spans="1:17" ht="24.95" customHeight="1">
      <c r="A38" s="186" t="s">
        <v>302</v>
      </c>
      <c r="B38" s="144"/>
      <c r="C38" s="144"/>
      <c r="D38" s="144"/>
      <c r="E38" s="144"/>
      <c r="F38" s="144"/>
      <c r="G38" s="144"/>
      <c r="H38" s="144"/>
      <c r="I38" s="144"/>
      <c r="J38" s="144"/>
      <c r="K38" s="144"/>
      <c r="L38" s="365">
        <f>+L33+SUM(L35:L37)</f>
        <v>27857.767355841479</v>
      </c>
      <c r="M38" s="365">
        <f>+M33+SUM(M35:M37)</f>
        <v>26915.955439543053</v>
      </c>
      <c r="N38" s="365">
        <f ca="1">+N33+SUM(N35:N37)</f>
        <v>24357.233368934729</v>
      </c>
      <c r="O38" s="365">
        <f>+O33+SUM(O35:O37)</f>
        <v>26920.838234764986</v>
      </c>
      <c r="P38" s="50"/>
      <c r="Q38" s="50"/>
    </row>
    <row r="39" spans="1:17" ht="24.95" customHeight="1">
      <c r="A39" s="50"/>
      <c r="B39" s="50"/>
      <c r="C39" s="50"/>
      <c r="D39" s="50"/>
      <c r="E39" s="50"/>
      <c r="F39" s="50"/>
      <c r="G39" s="50"/>
      <c r="H39" s="50"/>
      <c r="I39" s="50"/>
      <c r="J39" s="50"/>
      <c r="K39" s="50"/>
      <c r="L39" s="50"/>
      <c r="M39" s="50"/>
      <c r="N39" s="50"/>
      <c r="O39" s="50"/>
      <c r="P39" s="50"/>
      <c r="Q39" s="50"/>
    </row>
    <row r="40" spans="1:17" ht="24.95" customHeight="1">
      <c r="A40" s="139" t="s">
        <v>651</v>
      </c>
      <c r="B40" s="50"/>
      <c r="C40" s="50"/>
      <c r="D40" s="562">
        <v>0</v>
      </c>
      <c r="E40" s="562"/>
      <c r="F40" s="562">
        <v>0</v>
      </c>
      <c r="G40" s="562"/>
      <c r="H40" s="562">
        <v>0</v>
      </c>
      <c r="I40" s="562"/>
      <c r="J40" s="562">
        <v>0</v>
      </c>
      <c r="K40" s="562"/>
      <c r="L40" s="561">
        <v>0</v>
      </c>
      <c r="M40" s="561"/>
      <c r="N40" s="561">
        <v>0</v>
      </c>
      <c r="O40" s="561"/>
      <c r="P40" s="50"/>
      <c r="Q40" s="50"/>
    </row>
    <row r="41" spans="1:17" ht="24.95" customHeight="1">
      <c r="A41" s="50"/>
      <c r="B41" s="50"/>
      <c r="C41" s="50"/>
      <c r="D41" s="50"/>
      <c r="E41" s="50"/>
      <c r="F41" s="50"/>
      <c r="G41" s="50"/>
      <c r="H41" s="50"/>
      <c r="I41" s="50"/>
      <c r="J41" s="50"/>
      <c r="K41" s="50"/>
      <c r="L41" s="50"/>
      <c r="M41" s="50"/>
      <c r="N41" s="50"/>
      <c r="O41" s="50"/>
      <c r="P41" s="50"/>
      <c r="Q41" s="50"/>
    </row>
    <row r="42" spans="1:17" s="171" customFormat="1" ht="49.5" customHeight="1">
      <c r="A42" s="470" t="s">
        <v>682</v>
      </c>
      <c r="B42" s="453"/>
      <c r="C42" s="453"/>
      <c r="D42" s="453"/>
      <c r="E42" s="453"/>
      <c r="F42" s="453"/>
      <c r="G42" s="453"/>
      <c r="H42" s="453"/>
      <c r="I42" s="453"/>
      <c r="J42" s="453"/>
      <c r="K42" s="453"/>
      <c r="L42" s="453" t="s">
        <v>252</v>
      </c>
      <c r="M42" s="453" t="s">
        <v>253</v>
      </c>
      <c r="N42" s="453" t="s">
        <v>254</v>
      </c>
      <c r="O42" s="453" t="s">
        <v>255</v>
      </c>
      <c r="P42" s="453" t="s">
        <v>256</v>
      </c>
      <c r="Q42" s="453" t="s">
        <v>257</v>
      </c>
    </row>
    <row r="43" spans="1:17" ht="24.95" customHeight="1">
      <c r="A43" s="50"/>
      <c r="B43" s="50"/>
      <c r="C43" s="50"/>
      <c r="D43" s="50"/>
      <c r="E43" s="50"/>
      <c r="F43" s="50"/>
      <c r="G43" s="50"/>
      <c r="H43" s="50"/>
      <c r="I43" s="50"/>
      <c r="J43" s="50"/>
      <c r="K43" s="50"/>
      <c r="L43" s="50"/>
      <c r="M43" s="50"/>
      <c r="N43" s="50"/>
      <c r="O43" s="50"/>
      <c r="P43" s="50"/>
      <c r="Q43" s="50"/>
    </row>
    <row r="44" spans="1:17" ht="24.95" customHeight="1">
      <c r="A44" s="127" t="s">
        <v>652</v>
      </c>
      <c r="B44" s="50"/>
      <c r="C44" s="50"/>
      <c r="D44" s="50"/>
      <c r="E44" s="50"/>
      <c r="F44" s="50"/>
      <c r="G44" s="50"/>
      <c r="H44" s="50"/>
      <c r="I44" s="50"/>
      <c r="J44" s="50"/>
      <c r="K44" s="50"/>
      <c r="L44" s="141">
        <f t="shared" ref="L44:Q44" si="13">+SLOPE(L5:L9,F5:F9)</f>
        <v>8.4221671841652155E-6</v>
      </c>
      <c r="M44" s="141">
        <f t="shared" si="13"/>
        <v>6.1953373457577549E-6</v>
      </c>
      <c r="N44" s="141">
        <f t="shared" si="13"/>
        <v>7.8364867255051784E-4</v>
      </c>
      <c r="O44" s="141">
        <f t="shared" si="13"/>
        <v>7.8916014868851025E-5</v>
      </c>
      <c r="P44" s="141">
        <f t="shared" si="13"/>
        <v>1.7130754217304328E-3</v>
      </c>
      <c r="Q44" s="141">
        <f t="shared" si="13"/>
        <v>3.2768159740837318E-3</v>
      </c>
    </row>
    <row r="45" spans="1:17" ht="24.95" customHeight="1">
      <c r="A45" s="127" t="s">
        <v>653</v>
      </c>
      <c r="B45" s="50"/>
      <c r="C45" s="50"/>
      <c r="D45" s="50"/>
      <c r="E45" s="50"/>
      <c r="F45" s="50"/>
      <c r="G45" s="50"/>
      <c r="H45" s="50"/>
      <c r="I45" s="50"/>
      <c r="J45" s="50"/>
      <c r="K45" s="50"/>
      <c r="L45" s="137">
        <f>+INTERCEPT(L5:L9,F5:F9)</f>
        <v>2.3619722666498477</v>
      </c>
      <c r="M45" s="137">
        <f t="shared" ref="M45:O45" si="14">+INTERCEPT(M5:M9,G5:G9)</f>
        <v>2.4970852723700236</v>
      </c>
      <c r="N45" s="137">
        <f t="shared" si="14"/>
        <v>8.1755977141501823</v>
      </c>
      <c r="O45" s="137">
        <f t="shared" si="14"/>
        <v>12.390777833650301</v>
      </c>
      <c r="P45" s="137">
        <f>+INTERCEPT(P5:P9,J5:J9)</f>
        <v>0.18345801778053494</v>
      </c>
      <c r="Q45" s="137">
        <f>+INTERCEPT(Q5:Q9,K5:K9)</f>
        <v>-7.4551411550425613</v>
      </c>
    </row>
    <row r="46" spans="1:17" ht="24.95" customHeight="1">
      <c r="A46" s="128" t="s">
        <v>654</v>
      </c>
      <c r="B46" s="129"/>
      <c r="C46" s="129"/>
      <c r="D46" s="129"/>
      <c r="E46" s="129"/>
      <c r="F46" s="129"/>
      <c r="G46" s="129"/>
      <c r="H46" s="129"/>
      <c r="I46" s="129"/>
      <c r="J46" s="129"/>
      <c r="K46" s="129"/>
      <c r="L46" s="130">
        <f>+L45+L44*D26</f>
        <v>2.476067365493734</v>
      </c>
      <c r="M46" s="130">
        <f>+M45+M44*G26</f>
        <v>2.5821872437598001</v>
      </c>
      <c r="N46" s="130">
        <f>+N45+N44*H26</f>
        <v>9.8337983052670772</v>
      </c>
      <c r="O46" s="130">
        <f>+O45+O44*J26</f>
        <v>12.553497294843222</v>
      </c>
      <c r="P46" s="130">
        <f>+P45+P44*L26</f>
        <v>2.4721267812123928</v>
      </c>
      <c r="Q46" s="130">
        <f ca="1">+Q45+Q44*N26</f>
        <v>-4.1753620200207031</v>
      </c>
    </row>
    <row r="47" spans="1:17" ht="24.95" customHeight="1">
      <c r="A47" s="131" t="s">
        <v>305</v>
      </c>
      <c r="B47" s="132"/>
      <c r="C47" s="132"/>
      <c r="D47" s="132"/>
      <c r="E47" s="132"/>
      <c r="F47" s="132"/>
      <c r="G47" s="132"/>
      <c r="H47" s="132"/>
      <c r="I47" s="132"/>
      <c r="J47" s="132"/>
      <c r="K47" s="132"/>
      <c r="L47" s="142">
        <f>+RSQ(L5:L9,F5:F9)</f>
        <v>8.8254939638005306E-2</v>
      </c>
      <c r="M47" s="142">
        <f t="shared" ref="M47:O47" si="15">+RSQ(M5:M9,G5:G9)</f>
        <v>6.6156617644807056E-2</v>
      </c>
      <c r="N47" s="142">
        <f t="shared" si="15"/>
        <v>0.48511641496231439</v>
      </c>
      <c r="O47" s="142">
        <f t="shared" si="15"/>
        <v>0.15639233736322591</v>
      </c>
      <c r="P47" s="142">
        <f>+RSQ(P5:P9,J5:J9)</f>
        <v>0.1903997402902185</v>
      </c>
      <c r="Q47" s="142">
        <f>+RSQ(Q5:Q9,K5:K9)</f>
        <v>0.22448889989936094</v>
      </c>
    </row>
  </sheetData>
  <mergeCells count="12">
    <mergeCell ref="N40:O40"/>
    <mergeCell ref="D40:E40"/>
    <mergeCell ref="F40:G40"/>
    <mergeCell ref="H40:I40"/>
    <mergeCell ref="J40:K40"/>
    <mergeCell ref="L40:M40"/>
    <mergeCell ref="N24:O25"/>
    <mergeCell ref="D24:E25"/>
    <mergeCell ref="F24:G25"/>
    <mergeCell ref="H24:I25"/>
    <mergeCell ref="J24:K25"/>
    <mergeCell ref="L24:M25"/>
  </mergeCells>
  <pageMargins left="0.7" right="0.7" top="0.75" bottom="0.75" header="0.3" footer="0.3"/>
  <pageSetup paperSize="9" orientation="portrait" horizontalDpi="1200" verticalDpi="1200" r:id="rId1"/>
  <legacyDrawing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D3F04-A44F-4E30-A7BD-2A75A737D552}">
  <dimension ref="A1:AL36"/>
  <sheetViews>
    <sheetView zoomScaleNormal="100" workbookViewId="0">
      <selection activeCell="AR10" sqref="AR10"/>
    </sheetView>
  </sheetViews>
  <sheetFormatPr defaultColWidth="25.83203125" defaultRowHeight="24.95" customHeight="1"/>
  <cols>
    <col min="1" max="16384" width="25.83203125" style="210"/>
  </cols>
  <sheetData>
    <row r="1" spans="1:38" ht="24.95" customHeight="1">
      <c r="A1" s="220" t="s">
        <v>467</v>
      </c>
      <c r="B1" s="213"/>
    </row>
    <row r="2" spans="1:38" ht="24.95" customHeight="1">
      <c r="A2" s="211" t="s">
        <v>471</v>
      </c>
    </row>
    <row r="3" spans="1:38" ht="24.95" customHeight="1">
      <c r="A3" s="563" t="s">
        <v>472</v>
      </c>
      <c r="B3" s="563"/>
    </row>
    <row r="4" spans="1:38" ht="24.95" customHeight="1">
      <c r="A4" s="212"/>
      <c r="B4" s="212"/>
    </row>
    <row r="5" spans="1:38" ht="24.95" customHeight="1">
      <c r="A5" s="214"/>
      <c r="B5" s="214"/>
      <c r="C5" s="215"/>
      <c r="D5" s="215"/>
      <c r="E5" s="215"/>
      <c r="F5" s="215"/>
      <c r="G5" s="215"/>
      <c r="H5" s="215"/>
      <c r="I5" s="215"/>
      <c r="J5" s="215"/>
      <c r="K5" s="215"/>
      <c r="L5" s="215"/>
      <c r="M5" s="215"/>
      <c r="N5" s="215"/>
      <c r="O5" s="215"/>
      <c r="P5" s="215"/>
      <c r="Q5" s="215"/>
      <c r="R5" s="215"/>
      <c r="S5" s="215"/>
      <c r="T5" s="215"/>
      <c r="U5" s="215"/>
      <c r="V5" s="215"/>
      <c r="W5" s="215"/>
      <c r="X5" s="215"/>
      <c r="Y5" s="215"/>
      <c r="Z5" s="215"/>
      <c r="AA5" s="215"/>
      <c r="AB5" s="215"/>
      <c r="AC5" s="215"/>
      <c r="AD5" s="215"/>
      <c r="AE5" s="215"/>
      <c r="AF5" s="215"/>
      <c r="AG5" s="215"/>
    </row>
    <row r="6" spans="1:38" ht="24.95" customHeight="1">
      <c r="A6" s="215"/>
      <c r="B6" s="217">
        <v>32142</v>
      </c>
      <c r="C6" s="217">
        <v>32508</v>
      </c>
      <c r="D6" s="217">
        <v>32873</v>
      </c>
      <c r="E6" s="217">
        <v>33238</v>
      </c>
      <c r="F6" s="217">
        <v>33603</v>
      </c>
      <c r="G6" s="217">
        <v>33969</v>
      </c>
      <c r="H6" s="217">
        <v>34334</v>
      </c>
      <c r="I6" s="217">
        <v>34699</v>
      </c>
      <c r="J6" s="217">
        <v>35064</v>
      </c>
      <c r="K6" s="217">
        <v>35430</v>
      </c>
      <c r="L6" s="217">
        <v>35795</v>
      </c>
      <c r="M6" s="217">
        <v>36160</v>
      </c>
      <c r="N6" s="217">
        <v>36525</v>
      </c>
      <c r="O6" s="217">
        <v>36891</v>
      </c>
      <c r="P6" s="217">
        <v>37256</v>
      </c>
      <c r="Q6" s="217">
        <v>37621</v>
      </c>
      <c r="R6" s="217">
        <v>37986</v>
      </c>
      <c r="S6" s="217">
        <v>38352</v>
      </c>
      <c r="T6" s="217">
        <v>38717</v>
      </c>
      <c r="U6" s="217">
        <v>39082</v>
      </c>
      <c r="V6" s="217">
        <v>39447</v>
      </c>
      <c r="W6" s="217">
        <v>39813</v>
      </c>
      <c r="X6" s="217">
        <v>40178</v>
      </c>
      <c r="Y6" s="217">
        <v>40543</v>
      </c>
      <c r="Z6" s="217">
        <v>40908</v>
      </c>
      <c r="AA6" s="217">
        <v>41274</v>
      </c>
      <c r="AB6" s="217">
        <v>41639</v>
      </c>
      <c r="AC6" s="217">
        <v>42004</v>
      </c>
      <c r="AD6" s="217">
        <v>42369</v>
      </c>
      <c r="AE6" s="217">
        <v>42735</v>
      </c>
      <c r="AF6" s="217">
        <v>43100</v>
      </c>
      <c r="AG6" s="217">
        <v>43465</v>
      </c>
      <c r="AI6" s="218" t="s">
        <v>125</v>
      </c>
      <c r="AJ6" s="218" t="s">
        <v>476</v>
      </c>
      <c r="AK6" s="218"/>
    </row>
    <row r="7" spans="1:38" ht="24.95" customHeight="1">
      <c r="A7" s="215"/>
      <c r="B7" s="217"/>
      <c r="C7" s="217"/>
      <c r="D7" s="217"/>
      <c r="E7" s="217"/>
      <c r="F7" s="217"/>
      <c r="G7" s="217"/>
      <c r="H7" s="217"/>
      <c r="I7" s="217"/>
      <c r="J7" s="217"/>
      <c r="K7" s="217"/>
      <c r="L7" s="217"/>
      <c r="M7" s="217"/>
      <c r="N7" s="217"/>
      <c r="O7" s="217"/>
      <c r="P7" s="217"/>
      <c r="Q7" s="217"/>
      <c r="R7" s="217"/>
      <c r="S7" s="217"/>
      <c r="T7" s="217"/>
      <c r="U7" s="217"/>
      <c r="V7" s="217"/>
      <c r="W7" s="217"/>
      <c r="X7" s="217"/>
      <c r="Y7" s="217"/>
      <c r="Z7" s="217"/>
      <c r="AA7" s="217"/>
      <c r="AB7" s="217"/>
      <c r="AC7" s="217"/>
      <c r="AD7" s="217"/>
      <c r="AE7" s="217"/>
      <c r="AF7" s="217"/>
      <c r="AG7" s="217"/>
    </row>
    <row r="8" spans="1:38" ht="24.95" customHeight="1">
      <c r="A8" s="215" t="s">
        <v>470</v>
      </c>
      <c r="B8" s="366">
        <v>4.0103E-2</v>
      </c>
      <c r="C8" s="366">
        <v>4.0529999999999997E-2</v>
      </c>
      <c r="D8" s="366">
        <v>4.9053000000000006E-2</v>
      </c>
      <c r="E8" s="366">
        <v>5.0892E-2</v>
      </c>
      <c r="F8" s="366">
        <v>4.9303999999999994E-2</v>
      </c>
      <c r="G8" s="366">
        <v>2.2595000000000001E-2</v>
      </c>
      <c r="H8" s="366">
        <v>2.4083999999999998E-2</v>
      </c>
      <c r="I8" s="366">
        <v>1.3865000000000001E-2</v>
      </c>
      <c r="J8" s="366">
        <v>2.4771000000000001E-2</v>
      </c>
      <c r="K8" s="366">
        <v>2.2509000000000001E-2</v>
      </c>
      <c r="L8" s="366">
        <v>1.9795E-2</v>
      </c>
      <c r="M8" s="366">
        <v>1.2741000000000001E-2</v>
      </c>
      <c r="N8" s="366">
        <v>1.9613999999999999E-2</v>
      </c>
      <c r="O8" s="366">
        <v>3.0480999999999998E-2</v>
      </c>
      <c r="P8" s="366">
        <v>2.6756000000000002E-2</v>
      </c>
      <c r="Q8" s="366">
        <v>1.9222E-2</v>
      </c>
      <c r="R8" s="366">
        <v>2.5142999999999999E-2</v>
      </c>
      <c r="S8" s="366">
        <v>2.2671999999999998E-2</v>
      </c>
      <c r="T8" s="366">
        <v>2.8031E-2</v>
      </c>
      <c r="U8" s="366">
        <v>2.614E-2</v>
      </c>
      <c r="V8" s="366">
        <v>2.4954999999999998E-2</v>
      </c>
      <c r="W8" s="366">
        <v>3.1046999999999998E-2</v>
      </c>
      <c r="X8" s="366">
        <v>-2.8000000000000003E-4</v>
      </c>
      <c r="Y8" s="366">
        <v>1.7084999999999999E-2</v>
      </c>
      <c r="Z8" s="366">
        <v>3.0345E-2</v>
      </c>
      <c r="AA8" s="366">
        <v>1.7925E-2</v>
      </c>
      <c r="AB8" s="366">
        <v>1.2016000000000001E-2</v>
      </c>
      <c r="AC8" s="366">
        <v>1.7644E-2</v>
      </c>
      <c r="AD8" s="366">
        <v>6.2189999999999997E-3</v>
      </c>
      <c r="AE8" s="366">
        <v>1.3999999999999999E-2</v>
      </c>
      <c r="AF8" s="366">
        <v>2.5000000000000001E-2</v>
      </c>
      <c r="AG8" s="366">
        <v>2.7000000000000003E-2</v>
      </c>
      <c r="AH8" s="367"/>
      <c r="AI8" s="368">
        <f>AVERAGE(B8:AG8)</f>
        <v>2.4726781250000003E-2</v>
      </c>
      <c r="AJ8" s="368">
        <f>_xlfn.STDEV.S(B8:AG8)</f>
        <v>1.170821163924338E-2</v>
      </c>
      <c r="AK8" s="388"/>
      <c r="AL8" s="388"/>
    </row>
    <row r="9" spans="1:38" ht="24.95" customHeight="1">
      <c r="A9" s="215" t="s">
        <v>468</v>
      </c>
      <c r="B9" s="366">
        <v>0.12323199999999999</v>
      </c>
      <c r="C9" s="366">
        <v>8.2668000000000005E-2</v>
      </c>
      <c r="D9" s="366">
        <v>0.11432100000000001</v>
      </c>
      <c r="E9" s="366">
        <v>0.21739899999999998</v>
      </c>
      <c r="F9" s="366">
        <v>0.21784400000000001</v>
      </c>
      <c r="G9" s="366">
        <v>0.11214499999999999</v>
      </c>
      <c r="H9" s="366">
        <v>0.107486</v>
      </c>
      <c r="I9" s="366">
        <v>0.10585800000000001</v>
      </c>
      <c r="J9" s="366">
        <v>0.10661</v>
      </c>
      <c r="K9" s="366">
        <v>8.5739999999999997E-2</v>
      </c>
      <c r="L9" s="366">
        <v>7.0472999999999994E-2</v>
      </c>
      <c r="M9" s="366">
        <v>5.1896000000000005E-2</v>
      </c>
      <c r="N9" s="366">
        <v>3.4696999999999999E-2</v>
      </c>
      <c r="O9" s="366">
        <v>4.6859999999999999E-2</v>
      </c>
      <c r="P9" s="366">
        <v>4.3593E-2</v>
      </c>
      <c r="Q9" s="366">
        <v>3.7502000000000001E-2</v>
      </c>
      <c r="R9" s="366">
        <v>3.8110999999999999E-2</v>
      </c>
      <c r="S9" s="366">
        <v>4.3232999999999994E-2</v>
      </c>
      <c r="T9" s="366">
        <v>4.6908999999999999E-2</v>
      </c>
      <c r="U9" s="366">
        <v>4.2672000000000002E-2</v>
      </c>
      <c r="V9" s="366">
        <v>4.9852999999999995E-2</v>
      </c>
      <c r="W9" s="366">
        <v>8.2540999999999989E-2</v>
      </c>
      <c r="X9" s="366">
        <v>2.5918999999999998E-2</v>
      </c>
      <c r="Y9" s="366">
        <v>3.5228000000000002E-2</v>
      </c>
      <c r="Z9" s="366">
        <v>5.0423999999999997E-2</v>
      </c>
      <c r="AA9" s="366">
        <v>3.8984999999999999E-2</v>
      </c>
      <c r="AB9" s="366">
        <v>2.6062999999999999E-2</v>
      </c>
      <c r="AC9" s="366">
        <v>3.3141999999999998E-2</v>
      </c>
      <c r="AD9" s="366">
        <v>2.1336000000000001E-2</v>
      </c>
      <c r="AE9" s="166">
        <v>5.5899999999999998E-2</v>
      </c>
      <c r="AF9" s="166">
        <v>6.0199999999999997E-2</v>
      </c>
      <c r="AG9" s="166">
        <v>6.2100000000000002E-2</v>
      </c>
      <c r="AH9" s="367"/>
      <c r="AI9" s="368">
        <f t="shared" ref="AI9" si="0">AVERAGE(B9:AG9)</f>
        <v>7.0966874999999985E-2</v>
      </c>
      <c r="AJ9" s="368">
        <f t="shared" ref="AJ9" si="1">_xlfn.STDEV.S(B9:AG9)</f>
        <v>4.8366766297871358E-2</v>
      </c>
      <c r="AK9" s="388"/>
    </row>
    <row r="10" spans="1:38" ht="24.95" customHeight="1">
      <c r="A10" s="215" t="s">
        <v>469</v>
      </c>
      <c r="B10" s="366">
        <v>4.0199999999999993E-2</v>
      </c>
      <c r="C10" s="366">
        <v>4.5351000000000002E-2</v>
      </c>
      <c r="D10" s="366">
        <v>6.2598000000000001E-2</v>
      </c>
      <c r="E10" s="366">
        <v>6.1496000000000002E-2</v>
      </c>
      <c r="F10" s="366">
        <v>5.4847E-2</v>
      </c>
      <c r="G10" s="366">
        <v>6.2173999999999993E-2</v>
      </c>
      <c r="H10" s="366">
        <v>4.8541999999999995E-2</v>
      </c>
      <c r="I10" s="366">
        <v>4.7183999999999997E-2</v>
      </c>
      <c r="J10" s="366">
        <v>4.4266E-2</v>
      </c>
      <c r="K10" s="366">
        <v>3.5588000000000002E-2</v>
      </c>
      <c r="L10" s="366">
        <v>3.1120999999999999E-2</v>
      </c>
      <c r="M10" s="366">
        <v>2.4155000000000003E-2</v>
      </c>
      <c r="N10" s="366">
        <v>2.1572000000000001E-2</v>
      </c>
      <c r="O10" s="366">
        <v>3.1508000000000001E-2</v>
      </c>
      <c r="P10" s="366">
        <v>3.3739999999999999E-2</v>
      </c>
      <c r="Q10" s="366">
        <v>2.4243999999999998E-2</v>
      </c>
      <c r="R10" s="366">
        <v>2.0920000000000001E-2</v>
      </c>
      <c r="S10" s="366">
        <v>2.2862E-2</v>
      </c>
      <c r="T10" s="366">
        <v>2.4876999999999996E-2</v>
      </c>
      <c r="U10" s="366">
        <v>2.6663000000000003E-2</v>
      </c>
      <c r="V10" s="366">
        <v>2.5107000000000001E-2</v>
      </c>
      <c r="W10" s="366">
        <v>4.165E-2</v>
      </c>
      <c r="X10" s="366">
        <v>8.3930000000000012E-3</v>
      </c>
      <c r="Y10" s="366">
        <v>1.5310999999999998E-2</v>
      </c>
      <c r="Z10" s="366">
        <v>3.2894E-2</v>
      </c>
      <c r="AA10" s="366">
        <v>2.6627999999999999E-2</v>
      </c>
      <c r="AB10" s="366">
        <v>1.2199999999999999E-2</v>
      </c>
      <c r="AC10" s="366">
        <v>1.993E-3</v>
      </c>
      <c r="AD10" s="369">
        <v>-6.1600000000000001E-4</v>
      </c>
      <c r="AE10" s="166">
        <v>1.4999999999999999E-2</v>
      </c>
      <c r="AF10" s="166">
        <v>2.2000000000000002E-2</v>
      </c>
      <c r="AG10" s="166">
        <v>2.2000000000000002E-2</v>
      </c>
      <c r="AH10" s="367"/>
      <c r="AI10" s="368">
        <f>AVERAGE(B10:AG10)</f>
        <v>3.0827125E-2</v>
      </c>
      <c r="AJ10" s="368">
        <f>_xlfn.STDEV.S(B10:AG10)</f>
        <v>1.6538363726743482E-2</v>
      </c>
      <c r="AK10" s="388"/>
    </row>
    <row r="11" spans="1:38" ht="24.95" customHeight="1">
      <c r="A11" s="215" t="s">
        <v>473</v>
      </c>
      <c r="B11" s="366">
        <v>4.6859999999999999E-2</v>
      </c>
      <c r="C11" s="366">
        <v>7.8872999999999999E-2</v>
      </c>
      <c r="D11" s="366">
        <v>6.4155000000000004E-2</v>
      </c>
      <c r="E11" s="366">
        <v>7.8191999999999998E-2</v>
      </c>
      <c r="F11" s="366">
        <v>6.4973000000000003E-2</v>
      </c>
      <c r="G11" s="366">
        <v>6.2127000000000002E-2</v>
      </c>
      <c r="H11" s="366">
        <v>4.8876000000000003E-2</v>
      </c>
      <c r="I11" s="366">
        <v>5.6498999999999994E-2</v>
      </c>
      <c r="J11" s="366">
        <v>4.6278E-2</v>
      </c>
      <c r="K11" s="366">
        <v>5.5247999999999998E-2</v>
      </c>
      <c r="L11" s="366">
        <v>3.7276999999999998E-2</v>
      </c>
      <c r="M11" s="366">
        <v>5.4909999999999994E-2</v>
      </c>
      <c r="N11" s="366">
        <v>1.9838000000000001E-2</v>
      </c>
      <c r="O11" s="366">
        <v>1.592E-2</v>
      </c>
      <c r="P11" s="366">
        <v>3.5776000000000002E-2</v>
      </c>
      <c r="Q11" s="366">
        <v>2.3203000000000001E-2</v>
      </c>
      <c r="R11" s="366">
        <v>2.2892000000000003E-2</v>
      </c>
      <c r="S11" s="366">
        <v>3.2375000000000001E-2</v>
      </c>
      <c r="T11" s="366">
        <v>3.0369999999999998E-2</v>
      </c>
      <c r="U11" s="366">
        <v>3.9362000000000001E-2</v>
      </c>
      <c r="V11" s="366">
        <v>3.764E-2</v>
      </c>
      <c r="W11" s="366">
        <v>8.3421000000000009E-2</v>
      </c>
      <c r="X11" s="366">
        <v>1.6216999999999999E-2</v>
      </c>
      <c r="Y11" s="366">
        <v>3.0573000000000003E-2</v>
      </c>
      <c r="Z11" s="366">
        <v>5.0826000000000003E-2</v>
      </c>
      <c r="AA11" s="366">
        <v>3.0148999999999999E-2</v>
      </c>
      <c r="AB11" s="366">
        <v>2.5826999999999999E-2</v>
      </c>
      <c r="AC11" s="366">
        <v>2.5108999999999999E-2</v>
      </c>
      <c r="AD11" s="366">
        <v>7.8949999999999992E-3</v>
      </c>
      <c r="AE11" s="166">
        <v>2.6000000000000002E-2</v>
      </c>
      <c r="AF11" s="166">
        <v>2.6000000000000002E-2</v>
      </c>
      <c r="AG11" s="166">
        <v>0.03</v>
      </c>
      <c r="AH11" s="367"/>
      <c r="AI11" s="368">
        <f>AVERAGE(B11:AG11)</f>
        <v>4.0739406250000006E-2</v>
      </c>
      <c r="AJ11" s="368">
        <f>_xlfn.STDEV.S(B11:AG11)</f>
        <v>1.9661659277368071E-2</v>
      </c>
      <c r="AK11" s="388"/>
    </row>
    <row r="12" spans="1:38" ht="24.95" customHeight="1">
      <c r="B12" s="367"/>
      <c r="C12" s="367"/>
      <c r="D12" s="367"/>
      <c r="E12" s="367"/>
      <c r="F12" s="367"/>
      <c r="G12" s="367"/>
      <c r="H12" s="367"/>
      <c r="I12" s="367"/>
      <c r="J12" s="367"/>
      <c r="K12" s="367"/>
      <c r="L12" s="367"/>
      <c r="M12" s="367"/>
      <c r="N12" s="367"/>
      <c r="O12" s="367"/>
      <c r="P12" s="367"/>
      <c r="Q12" s="367"/>
      <c r="R12" s="367"/>
      <c r="S12" s="367"/>
      <c r="T12" s="367"/>
      <c r="U12" s="367"/>
      <c r="V12" s="367"/>
      <c r="W12" s="367"/>
      <c r="X12" s="367"/>
      <c r="Y12" s="367"/>
      <c r="Z12" s="367"/>
      <c r="AA12" s="367"/>
      <c r="AB12" s="367"/>
      <c r="AC12" s="367"/>
      <c r="AD12" s="367"/>
      <c r="AE12" s="367"/>
      <c r="AF12" s="367"/>
      <c r="AG12" s="367"/>
      <c r="AH12" s="367"/>
      <c r="AI12" s="368"/>
      <c r="AJ12" s="368"/>
    </row>
    <row r="13" spans="1:38" ht="24.95" customHeight="1">
      <c r="B13" s="367"/>
      <c r="C13" s="367"/>
      <c r="D13" s="367"/>
      <c r="E13" s="367"/>
      <c r="F13" s="367"/>
      <c r="G13" s="367"/>
      <c r="H13" s="367"/>
      <c r="I13" s="367"/>
      <c r="J13" s="367"/>
      <c r="K13" s="367"/>
      <c r="L13" s="367"/>
      <c r="M13" s="367"/>
      <c r="N13" s="367"/>
      <c r="O13" s="367"/>
      <c r="P13" s="367"/>
      <c r="Q13" s="367"/>
      <c r="R13" s="367"/>
      <c r="S13" s="367"/>
      <c r="T13" s="367"/>
      <c r="U13" s="367"/>
      <c r="V13" s="367"/>
      <c r="W13" s="367"/>
      <c r="X13" s="367"/>
      <c r="Y13" s="367"/>
      <c r="Z13" s="367"/>
      <c r="AA13" s="367"/>
      <c r="AB13" s="367"/>
      <c r="AC13" s="367"/>
      <c r="AD13" s="367"/>
      <c r="AE13" s="367"/>
      <c r="AF13" s="367"/>
      <c r="AG13" s="367"/>
      <c r="AH13" s="367"/>
      <c r="AI13" s="368"/>
      <c r="AJ13" s="368"/>
    </row>
    <row r="14" spans="1:38" ht="24.95" customHeight="1">
      <c r="B14" s="367"/>
      <c r="C14" s="367"/>
      <c r="D14" s="367"/>
      <c r="E14" s="367"/>
      <c r="F14" s="367"/>
      <c r="G14" s="367"/>
      <c r="H14" s="367"/>
      <c r="I14" s="367"/>
      <c r="J14" s="367"/>
      <c r="K14" s="367"/>
      <c r="L14" s="367"/>
      <c r="M14" s="367"/>
      <c r="N14" s="367"/>
      <c r="O14" s="367"/>
      <c r="P14" s="367"/>
      <c r="Q14" s="367"/>
      <c r="R14" s="367"/>
      <c r="S14" s="367"/>
      <c r="T14" s="367"/>
      <c r="U14" s="367"/>
      <c r="V14" s="367"/>
      <c r="W14" s="367"/>
      <c r="X14" s="367"/>
      <c r="Y14" s="367"/>
      <c r="Z14" s="367"/>
      <c r="AA14" s="367"/>
      <c r="AB14" s="367"/>
      <c r="AC14" s="367"/>
      <c r="AD14" s="367"/>
      <c r="AE14" s="367"/>
      <c r="AF14" s="367"/>
      <c r="AG14" s="367"/>
      <c r="AH14" s="367"/>
      <c r="AI14" s="368"/>
      <c r="AJ14" s="368"/>
    </row>
    <row r="15" spans="1:38" ht="24.95" customHeight="1">
      <c r="B15" s="367"/>
      <c r="C15" s="367"/>
      <c r="D15" s="367"/>
      <c r="E15" s="367"/>
      <c r="F15" s="367"/>
      <c r="G15" s="367"/>
      <c r="H15" s="367"/>
      <c r="I15" s="367"/>
      <c r="J15" s="367"/>
      <c r="K15" s="367"/>
      <c r="L15" s="367"/>
      <c r="M15" s="367"/>
      <c r="N15" s="367"/>
      <c r="O15" s="367"/>
      <c r="P15" s="367"/>
      <c r="Q15" s="367"/>
      <c r="R15" s="367"/>
      <c r="S15" s="367"/>
      <c r="T15" s="367"/>
      <c r="U15" s="367"/>
      <c r="V15" s="367"/>
      <c r="W15" s="367"/>
      <c r="X15" s="367"/>
      <c r="Y15" s="367"/>
      <c r="Z15" s="367"/>
      <c r="AA15" s="367"/>
      <c r="AB15" s="367"/>
      <c r="AC15" s="367"/>
      <c r="AD15" s="367"/>
      <c r="AE15" s="367"/>
      <c r="AF15" s="367"/>
      <c r="AG15" s="367"/>
      <c r="AH15" s="367"/>
      <c r="AI15" s="368"/>
      <c r="AJ15" s="368"/>
    </row>
    <row r="16" spans="1:38" ht="24.95" customHeight="1">
      <c r="B16" s="367"/>
      <c r="C16" s="367"/>
      <c r="D16" s="367"/>
      <c r="E16" s="367"/>
      <c r="F16" s="367"/>
      <c r="G16" s="367"/>
      <c r="H16" s="367"/>
      <c r="I16" s="367"/>
      <c r="J16" s="367"/>
      <c r="K16" s="367"/>
      <c r="L16" s="367"/>
      <c r="M16" s="367"/>
      <c r="N16" s="367"/>
      <c r="O16" s="367"/>
      <c r="P16" s="367"/>
      <c r="Q16" s="367"/>
      <c r="R16" s="367"/>
      <c r="S16" s="367"/>
      <c r="T16" s="367"/>
      <c r="U16" s="367"/>
      <c r="V16" s="367"/>
      <c r="W16" s="367"/>
      <c r="X16" s="367"/>
      <c r="Y16" s="367"/>
      <c r="Z16" s="367"/>
      <c r="AA16" s="367"/>
      <c r="AB16" s="367"/>
      <c r="AC16" s="367"/>
      <c r="AD16" s="367"/>
      <c r="AE16" s="367"/>
      <c r="AF16" s="367"/>
      <c r="AG16" s="367"/>
      <c r="AH16" s="367"/>
      <c r="AI16" s="367"/>
      <c r="AJ16" s="367"/>
    </row>
    <row r="17" spans="2:36" ht="24.95" customHeight="1">
      <c r="B17" s="367"/>
      <c r="C17" s="367"/>
      <c r="D17" s="367"/>
      <c r="E17" s="367"/>
      <c r="F17" s="367"/>
      <c r="G17" s="367"/>
      <c r="H17" s="367"/>
      <c r="I17" s="367"/>
      <c r="J17" s="367"/>
      <c r="K17" s="367"/>
      <c r="L17" s="367"/>
      <c r="M17" s="367"/>
      <c r="N17" s="367"/>
      <c r="O17" s="367"/>
      <c r="P17" s="367"/>
      <c r="Q17" s="367"/>
      <c r="R17" s="367"/>
      <c r="S17" s="367"/>
      <c r="T17" s="367"/>
      <c r="U17" s="367"/>
      <c r="V17" s="367"/>
      <c r="W17" s="367"/>
      <c r="X17" s="367"/>
      <c r="Y17" s="367"/>
      <c r="Z17" s="367"/>
      <c r="AA17" s="367"/>
      <c r="AB17" s="367"/>
      <c r="AC17" s="367"/>
      <c r="AD17" s="367"/>
      <c r="AE17" s="367"/>
      <c r="AF17" s="367"/>
      <c r="AG17" s="367"/>
      <c r="AH17" s="367"/>
      <c r="AI17" s="367"/>
      <c r="AJ17" s="367"/>
    </row>
    <row r="18" spans="2:36" ht="24.95" customHeight="1">
      <c r="B18" s="367"/>
      <c r="C18" s="367"/>
      <c r="D18" s="367"/>
      <c r="E18" s="367"/>
      <c r="F18" s="367"/>
      <c r="G18" s="367"/>
      <c r="H18" s="367"/>
      <c r="I18" s="367"/>
      <c r="J18" s="367"/>
      <c r="K18" s="367"/>
      <c r="L18" s="367"/>
      <c r="M18" s="367"/>
      <c r="N18" s="367"/>
      <c r="O18" s="367"/>
      <c r="P18" s="367"/>
      <c r="Q18" s="367"/>
      <c r="R18" s="367"/>
      <c r="S18" s="367"/>
      <c r="T18" s="367"/>
      <c r="U18" s="367"/>
      <c r="V18" s="367"/>
      <c r="W18" s="367"/>
      <c r="X18" s="367"/>
      <c r="Y18" s="367"/>
      <c r="Z18" s="367"/>
      <c r="AA18" s="367"/>
      <c r="AB18" s="367"/>
      <c r="AC18" s="367"/>
      <c r="AD18" s="367"/>
      <c r="AE18" s="367"/>
      <c r="AF18" s="367"/>
      <c r="AG18" s="367"/>
      <c r="AH18" s="367"/>
      <c r="AI18" s="367"/>
      <c r="AJ18" s="367"/>
    </row>
    <row r="19" spans="2:36" ht="24.95" customHeight="1">
      <c r="B19" s="367"/>
      <c r="C19" s="367"/>
      <c r="D19" s="367"/>
      <c r="E19" s="367"/>
      <c r="F19" s="367"/>
      <c r="G19" s="367"/>
      <c r="H19" s="367"/>
      <c r="I19" s="367"/>
      <c r="J19" s="367"/>
      <c r="K19" s="367"/>
      <c r="L19" s="367"/>
      <c r="M19" s="367"/>
      <c r="N19" s="367"/>
      <c r="O19" s="367"/>
      <c r="P19" s="367"/>
      <c r="Q19" s="367"/>
      <c r="R19" s="367"/>
      <c r="S19" s="367"/>
      <c r="T19" s="367"/>
      <c r="U19" s="367"/>
      <c r="V19" s="367"/>
      <c r="W19" s="367"/>
      <c r="X19" s="367"/>
      <c r="Y19" s="367"/>
      <c r="Z19" s="367"/>
      <c r="AA19" s="367"/>
      <c r="AB19" s="367"/>
      <c r="AC19" s="367"/>
      <c r="AD19" s="367"/>
      <c r="AE19" s="367"/>
      <c r="AF19" s="367"/>
      <c r="AG19" s="367"/>
      <c r="AH19" s="367"/>
      <c r="AI19" s="367"/>
      <c r="AJ19" s="367"/>
    </row>
    <row r="20" spans="2:36" ht="24.95" customHeight="1">
      <c r="B20" s="367"/>
      <c r="C20" s="367"/>
      <c r="D20" s="367"/>
      <c r="E20" s="367"/>
      <c r="F20" s="367"/>
      <c r="G20" s="367"/>
      <c r="H20" s="367"/>
      <c r="I20" s="367"/>
      <c r="J20" s="367"/>
      <c r="K20" s="367"/>
      <c r="L20" s="367"/>
      <c r="M20" s="367"/>
      <c r="N20" s="367"/>
      <c r="O20" s="367"/>
      <c r="P20" s="367"/>
      <c r="Q20" s="367"/>
      <c r="R20" s="367"/>
      <c r="S20" s="367"/>
      <c r="T20" s="367"/>
      <c r="U20" s="367"/>
      <c r="V20" s="367"/>
      <c r="W20" s="367"/>
      <c r="X20" s="367"/>
      <c r="Y20" s="367"/>
      <c r="Z20" s="367"/>
      <c r="AA20" s="367"/>
      <c r="AB20" s="367"/>
      <c r="AC20" s="367"/>
      <c r="AD20" s="367"/>
      <c r="AE20" s="367"/>
      <c r="AF20" s="367"/>
      <c r="AG20" s="367"/>
      <c r="AH20" s="367"/>
      <c r="AI20" s="367"/>
      <c r="AJ20" s="367"/>
    </row>
    <row r="21" spans="2:36" ht="24.95" customHeight="1">
      <c r="B21" s="367"/>
      <c r="C21" s="367"/>
      <c r="D21" s="367"/>
      <c r="E21" s="367"/>
      <c r="F21" s="367"/>
      <c r="G21" s="367"/>
      <c r="H21" s="367"/>
      <c r="I21" s="367"/>
      <c r="J21" s="367"/>
      <c r="K21" s="367"/>
      <c r="L21" s="367"/>
      <c r="M21" s="367"/>
      <c r="N21" s="367"/>
      <c r="O21" s="367"/>
      <c r="P21" s="367"/>
      <c r="Q21" s="367"/>
      <c r="R21" s="367"/>
      <c r="S21" s="367"/>
      <c r="T21" s="367"/>
      <c r="U21" s="367"/>
      <c r="V21" s="367"/>
      <c r="W21" s="367"/>
      <c r="X21" s="367"/>
      <c r="Y21" s="367"/>
      <c r="Z21" s="367"/>
      <c r="AA21" s="367"/>
      <c r="AB21" s="367"/>
      <c r="AC21" s="367"/>
      <c r="AD21" s="367"/>
      <c r="AE21" s="367"/>
      <c r="AF21" s="367"/>
      <c r="AG21" s="367"/>
      <c r="AH21" s="367"/>
      <c r="AI21" s="367"/>
      <c r="AJ21" s="367"/>
    </row>
    <row r="22" spans="2:36" ht="24.95" customHeight="1">
      <c r="B22" s="367"/>
      <c r="C22" s="367"/>
      <c r="D22" s="367"/>
      <c r="E22" s="367"/>
      <c r="F22" s="367"/>
      <c r="G22" s="367"/>
      <c r="H22" s="367"/>
      <c r="I22" s="367"/>
      <c r="J22" s="367"/>
      <c r="K22" s="367"/>
      <c r="L22" s="367"/>
      <c r="M22" s="367"/>
      <c r="N22" s="367"/>
      <c r="O22" s="367"/>
      <c r="P22" s="367"/>
      <c r="Q22" s="367"/>
      <c r="R22" s="367"/>
      <c r="S22" s="367"/>
      <c r="T22" s="367"/>
      <c r="U22" s="367"/>
      <c r="V22" s="367"/>
      <c r="W22" s="367"/>
      <c r="X22" s="367"/>
      <c r="Y22" s="367"/>
      <c r="Z22" s="367"/>
      <c r="AA22" s="367"/>
      <c r="AB22" s="367"/>
      <c r="AC22" s="367"/>
      <c r="AD22" s="367"/>
      <c r="AE22" s="367"/>
      <c r="AF22" s="367"/>
      <c r="AG22" s="367"/>
      <c r="AH22" s="367"/>
      <c r="AI22" s="367"/>
      <c r="AJ22" s="367"/>
    </row>
    <row r="23" spans="2:36" ht="24.95" customHeight="1">
      <c r="B23" s="367"/>
      <c r="C23" s="367"/>
      <c r="D23" s="367"/>
      <c r="E23" s="367"/>
      <c r="F23" s="367"/>
      <c r="G23" s="367"/>
      <c r="H23" s="367"/>
      <c r="I23" s="367"/>
      <c r="J23" s="367"/>
      <c r="K23" s="367"/>
      <c r="L23" s="367"/>
      <c r="M23" s="367"/>
      <c r="N23" s="367"/>
      <c r="O23" s="367"/>
      <c r="P23" s="367"/>
      <c r="Q23" s="367"/>
      <c r="R23" s="367"/>
      <c r="S23" s="367"/>
      <c r="T23" s="367"/>
      <c r="U23" s="367"/>
      <c r="V23" s="367"/>
      <c r="W23" s="367"/>
      <c r="X23" s="367"/>
      <c r="Y23" s="367"/>
      <c r="Z23" s="367"/>
      <c r="AA23" s="367"/>
      <c r="AB23" s="367"/>
      <c r="AC23" s="367"/>
      <c r="AD23" s="367"/>
      <c r="AE23" s="367"/>
      <c r="AF23" s="367"/>
      <c r="AG23" s="367"/>
      <c r="AH23" s="367"/>
      <c r="AI23" s="367"/>
      <c r="AJ23" s="367"/>
    </row>
    <row r="24" spans="2:36" ht="24.95" customHeight="1">
      <c r="B24" s="367"/>
      <c r="C24" s="367"/>
      <c r="D24" s="367"/>
      <c r="E24" s="367"/>
      <c r="F24" s="367"/>
      <c r="G24" s="367"/>
      <c r="H24" s="367"/>
      <c r="I24" s="367"/>
      <c r="J24" s="367"/>
      <c r="K24" s="367"/>
      <c r="L24" s="367"/>
      <c r="M24" s="367"/>
      <c r="N24" s="367"/>
      <c r="O24" s="367"/>
      <c r="P24" s="367"/>
      <c r="Q24" s="367"/>
      <c r="R24" s="367"/>
      <c r="S24" s="367"/>
      <c r="T24" s="367"/>
      <c r="U24" s="367"/>
      <c r="V24" s="367"/>
      <c r="W24" s="367"/>
      <c r="X24" s="367"/>
      <c r="Y24" s="367"/>
      <c r="Z24" s="367"/>
      <c r="AA24" s="367"/>
      <c r="AB24" s="367"/>
      <c r="AC24" s="367"/>
      <c r="AD24" s="367"/>
      <c r="AE24" s="367"/>
      <c r="AF24" s="367"/>
      <c r="AG24" s="367"/>
      <c r="AH24" s="367"/>
      <c r="AI24" s="367"/>
      <c r="AJ24" s="367"/>
    </row>
    <row r="25" spans="2:36" ht="24.95" customHeight="1">
      <c r="B25" s="367"/>
      <c r="C25" s="367"/>
      <c r="D25" s="367"/>
      <c r="E25" s="367"/>
      <c r="F25" s="367"/>
      <c r="G25" s="367"/>
      <c r="H25" s="367"/>
      <c r="I25" s="367"/>
      <c r="J25" s="367"/>
      <c r="K25" s="367"/>
      <c r="L25" s="367"/>
      <c r="M25" s="367"/>
      <c r="N25" s="367"/>
      <c r="O25" s="367"/>
      <c r="P25" s="367"/>
      <c r="Q25" s="367"/>
      <c r="R25" s="367"/>
      <c r="S25" s="367"/>
      <c r="T25" s="367"/>
      <c r="U25" s="367"/>
      <c r="V25" s="367"/>
      <c r="W25" s="367"/>
      <c r="X25" s="367"/>
      <c r="Y25" s="367"/>
      <c r="Z25" s="367"/>
      <c r="AA25" s="367"/>
      <c r="AB25" s="367"/>
      <c r="AC25" s="367"/>
      <c r="AD25" s="367"/>
      <c r="AE25" s="367"/>
      <c r="AF25" s="367"/>
      <c r="AG25" s="367"/>
      <c r="AH25" s="367"/>
      <c r="AI25" s="367"/>
      <c r="AJ25" s="367"/>
    </row>
    <row r="26" spans="2:36" ht="24.95" customHeight="1">
      <c r="B26" s="367"/>
      <c r="C26" s="367"/>
      <c r="D26" s="367"/>
      <c r="E26" s="367"/>
      <c r="F26" s="367"/>
      <c r="G26" s="367"/>
      <c r="H26" s="367"/>
      <c r="I26" s="367"/>
      <c r="J26" s="367"/>
      <c r="K26" s="367"/>
      <c r="L26" s="367"/>
      <c r="M26" s="367"/>
      <c r="N26" s="367"/>
      <c r="O26" s="367"/>
      <c r="P26" s="367"/>
      <c r="Q26" s="367"/>
      <c r="R26" s="367"/>
      <c r="S26" s="367"/>
      <c r="T26" s="367"/>
      <c r="U26" s="367"/>
      <c r="V26" s="367"/>
      <c r="W26" s="367"/>
      <c r="X26" s="367"/>
      <c r="Y26" s="367"/>
      <c r="Z26" s="367"/>
      <c r="AA26" s="367"/>
      <c r="AB26" s="367"/>
      <c r="AC26" s="367"/>
      <c r="AD26" s="367"/>
      <c r="AE26" s="367"/>
      <c r="AF26" s="367"/>
      <c r="AG26" s="367"/>
      <c r="AH26" s="367"/>
      <c r="AI26" s="367"/>
      <c r="AJ26" s="367"/>
    </row>
    <row r="27" spans="2:36" ht="24.95" customHeight="1">
      <c r="B27" s="367"/>
      <c r="C27" s="367"/>
      <c r="D27" s="367"/>
      <c r="E27" s="367"/>
      <c r="F27" s="367"/>
      <c r="G27" s="367"/>
      <c r="H27" s="367"/>
      <c r="I27" s="367"/>
      <c r="J27" s="367"/>
      <c r="K27" s="367"/>
      <c r="L27" s="367"/>
      <c r="M27" s="367"/>
      <c r="N27" s="367"/>
      <c r="O27" s="367"/>
      <c r="P27" s="367"/>
      <c r="Q27" s="367"/>
      <c r="R27" s="367"/>
      <c r="S27" s="367"/>
      <c r="T27" s="367"/>
      <c r="U27" s="367"/>
      <c r="V27" s="367"/>
      <c r="W27" s="367"/>
      <c r="X27" s="367"/>
      <c r="Y27" s="367"/>
      <c r="Z27" s="367"/>
      <c r="AA27" s="367"/>
      <c r="AB27" s="367"/>
      <c r="AC27" s="367"/>
      <c r="AD27" s="367"/>
      <c r="AE27" s="367"/>
      <c r="AF27" s="367"/>
      <c r="AG27" s="367"/>
      <c r="AH27" s="367"/>
      <c r="AI27" s="367"/>
      <c r="AJ27" s="367"/>
    </row>
    <row r="28" spans="2:36" ht="24.95" customHeight="1">
      <c r="B28" s="367"/>
      <c r="C28" s="367"/>
      <c r="D28" s="367"/>
      <c r="E28" s="367"/>
      <c r="F28" s="367"/>
      <c r="G28" s="367"/>
      <c r="H28" s="367"/>
      <c r="I28" s="367"/>
      <c r="J28" s="367"/>
      <c r="K28" s="367"/>
      <c r="L28" s="367"/>
      <c r="M28" s="367"/>
      <c r="N28" s="367"/>
      <c r="O28" s="367"/>
      <c r="P28" s="367"/>
      <c r="Q28" s="367"/>
      <c r="R28" s="367"/>
      <c r="S28" s="367"/>
      <c r="T28" s="367"/>
      <c r="U28" s="367"/>
      <c r="V28" s="367"/>
      <c r="W28" s="367"/>
      <c r="X28" s="367"/>
      <c r="Y28" s="367"/>
      <c r="Z28" s="367"/>
      <c r="AA28" s="367"/>
      <c r="AB28" s="367"/>
      <c r="AC28" s="367"/>
      <c r="AD28" s="367"/>
      <c r="AE28" s="367"/>
      <c r="AF28" s="367"/>
      <c r="AG28" s="367"/>
      <c r="AH28" s="367"/>
      <c r="AI28" s="367"/>
      <c r="AJ28" s="367"/>
    </row>
    <row r="29" spans="2:36" ht="24.95" customHeight="1">
      <c r="B29" s="367"/>
      <c r="C29" s="367"/>
      <c r="D29" s="367"/>
      <c r="E29" s="367"/>
      <c r="F29" s="367"/>
      <c r="G29" s="367"/>
      <c r="H29" s="367"/>
      <c r="I29" s="367"/>
      <c r="J29" s="367"/>
      <c r="K29" s="367"/>
      <c r="L29" s="367"/>
      <c r="M29" s="367"/>
      <c r="N29" s="367"/>
      <c r="O29" s="367"/>
      <c r="P29" s="367"/>
      <c r="Q29" s="367"/>
      <c r="R29" s="367"/>
      <c r="S29" s="367"/>
      <c r="T29" s="367"/>
      <c r="U29" s="367"/>
      <c r="V29" s="367"/>
      <c r="W29" s="367"/>
      <c r="X29" s="367"/>
      <c r="Y29" s="367"/>
      <c r="Z29" s="367"/>
      <c r="AA29" s="367"/>
      <c r="AB29" s="367"/>
      <c r="AC29" s="367"/>
      <c r="AD29" s="367"/>
      <c r="AE29" s="367"/>
      <c r="AF29" s="367"/>
      <c r="AG29" s="367"/>
      <c r="AH29" s="367"/>
      <c r="AI29" s="367"/>
      <c r="AJ29" s="367"/>
    </row>
    <row r="30" spans="2:36" ht="24.95" customHeight="1">
      <c r="B30" s="367"/>
      <c r="C30" s="367"/>
      <c r="D30" s="367"/>
      <c r="E30" s="367"/>
      <c r="F30" s="367"/>
      <c r="G30" s="367"/>
      <c r="H30" s="367"/>
      <c r="I30" s="367"/>
      <c r="J30" s="367"/>
      <c r="K30" s="367"/>
      <c r="L30" s="367"/>
      <c r="M30" s="367"/>
      <c r="N30" s="367"/>
      <c r="O30" s="367"/>
      <c r="P30" s="367"/>
      <c r="Q30" s="367"/>
      <c r="R30" s="367"/>
      <c r="S30" s="367"/>
      <c r="T30" s="367"/>
      <c r="U30" s="367"/>
      <c r="V30" s="367"/>
      <c r="W30" s="367"/>
      <c r="X30" s="367"/>
      <c r="Y30" s="367"/>
      <c r="Z30" s="367"/>
      <c r="AA30" s="367"/>
      <c r="AB30" s="367"/>
      <c r="AC30" s="367"/>
      <c r="AD30" s="367"/>
      <c r="AE30" s="367"/>
      <c r="AF30" s="367"/>
      <c r="AG30" s="367"/>
      <c r="AH30" s="367"/>
      <c r="AI30" s="367"/>
      <c r="AJ30" s="367"/>
    </row>
    <row r="31" spans="2:36" ht="24.95" customHeight="1">
      <c r="B31" s="367"/>
      <c r="C31" s="367"/>
      <c r="D31" s="367"/>
      <c r="E31" s="367"/>
      <c r="F31" s="367"/>
      <c r="G31" s="367"/>
      <c r="H31" s="367"/>
      <c r="I31" s="367"/>
      <c r="J31" s="367"/>
      <c r="K31" s="367"/>
      <c r="L31" s="367"/>
      <c r="M31" s="367"/>
      <c r="N31" s="367"/>
      <c r="O31" s="367"/>
      <c r="P31" s="367"/>
      <c r="Q31" s="367"/>
      <c r="R31" s="367"/>
      <c r="S31" s="367"/>
      <c r="T31" s="367"/>
      <c r="U31" s="367"/>
      <c r="V31" s="367"/>
      <c r="W31" s="367"/>
      <c r="X31" s="367"/>
      <c r="Y31" s="367"/>
      <c r="Z31" s="367"/>
      <c r="AA31" s="367"/>
      <c r="AB31" s="367"/>
      <c r="AC31" s="367"/>
      <c r="AD31" s="367"/>
      <c r="AE31" s="367"/>
      <c r="AF31" s="367"/>
      <c r="AG31" s="367"/>
      <c r="AH31" s="367"/>
      <c r="AI31" s="367"/>
      <c r="AJ31" s="367"/>
    </row>
    <row r="32" spans="2:36" ht="24.95" customHeight="1">
      <c r="B32" s="367"/>
      <c r="C32" s="367"/>
      <c r="D32" s="367"/>
      <c r="E32" s="367"/>
      <c r="F32" s="367"/>
      <c r="G32" s="367"/>
      <c r="H32" s="367"/>
      <c r="I32" s="367"/>
      <c r="J32" s="367"/>
      <c r="K32" s="367"/>
      <c r="L32" s="367"/>
      <c r="M32" s="367"/>
      <c r="N32" s="367"/>
      <c r="O32" s="367"/>
      <c r="P32" s="367"/>
      <c r="Q32" s="367"/>
      <c r="R32" s="367"/>
      <c r="S32" s="367"/>
      <c r="T32" s="367"/>
      <c r="U32" s="367"/>
      <c r="V32" s="367"/>
      <c r="W32" s="367"/>
      <c r="X32" s="367"/>
      <c r="Y32" s="367"/>
      <c r="Z32" s="367"/>
      <c r="AA32" s="367"/>
      <c r="AB32" s="367"/>
      <c r="AC32" s="367"/>
      <c r="AD32" s="367"/>
      <c r="AE32" s="367"/>
      <c r="AF32" s="367"/>
      <c r="AG32" s="367"/>
      <c r="AH32" s="367"/>
      <c r="AI32" s="367"/>
      <c r="AJ32" s="367"/>
    </row>
    <row r="33" spans="2:36" ht="24.95" customHeight="1">
      <c r="B33" s="367"/>
      <c r="C33" s="367"/>
      <c r="D33" s="367"/>
      <c r="E33" s="367"/>
      <c r="F33" s="367"/>
      <c r="G33" s="367"/>
      <c r="H33" s="367"/>
      <c r="I33" s="367"/>
      <c r="J33" s="367"/>
      <c r="K33" s="367"/>
      <c r="L33" s="367"/>
      <c r="M33" s="367"/>
      <c r="N33" s="367"/>
      <c r="O33" s="367"/>
      <c r="P33" s="367"/>
      <c r="Q33" s="367"/>
      <c r="R33" s="367"/>
      <c r="S33" s="367"/>
      <c r="T33" s="367"/>
      <c r="U33" s="367"/>
      <c r="V33" s="367"/>
      <c r="W33" s="367"/>
      <c r="X33" s="367"/>
      <c r="Y33" s="367"/>
      <c r="Z33" s="367"/>
      <c r="AA33" s="367"/>
      <c r="AB33" s="367"/>
      <c r="AC33" s="367"/>
      <c r="AD33" s="367"/>
      <c r="AE33" s="367"/>
      <c r="AF33" s="367"/>
      <c r="AG33" s="367"/>
      <c r="AH33" s="367"/>
      <c r="AI33" s="367"/>
      <c r="AJ33" s="367"/>
    </row>
    <row r="34" spans="2:36" ht="24.95" customHeight="1">
      <c r="B34" s="367"/>
      <c r="C34" s="367"/>
      <c r="D34" s="367"/>
      <c r="E34" s="367"/>
      <c r="F34" s="367"/>
      <c r="G34" s="367"/>
      <c r="H34" s="367"/>
      <c r="I34" s="367"/>
      <c r="J34" s="367"/>
      <c r="K34" s="367"/>
      <c r="L34" s="367"/>
      <c r="M34" s="367"/>
      <c r="N34" s="367"/>
      <c r="O34" s="367"/>
      <c r="P34" s="367"/>
      <c r="Q34" s="367"/>
      <c r="R34" s="367"/>
      <c r="S34" s="367"/>
      <c r="T34" s="367"/>
      <c r="U34" s="367"/>
      <c r="V34" s="367"/>
      <c r="W34" s="367"/>
      <c r="X34" s="367"/>
      <c r="Y34" s="367"/>
      <c r="Z34" s="367"/>
      <c r="AA34" s="367"/>
      <c r="AB34" s="367"/>
      <c r="AC34" s="367"/>
      <c r="AD34" s="367"/>
      <c r="AE34" s="367"/>
      <c r="AF34" s="367"/>
      <c r="AG34" s="367"/>
      <c r="AH34" s="367"/>
      <c r="AI34" s="367"/>
      <c r="AJ34" s="367"/>
    </row>
    <row r="35" spans="2:36" ht="24.95" customHeight="1">
      <c r="B35" s="367"/>
      <c r="C35" s="367"/>
      <c r="D35" s="367"/>
      <c r="E35" s="367"/>
      <c r="F35" s="367"/>
      <c r="G35" s="367"/>
      <c r="H35" s="367"/>
      <c r="I35" s="367"/>
      <c r="J35" s="367"/>
      <c r="K35" s="367"/>
      <c r="L35" s="367"/>
      <c r="M35" s="367"/>
      <c r="N35" s="367"/>
      <c r="O35" s="367"/>
      <c r="P35" s="367"/>
      <c r="Q35" s="367"/>
      <c r="R35" s="367"/>
      <c r="S35" s="367"/>
      <c r="T35" s="367"/>
      <c r="U35" s="367"/>
      <c r="V35" s="367"/>
      <c r="W35" s="367"/>
      <c r="X35" s="367"/>
      <c r="Y35" s="367"/>
      <c r="Z35" s="367"/>
      <c r="AA35" s="367"/>
      <c r="AB35" s="367"/>
      <c r="AC35" s="367"/>
      <c r="AD35" s="367"/>
      <c r="AE35" s="367"/>
      <c r="AF35" s="367"/>
      <c r="AG35" s="367"/>
      <c r="AH35" s="367"/>
      <c r="AI35" s="367"/>
      <c r="AJ35" s="367"/>
    </row>
    <row r="36" spans="2:36" ht="24.95" customHeight="1">
      <c r="B36" s="367"/>
      <c r="C36" s="367"/>
      <c r="D36" s="367"/>
      <c r="E36" s="367"/>
      <c r="F36" s="367"/>
      <c r="G36" s="367"/>
      <c r="H36" s="367"/>
      <c r="I36" s="367"/>
      <c r="J36" s="367"/>
      <c r="K36" s="367"/>
      <c r="L36" s="367"/>
      <c r="M36" s="367"/>
      <c r="N36" s="367"/>
      <c r="O36" s="367"/>
      <c r="P36" s="367"/>
      <c r="Q36" s="367"/>
      <c r="R36" s="367"/>
      <c r="S36" s="367"/>
      <c r="T36" s="367"/>
      <c r="U36" s="367"/>
      <c r="V36" s="367"/>
      <c r="W36" s="367"/>
      <c r="X36" s="367"/>
      <c r="Y36" s="367"/>
      <c r="Z36" s="367"/>
      <c r="AA36" s="367"/>
      <c r="AB36" s="367"/>
      <c r="AC36" s="367"/>
      <c r="AD36" s="367"/>
      <c r="AE36" s="367"/>
      <c r="AF36" s="367"/>
      <c r="AG36" s="367"/>
      <c r="AH36" s="367"/>
      <c r="AI36" s="367"/>
      <c r="AJ36" s="367"/>
    </row>
  </sheetData>
  <mergeCells count="1">
    <mergeCell ref="A3:B3"/>
  </mergeCells>
  <pageMargins left="0.7" right="0.7" top="0.75" bottom="0.75" header="0.3" footer="0.3"/>
  <pageSetup paperSize="9" orientation="portrait" horizontalDpi="4294967293"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CF2E4-4B81-4A9A-8E61-C716989BE8A7}">
  <dimension ref="A1:AH7"/>
  <sheetViews>
    <sheetView topLeftCell="AC1" workbookViewId="0">
      <selection activeCell="AG11" sqref="AG11"/>
    </sheetView>
  </sheetViews>
  <sheetFormatPr defaultColWidth="25.83203125" defaultRowHeight="24.95" customHeight="1"/>
  <cols>
    <col min="1" max="16384" width="25.83203125" style="39"/>
  </cols>
  <sheetData>
    <row r="1" spans="1:34" ht="24.95" customHeight="1">
      <c r="A1" s="172" t="s">
        <v>489</v>
      </c>
    </row>
    <row r="2" spans="1:34" ht="24.95" customHeight="1">
      <c r="A2" s="87" t="s">
        <v>492</v>
      </c>
    </row>
    <row r="5" spans="1:34" ht="24.95" customHeight="1">
      <c r="A5" s="227" t="s">
        <v>490</v>
      </c>
      <c r="B5" s="225"/>
      <c r="C5" s="228" t="s">
        <v>493</v>
      </c>
      <c r="D5" s="228" t="s">
        <v>494</v>
      </c>
      <c r="E5" s="228" t="s">
        <v>495</v>
      </c>
      <c r="F5" s="228" t="s">
        <v>496</v>
      </c>
      <c r="G5" s="228" t="s">
        <v>497</v>
      </c>
      <c r="H5" s="228" t="s">
        <v>498</v>
      </c>
      <c r="I5" s="228" t="s">
        <v>499</v>
      </c>
      <c r="J5" s="228" t="s">
        <v>500</v>
      </c>
      <c r="K5" s="228" t="s">
        <v>501</v>
      </c>
      <c r="L5" s="228" t="s">
        <v>502</v>
      </c>
      <c r="M5" s="228" t="s">
        <v>503</v>
      </c>
      <c r="N5" s="228" t="s">
        <v>504</v>
      </c>
      <c r="O5" s="228" t="s">
        <v>505</v>
      </c>
      <c r="P5" s="228" t="s">
        <v>506</v>
      </c>
      <c r="Q5" s="228" t="s">
        <v>507</v>
      </c>
      <c r="R5" s="228" t="s">
        <v>508</v>
      </c>
      <c r="S5" s="228" t="s">
        <v>509</v>
      </c>
      <c r="T5" s="228" t="s">
        <v>510</v>
      </c>
      <c r="U5" s="228" t="s">
        <v>511</v>
      </c>
      <c r="V5" s="228" t="s">
        <v>512</v>
      </c>
      <c r="W5" s="228" t="s">
        <v>513</v>
      </c>
      <c r="X5" s="228" t="s">
        <v>514</v>
      </c>
      <c r="Y5" s="228" t="s">
        <v>515</v>
      </c>
      <c r="Z5" s="228" t="s">
        <v>516</v>
      </c>
      <c r="AA5" s="228" t="s">
        <v>517</v>
      </c>
      <c r="AB5" s="228" t="s">
        <v>518</v>
      </c>
      <c r="AC5" s="228" t="s">
        <v>519</v>
      </c>
      <c r="AD5" s="228" t="s">
        <v>520</v>
      </c>
      <c r="AE5" s="228" t="s">
        <v>521</v>
      </c>
      <c r="AF5" s="228" t="s">
        <v>522</v>
      </c>
      <c r="AG5" s="228" t="s">
        <v>523</v>
      </c>
      <c r="AH5" s="228" t="s">
        <v>524</v>
      </c>
    </row>
    <row r="6" spans="1:34" ht="24.95" customHeight="1">
      <c r="A6" s="224"/>
      <c r="B6" s="225"/>
      <c r="C6" s="226"/>
      <c r="D6" s="226"/>
      <c r="E6" s="226"/>
      <c r="F6" s="226"/>
      <c r="G6" s="226"/>
      <c r="H6" s="226"/>
      <c r="I6" s="226"/>
      <c r="J6" s="226"/>
      <c r="K6" s="226"/>
      <c r="L6" s="226"/>
      <c r="M6" s="226"/>
      <c r="N6" s="226"/>
      <c r="O6" s="226"/>
      <c r="P6" s="226"/>
      <c r="Q6" s="226"/>
      <c r="R6" s="226"/>
      <c r="S6" s="226"/>
      <c r="T6" s="226"/>
      <c r="U6" s="226"/>
      <c r="V6" s="226"/>
      <c r="W6" s="226"/>
      <c r="X6" s="226"/>
      <c r="Y6" s="226"/>
      <c r="Z6" s="226"/>
      <c r="AA6" s="226"/>
      <c r="AB6" s="226"/>
      <c r="AC6" s="226"/>
      <c r="AD6" s="226"/>
      <c r="AE6" s="226"/>
      <c r="AF6" s="226"/>
      <c r="AG6" s="226"/>
      <c r="AH6" s="226"/>
    </row>
    <row r="7" spans="1:34" ht="24.95" customHeight="1">
      <c r="A7" s="227" t="s">
        <v>491</v>
      </c>
      <c r="B7" s="225"/>
      <c r="C7" s="370">
        <v>1826.2</v>
      </c>
      <c r="D7" s="370">
        <v>2093.6999999999998</v>
      </c>
      <c r="E7" s="370">
        <v>2246.1999999999998</v>
      </c>
      <c r="F7" s="370">
        <v>2476.4</v>
      </c>
      <c r="G7" s="370">
        <v>2605.9</v>
      </c>
      <c r="H7" s="370">
        <v>2756.2</v>
      </c>
      <c r="I7" s="370">
        <v>2723.8</v>
      </c>
      <c r="J7" s="370">
        <v>2694.6</v>
      </c>
      <c r="K7" s="370">
        <v>2918.9</v>
      </c>
      <c r="L7" s="370">
        <v>2871.4</v>
      </c>
      <c r="M7" s="370">
        <v>2982.8</v>
      </c>
      <c r="N7" s="370">
        <v>3004.5</v>
      </c>
      <c r="O7" s="370">
        <v>3037.1</v>
      </c>
      <c r="P7" s="370">
        <v>3036.4</v>
      </c>
      <c r="Q7" s="370">
        <v>3689.9</v>
      </c>
      <c r="R7" s="370">
        <v>4212.2</v>
      </c>
      <c r="S7" s="370">
        <v>4500.1000000000004</v>
      </c>
      <c r="T7" s="370">
        <v>4845.1000000000004</v>
      </c>
      <c r="U7" s="370">
        <v>5129.8</v>
      </c>
      <c r="V7" s="370">
        <v>5654.8</v>
      </c>
      <c r="W7" s="370">
        <v>6202</v>
      </c>
      <c r="X7" s="370">
        <v>7035</v>
      </c>
      <c r="Y7" s="370">
        <v>6702</v>
      </c>
      <c r="Z7" s="370">
        <v>6671</v>
      </c>
      <c r="AA7" s="370">
        <v>7366</v>
      </c>
      <c r="AB7" s="370">
        <v>8269</v>
      </c>
      <c r="AC7" s="370">
        <v>7947</v>
      </c>
      <c r="AD7" s="370">
        <v>8840</v>
      </c>
      <c r="AE7" s="370">
        <v>7947</v>
      </c>
      <c r="AF7" s="371">
        <v>8131</v>
      </c>
      <c r="AG7" s="371">
        <v>8155</v>
      </c>
      <c r="AH7" s="371">
        <v>8821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F4834-AE1E-49E0-8121-077F21CC30CC}">
  <dimension ref="A1:E12"/>
  <sheetViews>
    <sheetView workbookViewId="0">
      <selection activeCell="A14" sqref="A14"/>
    </sheetView>
  </sheetViews>
  <sheetFormatPr defaultColWidth="25.83203125" defaultRowHeight="24.95" customHeight="1"/>
  <cols>
    <col min="1" max="1" width="33.5" style="39" customWidth="1"/>
    <col min="2" max="16384" width="25.83203125" style="39"/>
  </cols>
  <sheetData>
    <row r="1" spans="1:5" ht="24.95" customHeight="1">
      <c r="A1" s="172" t="s">
        <v>482</v>
      </c>
    </row>
    <row r="3" spans="1:5" ht="24.95" customHeight="1">
      <c r="A3" s="34" t="s">
        <v>484</v>
      </c>
      <c r="B3" s="34"/>
    </row>
    <row r="4" spans="1:5" ht="24.95" customHeight="1">
      <c r="B4" s="61" t="s">
        <v>470</v>
      </c>
      <c r="C4" s="61" t="s">
        <v>468</v>
      </c>
      <c r="D4" s="61" t="s">
        <v>469</v>
      </c>
      <c r="E4" s="61" t="s">
        <v>473</v>
      </c>
    </row>
    <row r="6" spans="1:5" ht="24.95" customHeight="1">
      <c r="A6" s="61" t="s">
        <v>483</v>
      </c>
      <c r="B6" s="216">
        <f>CORREL('Inflation Data'!C8:AG8,'Inflation Data'!B8:AF8)</f>
        <v>0.58592737316573873</v>
      </c>
      <c r="C6" s="216">
        <f>CORREL('Inflation Data'!C9:AG9,'Inflation Data'!B9:AF9)</f>
        <v>0.77317888148696734</v>
      </c>
      <c r="D6" s="216">
        <f>CORREL('Inflation Data'!B10:AF10,'Inflation Data'!C10:AG10)</f>
        <v>0.79952114914848837</v>
      </c>
      <c r="E6" s="216">
        <f>CORREL('Inflation Data'!B11:AF11,'Inflation Data'!C11:AG11)</f>
        <v>0.45588170956507357</v>
      </c>
    </row>
    <row r="7" spans="1:5" ht="24.95" customHeight="1">
      <c r="A7" s="61" t="s">
        <v>488</v>
      </c>
      <c r="B7" s="216">
        <f>CORREL('Inflation Data'!B8:AE8,'Inflation Data'!D8:AG8)</f>
        <v>0.36069473266801166</v>
      </c>
      <c r="C7" s="216">
        <f>CORREL('Inflation Data'!B9:AE9,'Inflation Data'!D9:AG9)</f>
        <v>0.54727999603089805</v>
      </c>
      <c r="D7" s="216">
        <f>CORREL('Inflation Data'!B10:AE10,'Inflation Data'!D10:AG10)</f>
        <v>0.6428802393333003</v>
      </c>
      <c r="E7" s="216">
        <f>CORREL('Inflation Data'!B11:AE11,'Inflation Data'!D11:AG11)</f>
        <v>0.50098721802616486</v>
      </c>
    </row>
    <row r="8" spans="1:5" ht="24.95" customHeight="1">
      <c r="B8" s="315"/>
      <c r="C8" s="315"/>
      <c r="D8" s="315"/>
      <c r="E8" s="315"/>
    </row>
    <row r="9" spans="1:5" ht="24.95" customHeight="1">
      <c r="A9" s="34" t="s">
        <v>489</v>
      </c>
      <c r="B9" s="315"/>
      <c r="C9" s="315"/>
      <c r="D9" s="315"/>
      <c r="E9" s="315"/>
    </row>
    <row r="10" spans="1:5" ht="24.95" customHeight="1">
      <c r="B10" s="315"/>
      <c r="C10" s="315"/>
      <c r="D10" s="315"/>
      <c r="E10" s="315"/>
    </row>
    <row r="11" spans="1:5" ht="24.95" customHeight="1">
      <c r="A11" s="61" t="s">
        <v>483</v>
      </c>
      <c r="B11" s="216">
        <f>CORREL('Historical Cost of Goods Sold'!C7:AG7,'Historical Cost of Goods Sold'!D7:AH7)</f>
        <v>0.98625932349614409</v>
      </c>
      <c r="C11" s="315"/>
      <c r="D11" s="315"/>
      <c r="E11" s="315"/>
    </row>
    <row r="12" spans="1:5" ht="24.95" customHeight="1">
      <c r="A12" s="61" t="s">
        <v>488</v>
      </c>
      <c r="B12" s="216">
        <f>CORREL('Historical Cost of Goods Sold'!C7:AF7,'Historical Cost of Goods Sold'!E7:AH7)</f>
        <v>0.97741146810186286</v>
      </c>
      <c r="C12" s="315"/>
      <c r="D12" s="315"/>
      <c r="E12" s="315"/>
    </row>
  </sheetData>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8AC8D-6F32-4CAD-B71C-0D6A3BE5F7BB}">
  <dimension ref="A1:E20"/>
  <sheetViews>
    <sheetView topLeftCell="A7" workbookViewId="0">
      <selection activeCell="D19" sqref="D19"/>
    </sheetView>
  </sheetViews>
  <sheetFormatPr defaultColWidth="25.83203125" defaultRowHeight="24.95" customHeight="1"/>
  <cols>
    <col min="1" max="1" width="33.6640625" style="39" customWidth="1"/>
    <col min="2" max="16384" width="25.83203125" style="39"/>
  </cols>
  <sheetData>
    <row r="1" spans="1:5" ht="24.95" customHeight="1">
      <c r="A1" s="219" t="s">
        <v>478</v>
      </c>
    </row>
    <row r="3" spans="1:5" ht="24.95" customHeight="1">
      <c r="A3" s="564" t="s">
        <v>481</v>
      </c>
      <c r="B3" s="564"/>
      <c r="C3" s="564"/>
      <c r="D3" s="564"/>
      <c r="E3" s="564"/>
    </row>
    <row r="4" spans="1:5" ht="24.95" customHeight="1">
      <c r="A4" s="159"/>
      <c r="B4" s="150" t="s">
        <v>117</v>
      </c>
      <c r="C4" s="150" t="s">
        <v>118</v>
      </c>
      <c r="D4" s="150" t="s">
        <v>119</v>
      </c>
      <c r="E4" s="150" t="s">
        <v>479</v>
      </c>
    </row>
    <row r="6" spans="1:5" ht="15" customHeight="1">
      <c r="A6" s="221" t="s">
        <v>484</v>
      </c>
      <c r="B6" s="221"/>
      <c r="C6" s="221"/>
      <c r="D6" s="221"/>
      <c r="E6" s="221"/>
    </row>
    <row r="7" spans="1:5" ht="24.95" customHeight="1">
      <c r="A7" s="61" t="s">
        <v>470</v>
      </c>
      <c r="B7" s="248">
        <v>0.02</v>
      </c>
      <c r="C7" s="248">
        <v>2.3E-2</v>
      </c>
      <c r="D7" s="248">
        <v>2.4E-2</v>
      </c>
      <c r="E7" s="60"/>
    </row>
    <row r="8" spans="1:5" ht="24.95" customHeight="1">
      <c r="A8" s="61" t="s">
        <v>468</v>
      </c>
      <c r="B8" s="248">
        <v>7.22E-2</v>
      </c>
      <c r="C8" s="248">
        <v>6.7299999999999999E-2</v>
      </c>
      <c r="D8" s="248">
        <v>5.5399999999999998E-2</v>
      </c>
      <c r="E8" s="60"/>
    </row>
    <row r="9" spans="1:5" ht="24.95" customHeight="1">
      <c r="A9" s="61" t="s">
        <v>469</v>
      </c>
      <c r="B9" s="248">
        <v>2.1000000000000001E-2</v>
      </c>
      <c r="C9" s="248">
        <v>0.02</v>
      </c>
      <c r="D9" s="248">
        <v>2.2000000000000002E-2</v>
      </c>
      <c r="E9" s="60"/>
    </row>
    <row r="10" spans="1:5" ht="24.95" customHeight="1">
      <c r="A10" s="61" t="s">
        <v>477</v>
      </c>
      <c r="B10" s="248">
        <v>0.03</v>
      </c>
      <c r="C10" s="248">
        <v>3.3000000000000002E-2</v>
      </c>
      <c r="D10" s="248">
        <v>3.3000000000000002E-2</v>
      </c>
      <c r="E10" s="60"/>
    </row>
    <row r="11" spans="1:5" ht="24.95" customHeight="1">
      <c r="A11" s="61"/>
      <c r="B11" s="60"/>
      <c r="C11" s="60"/>
      <c r="D11" s="60"/>
      <c r="E11" s="60"/>
    </row>
    <row r="12" spans="1:5" ht="15" customHeight="1">
      <c r="A12" s="222" t="s">
        <v>485</v>
      </c>
      <c r="B12" s="223"/>
      <c r="C12" s="223"/>
      <c r="D12" s="223"/>
      <c r="E12" s="223"/>
    </row>
    <row r="13" spans="1:5" ht="24.95" customHeight="1">
      <c r="A13" s="61" t="s">
        <v>485</v>
      </c>
      <c r="B13" s="60"/>
      <c r="C13" s="60"/>
      <c r="D13" s="60"/>
      <c r="E13" s="248">
        <v>2.6537105074067729E-2</v>
      </c>
    </row>
    <row r="14" spans="1:5" ht="24.95" customHeight="1">
      <c r="A14" s="61"/>
      <c r="B14" s="60"/>
      <c r="C14" s="60"/>
      <c r="D14" s="60"/>
      <c r="E14" s="60"/>
    </row>
    <row r="15" spans="1:5" ht="15" customHeight="1">
      <c r="A15" s="222" t="s">
        <v>486</v>
      </c>
      <c r="B15" s="223"/>
      <c r="C15" s="223"/>
      <c r="D15" s="223"/>
      <c r="E15" s="223"/>
    </row>
    <row r="16" spans="1:5" ht="28.5" customHeight="1">
      <c r="A16" s="63" t="s">
        <v>480</v>
      </c>
      <c r="B16" s="248">
        <v>0.63757445151815251</v>
      </c>
      <c r="C16" s="248">
        <v>0.63757445151815251</v>
      </c>
      <c r="D16" s="248">
        <v>0.63757445151815251</v>
      </c>
      <c r="E16" s="248">
        <v>0.63757445151815251</v>
      </c>
    </row>
    <row r="18" spans="1:2" ht="24.95" customHeight="1">
      <c r="A18" s="222" t="s">
        <v>525</v>
      </c>
      <c r="B18" s="159"/>
    </row>
    <row r="19" spans="1:2" ht="24.95" customHeight="1">
      <c r="A19" s="61" t="s">
        <v>442</v>
      </c>
      <c r="B19" s="372">
        <v>0</v>
      </c>
    </row>
    <row r="20" spans="1:2" ht="24.95" customHeight="1">
      <c r="A20" s="61" t="s">
        <v>526</v>
      </c>
      <c r="B20" s="216">
        <v>0</v>
      </c>
    </row>
  </sheetData>
  <mergeCells count="1">
    <mergeCell ref="A3:E3"/>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58341-CB0F-4BFD-B272-9F6B1D060255}">
  <sheetPr>
    <tabColor rgb="FFD31245"/>
  </sheetPr>
  <dimension ref="A1"/>
  <sheetViews>
    <sheetView workbookViewId="0">
      <selection sqref="A1:XFD1048576"/>
    </sheetView>
  </sheetViews>
  <sheetFormatPr defaultRowHeight="12.75"/>
  <cols>
    <col min="1" max="16384" width="9.33203125" style="525"/>
  </cols>
  <sheetData/>
  <mergeCells count="1">
    <mergeCell ref="A1:XFD1048576"/>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69A3-02E3-438F-9F70-91A9D7E77AED}">
  <dimension ref="A2:Y35"/>
  <sheetViews>
    <sheetView topLeftCell="R23" zoomScaleNormal="100" zoomScaleSheetLayoutView="100" workbookViewId="0">
      <selection activeCell="Z35" sqref="Z35"/>
    </sheetView>
  </sheetViews>
  <sheetFormatPr defaultColWidth="25.83203125" defaultRowHeight="24.95" customHeight="1"/>
  <cols>
    <col min="1" max="1" width="28.1640625" style="175" customWidth="1"/>
    <col min="2" max="2" width="15.83203125" style="175" customWidth="1"/>
    <col min="3" max="8" width="25.83203125" style="175"/>
    <col min="9" max="9" width="5.83203125" style="175" customWidth="1"/>
    <col min="10" max="11" width="15.6640625" style="175" customWidth="1"/>
    <col min="12" max="12" width="5.83203125" style="175" customWidth="1"/>
    <col min="13" max="18" width="25.83203125" style="175"/>
    <col min="19" max="19" width="5.83203125" style="175" customWidth="1"/>
    <col min="20" max="16384" width="25.83203125" style="175"/>
  </cols>
  <sheetData>
    <row r="2" spans="1:25" ht="24.95" customHeight="1">
      <c r="C2" s="565" t="s">
        <v>545</v>
      </c>
      <c r="D2" s="565"/>
      <c r="E2" s="380"/>
      <c r="F2" s="380"/>
      <c r="G2" s="380"/>
      <c r="H2" s="380"/>
      <c r="I2" s="381"/>
      <c r="J2" s="565" t="s">
        <v>544</v>
      </c>
      <c r="K2" s="565"/>
      <c r="M2" s="565" t="s">
        <v>543</v>
      </c>
      <c r="N2" s="565"/>
      <c r="O2" s="380"/>
      <c r="P2" s="380"/>
      <c r="Q2" s="380"/>
      <c r="R2" s="380"/>
      <c r="T2" s="565" t="s">
        <v>542</v>
      </c>
      <c r="U2" s="565"/>
    </row>
    <row r="3" spans="1:25" ht="24.95" customHeight="1">
      <c r="A3" s="478"/>
      <c r="B3" s="478"/>
      <c r="C3" s="472" t="s">
        <v>117</v>
      </c>
      <c r="D3" s="472" t="s">
        <v>118</v>
      </c>
      <c r="E3" s="472" t="s">
        <v>119</v>
      </c>
      <c r="F3" s="472" t="s">
        <v>548</v>
      </c>
      <c r="G3" s="472" t="s">
        <v>549</v>
      </c>
      <c r="H3" s="472" t="s">
        <v>479</v>
      </c>
      <c r="J3" s="472" t="s">
        <v>541</v>
      </c>
      <c r="K3" s="472" t="s">
        <v>540</v>
      </c>
      <c r="M3" s="472" t="str">
        <f>C3</f>
        <v>FY 2019</v>
      </c>
      <c r="N3" s="472" t="str">
        <f t="shared" ref="N3:R3" si="0">D3</f>
        <v>FY 2020</v>
      </c>
      <c r="O3" s="472" t="str">
        <f t="shared" si="0"/>
        <v>FY 2021</v>
      </c>
      <c r="P3" s="472" t="str">
        <f t="shared" si="0"/>
        <v>FY 2022</v>
      </c>
      <c r="Q3" s="472" t="str">
        <f t="shared" si="0"/>
        <v>FY 2023</v>
      </c>
      <c r="R3" s="472" t="str">
        <f t="shared" si="0"/>
        <v>Steady State</v>
      </c>
      <c r="T3" s="472" t="str">
        <f>C3</f>
        <v>FY 2019</v>
      </c>
      <c r="U3" s="472" t="str">
        <f t="shared" ref="U3:Y3" si="1">D3</f>
        <v>FY 2020</v>
      </c>
      <c r="V3" s="472" t="str">
        <f t="shared" si="1"/>
        <v>FY 2021</v>
      </c>
      <c r="W3" s="472" t="str">
        <f t="shared" si="1"/>
        <v>FY 2022</v>
      </c>
      <c r="X3" s="472" t="str">
        <f t="shared" si="1"/>
        <v>FY 2023</v>
      </c>
      <c r="Y3" s="472" t="str">
        <f t="shared" si="1"/>
        <v>Steady State</v>
      </c>
    </row>
    <row r="4" spans="1:25" ht="15" customHeight="1">
      <c r="C4" s="379"/>
      <c r="D4" s="379"/>
      <c r="E4" s="379"/>
      <c r="F4" s="379"/>
      <c r="G4" s="379"/>
      <c r="H4" s="379"/>
    </row>
    <row r="5" spans="1:25" ht="24.95" customHeight="1">
      <c r="A5" s="479" t="s">
        <v>484</v>
      </c>
      <c r="B5" s="480"/>
      <c r="C5" s="480"/>
      <c r="D5" s="480"/>
      <c r="E5" s="480"/>
      <c r="F5" s="480"/>
      <c r="G5" s="480"/>
      <c r="H5" s="480"/>
    </row>
    <row r="6" spans="1:25" ht="15" customHeight="1">
      <c r="A6" s="384"/>
      <c r="B6" s="385"/>
      <c r="C6" s="385"/>
      <c r="D6" s="385"/>
      <c r="E6" s="385"/>
      <c r="F6" s="385"/>
      <c r="G6" s="385"/>
      <c r="H6" s="385"/>
    </row>
    <row r="7" spans="1:25" ht="24.95" customHeight="1">
      <c r="A7" s="14" t="s">
        <v>555</v>
      </c>
      <c r="C7" s="383">
        <f>3%</f>
        <v>0.03</v>
      </c>
      <c r="D7" s="166">
        <v>2.5117222338199002E-2</v>
      </c>
      <c r="E7" s="166">
        <v>2.9637726259011499E-2</v>
      </c>
      <c r="F7" s="166">
        <v>1.29166666666667E-2</v>
      </c>
      <c r="G7" s="166">
        <v>6.1458333333333304E-3</v>
      </c>
      <c r="I7" s="14"/>
      <c r="J7" s="389">
        <v>1.1000000000000001</v>
      </c>
      <c r="K7" s="389">
        <v>0.8</v>
      </c>
      <c r="L7" s="376"/>
      <c r="M7" s="386">
        <f>D7*$J$7</f>
        <v>2.7628944572018903E-2</v>
      </c>
      <c r="N7" s="386">
        <f>E7*$J$7</f>
        <v>3.260149888491265E-2</v>
      </c>
      <c r="O7" s="386">
        <f>F7*$J$7</f>
        <v>1.4208333333333371E-2</v>
      </c>
      <c r="P7" s="386">
        <f>G7*$J$7</f>
        <v>6.7604166666666637E-3</v>
      </c>
      <c r="Q7" s="386">
        <f>H11*$J$7</f>
        <v>9.3671875000000022E-3</v>
      </c>
      <c r="R7" s="386"/>
      <c r="S7" s="386"/>
      <c r="T7" s="386">
        <f>D7*$K$7</f>
        <v>2.0093777870559201E-2</v>
      </c>
      <c r="U7" s="386">
        <f>E7*$K$7</f>
        <v>2.3710181007209202E-2</v>
      </c>
      <c r="V7" s="386">
        <f>F7*$K$7</f>
        <v>1.0333333333333361E-2</v>
      </c>
      <c r="W7" s="386">
        <f>G7*$K$7</f>
        <v>4.9166666666666647E-3</v>
      </c>
      <c r="X7" s="386">
        <f>H11*$K$7</f>
        <v>6.8125000000000008E-3</v>
      </c>
    </row>
    <row r="8" spans="1:25" ht="24.95" customHeight="1">
      <c r="A8" s="14"/>
      <c r="B8" s="376"/>
      <c r="C8" s="376"/>
      <c r="M8" s="376"/>
      <c r="N8" s="376"/>
      <c r="O8" s="376"/>
      <c r="P8" s="376"/>
      <c r="Q8" s="376"/>
      <c r="R8" s="376"/>
      <c r="S8" s="377"/>
      <c r="T8" s="377"/>
      <c r="U8" s="377"/>
      <c r="V8" s="377"/>
      <c r="W8" s="377"/>
      <c r="X8" s="377"/>
      <c r="Y8" s="378"/>
    </row>
    <row r="9" spans="1:25" ht="24.95" customHeight="1">
      <c r="A9" s="479" t="s">
        <v>546</v>
      </c>
      <c r="B9" s="480"/>
      <c r="C9" s="480"/>
      <c r="D9" s="480"/>
      <c r="E9" s="480"/>
      <c r="F9" s="480"/>
      <c r="G9" s="480"/>
      <c r="H9" s="480"/>
      <c r="S9" s="377"/>
      <c r="T9" s="377"/>
      <c r="U9" s="377"/>
      <c r="V9" s="377"/>
      <c r="W9" s="377"/>
      <c r="X9" s="377"/>
      <c r="Y9" s="378"/>
    </row>
    <row r="10" spans="1:25" ht="15" customHeight="1">
      <c r="A10" s="384"/>
      <c r="B10" s="385"/>
      <c r="C10" s="376"/>
      <c r="D10" s="14"/>
      <c r="E10" s="14"/>
      <c r="F10" s="14"/>
      <c r="G10" s="14"/>
      <c r="H10" s="14"/>
      <c r="I10" s="376"/>
      <c r="J10" s="376"/>
      <c r="K10" s="376"/>
      <c r="M10" s="376"/>
      <c r="N10" s="376"/>
      <c r="O10" s="376"/>
      <c r="P10" s="376"/>
      <c r="Q10" s="376"/>
      <c r="R10" s="376"/>
      <c r="S10" s="378"/>
      <c r="T10" s="378"/>
      <c r="U10" s="378"/>
      <c r="V10" s="378"/>
      <c r="W10" s="378"/>
      <c r="X10" s="378"/>
      <c r="Y10" s="378"/>
    </row>
    <row r="11" spans="1:25" ht="24.95" customHeight="1">
      <c r="A11" s="14" t="s">
        <v>426</v>
      </c>
      <c r="C11" s="376"/>
      <c r="D11" s="14"/>
      <c r="E11" s="14"/>
      <c r="F11" s="14"/>
      <c r="G11" s="14"/>
      <c r="H11" s="166">
        <v>8.5156250000000006E-3</v>
      </c>
      <c r="I11" s="376"/>
      <c r="J11" s="376">
        <v>1.3</v>
      </c>
      <c r="K11" s="376">
        <v>0.7</v>
      </c>
      <c r="N11" s="376"/>
      <c r="O11" s="376"/>
      <c r="P11" s="376"/>
      <c r="Q11" s="376"/>
      <c r="R11" s="386">
        <f>$J$11*Long_Term_Growth</f>
        <v>1.1070312500000002E-2</v>
      </c>
      <c r="S11" s="378"/>
      <c r="T11" s="378"/>
      <c r="U11" s="378"/>
      <c r="W11" s="378"/>
      <c r="X11" s="378"/>
      <c r="Y11" s="383">
        <f>Long_Term_Growth*$K$11</f>
        <v>5.9609375000000001E-3</v>
      </c>
    </row>
    <row r="12" spans="1:25" ht="24.95" customHeight="1">
      <c r="A12" s="14"/>
      <c r="C12" s="376"/>
      <c r="D12" s="14"/>
      <c r="E12" s="14"/>
      <c r="F12" s="14"/>
      <c r="G12" s="14"/>
      <c r="H12" s="382"/>
      <c r="I12" s="376"/>
      <c r="J12" s="376"/>
      <c r="K12" s="376"/>
      <c r="M12" s="376"/>
      <c r="N12" s="376"/>
      <c r="O12" s="376"/>
      <c r="P12" s="376"/>
      <c r="Q12" s="376"/>
      <c r="R12" s="376"/>
      <c r="S12" s="378"/>
      <c r="T12" s="378"/>
      <c r="U12" s="378"/>
      <c r="V12" s="378"/>
      <c r="W12" s="378"/>
      <c r="X12" s="378"/>
      <c r="Y12" s="378"/>
    </row>
    <row r="13" spans="1:25" ht="24.95" customHeight="1">
      <c r="A13" s="479" t="s">
        <v>489</v>
      </c>
      <c r="B13" s="480"/>
      <c r="C13" s="480"/>
      <c r="D13" s="480"/>
      <c r="E13" s="480"/>
      <c r="F13" s="480"/>
      <c r="G13" s="480"/>
      <c r="H13" s="480"/>
      <c r="I13" s="376"/>
      <c r="J13" s="376"/>
      <c r="K13" s="376"/>
      <c r="M13" s="376"/>
      <c r="N13" s="376"/>
      <c r="O13" s="376"/>
      <c r="P13" s="376"/>
      <c r="Q13" s="376"/>
      <c r="R13" s="376"/>
      <c r="S13" s="378"/>
      <c r="T13" s="378"/>
      <c r="U13" s="378"/>
      <c r="V13" s="378"/>
      <c r="W13" s="378"/>
      <c r="X13" s="378"/>
      <c r="Y13" s="378"/>
    </row>
    <row r="14" spans="1:25" ht="15" customHeight="1">
      <c r="H14" s="375"/>
      <c r="I14" s="376"/>
      <c r="J14" s="376"/>
      <c r="K14" s="376"/>
      <c r="M14" s="376"/>
      <c r="N14" s="376"/>
      <c r="O14" s="376"/>
      <c r="P14" s="376"/>
      <c r="Q14" s="376"/>
      <c r="R14" s="376"/>
      <c r="S14" s="378"/>
      <c r="T14" s="378"/>
      <c r="U14" s="378"/>
      <c r="V14" s="378"/>
      <c r="W14" s="378"/>
      <c r="X14" s="378"/>
      <c r="Y14" s="378"/>
    </row>
    <row r="15" spans="1:25" ht="24.95" customHeight="1">
      <c r="A15" s="14" t="s">
        <v>489</v>
      </c>
      <c r="C15" s="386">
        <v>0.63800000000000001</v>
      </c>
      <c r="D15" s="386">
        <v>0.63800000000000001</v>
      </c>
      <c r="E15" s="386"/>
      <c r="F15" s="386"/>
      <c r="G15" s="386"/>
      <c r="H15" s="386">
        <v>0.63800000000000001</v>
      </c>
      <c r="I15" s="376"/>
      <c r="J15" s="376">
        <v>1.1000000000000001</v>
      </c>
      <c r="K15" s="376">
        <v>0.8</v>
      </c>
      <c r="M15" s="386"/>
      <c r="N15" s="386"/>
      <c r="O15" s="386"/>
      <c r="P15" s="386"/>
      <c r="Q15" s="386"/>
      <c r="R15" s="386">
        <f>$K$15*H15</f>
        <v>0.51040000000000008</v>
      </c>
      <c r="T15" s="383"/>
      <c r="U15" s="383"/>
      <c r="X15" s="378"/>
      <c r="Y15" s="383">
        <f>H15*$J$15</f>
        <v>0.70180000000000009</v>
      </c>
    </row>
    <row r="16" spans="1:25" ht="24.95" customHeight="1">
      <c r="H16" s="375"/>
      <c r="I16" s="376"/>
      <c r="J16" s="376"/>
      <c r="K16" s="376"/>
      <c r="M16" s="376"/>
      <c r="N16" s="376"/>
      <c r="O16" s="376"/>
      <c r="P16" s="376"/>
      <c r="Q16" s="376"/>
      <c r="R16" s="376"/>
      <c r="S16" s="378"/>
      <c r="T16" s="378"/>
      <c r="U16" s="378"/>
      <c r="V16" s="378"/>
      <c r="W16" s="378"/>
      <c r="X16" s="378"/>
      <c r="Y16" s="378"/>
    </row>
    <row r="17" spans="1:25" ht="24.95" customHeight="1">
      <c r="A17" s="479" t="s">
        <v>128</v>
      </c>
      <c r="B17" s="480"/>
      <c r="C17" s="480"/>
      <c r="D17" s="480"/>
      <c r="E17" s="480"/>
      <c r="F17" s="480"/>
      <c r="G17" s="480"/>
      <c r="H17" s="480"/>
      <c r="I17" s="376"/>
      <c r="J17" s="376"/>
      <c r="K17" s="376"/>
      <c r="M17" s="376"/>
      <c r="N17" s="376"/>
      <c r="O17" s="376"/>
      <c r="P17" s="376"/>
      <c r="Q17" s="376"/>
      <c r="R17" s="376"/>
      <c r="S17" s="378"/>
      <c r="T17" s="378"/>
      <c r="U17" s="378"/>
      <c r="V17" s="378"/>
      <c r="W17" s="378"/>
      <c r="X17" s="378"/>
      <c r="Y17" s="378"/>
    </row>
    <row r="18" spans="1:25" ht="15" customHeight="1">
      <c r="H18" s="375"/>
      <c r="I18" s="376"/>
      <c r="J18" s="376"/>
      <c r="K18" s="376"/>
      <c r="M18" s="376"/>
      <c r="N18" s="376"/>
      <c r="O18" s="376"/>
      <c r="P18" s="376"/>
      <c r="Q18" s="376"/>
      <c r="R18" s="376"/>
      <c r="S18" s="378"/>
      <c r="T18" s="378"/>
      <c r="U18" s="378"/>
      <c r="V18" s="378"/>
      <c r="W18" s="378"/>
      <c r="X18" s="378"/>
      <c r="Y18" s="378"/>
    </row>
    <row r="19" spans="1:25" ht="24.95" customHeight="1">
      <c r="A19" s="14" t="s">
        <v>173</v>
      </c>
      <c r="D19" s="375"/>
      <c r="E19" s="375"/>
      <c r="F19" s="375"/>
      <c r="G19" s="375"/>
      <c r="H19" s="383">
        <v>2.8000000000000001E-2</v>
      </c>
      <c r="I19" s="376"/>
      <c r="J19" s="376">
        <v>1.3</v>
      </c>
      <c r="K19" s="376">
        <v>0.7</v>
      </c>
      <c r="N19" s="376"/>
      <c r="O19" s="376"/>
      <c r="P19" s="376"/>
      <c r="Q19" s="376"/>
      <c r="R19" s="386">
        <f>H19*K19</f>
        <v>1.9599999999999999E-2</v>
      </c>
      <c r="S19" s="378"/>
      <c r="T19" s="378"/>
      <c r="U19" s="378"/>
      <c r="V19" s="383">
        <f>H19*$J$19</f>
        <v>3.6400000000000002E-2</v>
      </c>
      <c r="W19" s="378"/>
      <c r="X19" s="378"/>
      <c r="Y19" s="378"/>
    </row>
    <row r="20" spans="1:25" ht="24.95" customHeight="1">
      <c r="A20" s="14" t="s">
        <v>547</v>
      </c>
      <c r="D20" s="376"/>
      <c r="E20" s="376"/>
      <c r="F20" s="376"/>
      <c r="G20" s="376"/>
      <c r="H20" s="383">
        <v>9.7999999999999997E-3</v>
      </c>
      <c r="J20" s="376">
        <v>1.4</v>
      </c>
      <c r="K20" s="376">
        <v>0.6</v>
      </c>
      <c r="N20" s="378"/>
      <c r="O20" s="378"/>
      <c r="P20" s="378"/>
      <c r="Q20" s="378"/>
      <c r="R20" s="386">
        <f>H20*K20</f>
        <v>5.8799999999999998E-3</v>
      </c>
      <c r="S20" s="378"/>
      <c r="T20" s="378"/>
      <c r="U20" s="378"/>
      <c r="V20" s="383">
        <f>H20*$J$20</f>
        <v>1.3719999999999998E-2</v>
      </c>
    </row>
    <row r="21" spans="1:25" ht="24.95" customHeight="1">
      <c r="A21" s="14"/>
      <c r="B21" s="383"/>
      <c r="D21" s="376"/>
      <c r="E21" s="376"/>
      <c r="F21" s="376"/>
      <c r="G21" s="376"/>
      <c r="H21" s="376"/>
      <c r="J21" s="376"/>
      <c r="K21" s="376"/>
      <c r="M21" s="378"/>
      <c r="N21" s="378"/>
      <c r="O21" s="378"/>
      <c r="P21" s="378"/>
      <c r="Q21" s="378"/>
      <c r="R21" s="378"/>
      <c r="S21" s="378"/>
      <c r="T21" s="378"/>
      <c r="U21" s="378"/>
      <c r="V21" s="378"/>
    </row>
    <row r="22" spans="1:25" ht="24.95" customHeight="1">
      <c r="A22" s="479" t="s">
        <v>576</v>
      </c>
      <c r="B22" s="480"/>
      <c r="C22" s="480"/>
      <c r="D22" s="480"/>
      <c r="E22" s="480"/>
      <c r="F22" s="480"/>
      <c r="G22" s="480"/>
      <c r="H22" s="480"/>
      <c r="J22" s="376"/>
      <c r="K22" s="376"/>
      <c r="M22" s="378"/>
      <c r="N22" s="378"/>
      <c r="O22" s="378"/>
      <c r="P22" s="378"/>
      <c r="Q22" s="378"/>
      <c r="R22" s="378"/>
      <c r="S22" s="378"/>
      <c r="T22" s="378"/>
      <c r="U22" s="378"/>
      <c r="V22" s="377"/>
    </row>
    <row r="23" spans="1:25" ht="24.95" customHeight="1">
      <c r="J23" s="376"/>
      <c r="K23" s="376"/>
      <c r="M23" s="378"/>
      <c r="N23" s="378"/>
      <c r="O23" s="378"/>
      <c r="P23" s="378"/>
      <c r="Q23" s="378"/>
      <c r="R23" s="378"/>
      <c r="S23" s="378"/>
      <c r="T23" s="378"/>
      <c r="U23" s="378"/>
      <c r="V23" s="377"/>
    </row>
    <row r="24" spans="1:25" ht="24.95" customHeight="1">
      <c r="A24" s="14" t="s">
        <v>577</v>
      </c>
      <c r="H24" s="383">
        <v>0.38300000000000001</v>
      </c>
      <c r="J24" s="376">
        <v>1.2</v>
      </c>
      <c r="K24" s="376">
        <v>0.7</v>
      </c>
      <c r="M24" s="378"/>
      <c r="N24" s="378"/>
      <c r="O24" s="378"/>
      <c r="P24" s="378"/>
      <c r="Q24" s="378"/>
      <c r="R24" s="386">
        <f>Initial_Leverage*$K$24</f>
        <v>0.2681</v>
      </c>
      <c r="S24" s="386"/>
      <c r="T24" s="386"/>
      <c r="U24" s="386"/>
      <c r="V24" s="386">
        <f>Initial_Leverage*$J$24</f>
        <v>0.45960000000000001</v>
      </c>
    </row>
    <row r="25" spans="1:25" ht="24.95" customHeight="1">
      <c r="D25" s="376"/>
      <c r="E25" s="376"/>
      <c r="F25" s="376"/>
      <c r="G25" s="376"/>
      <c r="J25" s="376"/>
      <c r="K25" s="376"/>
      <c r="M25" s="378"/>
      <c r="N25" s="378"/>
      <c r="O25" s="378"/>
      <c r="P25" s="378"/>
      <c r="Q25" s="378"/>
      <c r="R25" s="378"/>
      <c r="S25" s="378"/>
      <c r="T25" s="378"/>
      <c r="U25" s="378"/>
      <c r="V25" s="377"/>
    </row>
    <row r="26" spans="1:25" ht="24.95" customHeight="1">
      <c r="A26" s="479" t="s">
        <v>140</v>
      </c>
      <c r="B26" s="480"/>
      <c r="C26" s="480"/>
      <c r="D26" s="480"/>
      <c r="E26" s="480"/>
      <c r="F26" s="480"/>
      <c r="G26" s="480"/>
      <c r="H26" s="480"/>
      <c r="J26" s="376"/>
      <c r="K26" s="376"/>
      <c r="M26" s="378"/>
      <c r="N26" s="378"/>
      <c r="O26" s="378"/>
      <c r="P26" s="378"/>
      <c r="Q26" s="378"/>
      <c r="R26" s="378"/>
      <c r="S26" s="378"/>
      <c r="T26" s="378"/>
      <c r="U26" s="378"/>
      <c r="V26" s="377"/>
    </row>
    <row r="27" spans="1:25" ht="24.95" customHeight="1">
      <c r="D27" s="376"/>
      <c r="E27" s="376"/>
      <c r="F27" s="376"/>
      <c r="G27" s="376"/>
      <c r="J27" s="376"/>
      <c r="K27" s="376"/>
      <c r="M27" s="378"/>
      <c r="N27" s="378"/>
      <c r="O27" s="378"/>
      <c r="P27" s="378"/>
      <c r="Q27" s="378"/>
      <c r="R27" s="378"/>
      <c r="S27" s="378"/>
      <c r="T27" s="378"/>
      <c r="U27" s="378"/>
      <c r="V27" s="377"/>
    </row>
    <row r="28" spans="1:25" ht="24.95" customHeight="1">
      <c r="A28" s="393" t="s">
        <v>556</v>
      </c>
      <c r="D28" s="376"/>
      <c r="E28" s="376"/>
      <c r="F28" s="376"/>
      <c r="G28" s="376"/>
      <c r="H28" s="383">
        <v>0.04</v>
      </c>
      <c r="J28" s="376">
        <v>1.1000000000000001</v>
      </c>
      <c r="K28" s="376">
        <v>0.9</v>
      </c>
      <c r="M28" s="378"/>
      <c r="N28" s="378"/>
      <c r="O28" s="378"/>
      <c r="P28" s="378"/>
      <c r="Q28" s="378"/>
      <c r="R28" s="383">
        <f>H28*$J$28</f>
        <v>4.4000000000000004E-2</v>
      </c>
      <c r="S28" s="378"/>
      <c r="T28" s="378"/>
      <c r="U28" s="378"/>
      <c r="V28" s="569">
        <f>H28*$K$28</f>
        <v>3.6000000000000004E-2</v>
      </c>
    </row>
    <row r="29" spans="1:25" ht="24.95" customHeight="1">
      <c r="C29" s="374" t="s">
        <v>539</v>
      </c>
      <c r="J29" s="376"/>
      <c r="K29" s="376"/>
      <c r="M29" s="378"/>
      <c r="N29" s="378"/>
      <c r="O29" s="378"/>
      <c r="P29" s="378"/>
      <c r="Q29" s="378"/>
      <c r="R29" s="378"/>
      <c r="S29" s="378"/>
      <c r="T29" s="378"/>
      <c r="U29" s="378"/>
      <c r="V29" s="378"/>
    </row>
    <row r="30" spans="1:25" ht="24.95" customHeight="1">
      <c r="A30" s="478"/>
      <c r="B30" s="478"/>
      <c r="C30" s="472" t="s">
        <v>538</v>
      </c>
      <c r="D30" s="478"/>
      <c r="E30" s="478"/>
      <c r="F30" s="478"/>
      <c r="G30" s="478"/>
      <c r="H30" s="478"/>
      <c r="J30" s="376"/>
      <c r="K30" s="376"/>
      <c r="M30" s="378"/>
      <c r="N30" s="378"/>
      <c r="O30" s="378"/>
      <c r="P30" s="378"/>
      <c r="Q30" s="378"/>
      <c r="R30" s="378"/>
      <c r="S30" s="378"/>
      <c r="T30" s="378"/>
      <c r="U30" s="378"/>
      <c r="V30" s="377"/>
    </row>
    <row r="31" spans="1:25" ht="24.95" customHeight="1">
      <c r="J31" s="376"/>
      <c r="K31" s="376"/>
      <c r="M31" s="378"/>
      <c r="N31" s="378"/>
      <c r="O31" s="378"/>
      <c r="P31" s="378"/>
      <c r="Q31" s="378"/>
      <c r="R31" s="378"/>
      <c r="S31" s="378"/>
      <c r="T31" s="378"/>
      <c r="U31" s="378"/>
      <c r="V31" s="377"/>
    </row>
    <row r="32" spans="1:25" ht="24.95" customHeight="1">
      <c r="A32" s="14" t="s">
        <v>442</v>
      </c>
      <c r="C32" s="387">
        <v>29003.603181333052</v>
      </c>
      <c r="J32" s="376"/>
      <c r="K32" s="376"/>
      <c r="M32" s="378"/>
      <c r="N32" s="378"/>
      <c r="O32" s="378"/>
      <c r="P32" s="378"/>
      <c r="Q32" s="378"/>
      <c r="R32" s="378"/>
      <c r="S32" s="378"/>
      <c r="T32" s="378"/>
      <c r="U32" s="378"/>
      <c r="V32" s="377"/>
    </row>
    <row r="33" spans="1:22" ht="24.95" customHeight="1">
      <c r="A33" s="14" t="s">
        <v>526</v>
      </c>
      <c r="C33" s="387">
        <v>19946.603181333052</v>
      </c>
      <c r="J33" s="376"/>
      <c r="K33" s="376"/>
      <c r="M33" s="378"/>
      <c r="N33" s="378"/>
      <c r="O33" s="378"/>
      <c r="P33" s="378"/>
      <c r="Q33" s="378"/>
      <c r="R33" s="378"/>
      <c r="S33" s="378"/>
      <c r="T33" s="378"/>
      <c r="U33" s="378"/>
      <c r="V33" s="377"/>
    </row>
    <row r="34" spans="1:22" ht="24.95" customHeight="1">
      <c r="D34" s="374"/>
      <c r="E34" s="374"/>
      <c r="F34" s="374"/>
      <c r="G34" s="374"/>
      <c r="H34" s="374"/>
      <c r="J34" s="376"/>
      <c r="K34" s="376"/>
      <c r="M34" s="378"/>
      <c r="N34" s="378"/>
      <c r="O34" s="378"/>
      <c r="P34" s="378"/>
      <c r="Q34" s="378"/>
      <c r="R34" s="378"/>
      <c r="S34" s="378"/>
      <c r="T34" s="378"/>
      <c r="U34" s="378"/>
      <c r="V34" s="377"/>
    </row>
    <row r="35" spans="1:22" ht="24.95" customHeight="1">
      <c r="D35" s="373"/>
      <c r="E35" s="373"/>
      <c r="F35" s="373"/>
      <c r="G35" s="373"/>
      <c r="H35" s="373"/>
      <c r="M35" s="376"/>
      <c r="N35" s="376"/>
      <c r="O35" s="376"/>
      <c r="P35" s="376"/>
      <c r="Q35" s="376"/>
      <c r="R35" s="376"/>
      <c r="S35" s="376"/>
      <c r="T35" s="376"/>
      <c r="U35" s="376"/>
      <c r="V35" s="375"/>
    </row>
  </sheetData>
  <scenarios current="0" show="0" sqref="C32:C33">
    <scenario name="High Long Term Growth" locked="1" count="1" user="Luigi D'Amato" comment="Creato da: D'Amato, Luigi il 02/03/2020_x000a_Modificato da: Luigi D'Amato il 27/06/2020_x000a_Modificato da: Luigi D'Amato il 28/06/2020_x000a_Modificato da: Luigi D'Amato il 29/06/2020_x000a_Modificato da: Luigi D'Amato il 30/06/2020">
      <inputCells r="H11" val="0,011" numFmtId="164"/>
    </scenario>
    <scenario name="Low Long Term Growth" locked="1" count="1" user="Luigi D'Amato" comment="Creato da: Luigi D'Amato il 29/06/2020_x000a_Modificato da: Luigi D'Amato il 30/06/2020">
      <inputCells r="H11" val="0,006" numFmtId="164"/>
    </scenario>
    <scenario name="High COGS" locked="1" count="1" user="Luigi D'Amato" comment="Creato da: Luigi D'Amato il 29/06/2020_x000a_Modificato da: Luigi D'Amato il 29/06/2020_x000a_Modificato da: Luigi D'Amato il 30/06/2020">
      <inputCells r="H15" val="0,702" numFmtId="175"/>
    </scenario>
    <scenario name="Low COGS" locked="1" count="1" user="Luigi D'Amato" comment="Creato da: Luigi D'Amato il 29/06/2020_x000a_Modificato da: Luigi D'Amato il 30/06/2020">
      <inputCells r="H15" val="0,51" numFmtId="175"/>
    </scenario>
    <scenario name="Low Risk" locked="1" count="2" user="Luigi D'Amato" comment="Creato da: Luigi D'Amato il 29/06/2020_x000a_Modificato da: Luigi D'Amato il 29/06/2020_x000a_Modificato da: Luigi D'Amato il 30/06/2020">
      <inputCells r="H19" val="0,02" numFmtId="175"/>
      <inputCells r="H20" val="0,006" numFmtId="175"/>
    </scenario>
    <scenario name="High Risk" locked="1" count="2" user="Luigi D'Amato" comment="Creato da: Luigi D'Amato il 29/06/2020">
      <inputCells r="H19" val="0,0364" numFmtId="175"/>
      <inputCells r="H20" val="0,0137" numFmtId="175"/>
    </scenario>
    <scenario name="High Investments" locked="1" count="1" user="Luigi D'Amato" comment="Creato da: Luigi D'Amato il 30/06/2020_x000a_Modificato da: Luigi D'Amato il 30/06/2020">
      <inputCells r="H28" val="0,044" numFmtId="9"/>
    </scenario>
    <scenario name="Low Investments" locked="1" count="1" user="Luigi D'Amato" comment="Creato da: Luigi D'Amato il 30/06/2020">
      <inputCells r="H28" val="0,036" numFmtId="9"/>
    </scenario>
    <scenario name="High Leverage" locked="1" count="1" user="Luigi D'Amato" comment="Creato da: Luigi D'Amato il 30/06/2020">
      <inputCells r="H24" val="0,46" numFmtId="175"/>
    </scenario>
    <scenario name="Low Leverage" locked="1" count="1" user="Luigi D'Amato" comment="Creato da: Luigi D'Amato il 30/06/2020">
      <inputCells r="H24" val="0,268" numFmtId="175"/>
    </scenario>
  </scenarios>
  <mergeCells count="4">
    <mergeCell ref="C2:D2"/>
    <mergeCell ref="M2:N2"/>
    <mergeCell ref="T2:U2"/>
    <mergeCell ref="J2:K2"/>
  </mergeCells>
  <pageMargins left="0.7" right="0.7" top="0.75" bottom="0.75" header="0.3" footer="0.3"/>
  <pageSetup paperSize="9" orientation="portrait" horizontalDpi="4294967293" verticalDpi="12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D90EE-043A-4782-ABB8-E2F797A19987}">
  <sheetPr>
    <outlinePr summaryBelow="0"/>
  </sheetPr>
  <dimension ref="A1:Q21"/>
  <sheetViews>
    <sheetView showGridLines="0" workbookViewId="0"/>
  </sheetViews>
  <sheetFormatPr defaultRowHeight="12.75" outlineLevelRow="1" outlineLevelCol="1"/>
  <cols>
    <col min="3" max="3" width="28.33203125" bestFit="1" customWidth="1"/>
    <col min="4" max="4" width="21.6640625" bestFit="1" customWidth="1" outlineLevel="1"/>
    <col min="5" max="5" width="26.1640625" customWidth="1" outlineLevel="1"/>
    <col min="6" max="6" width="27" customWidth="1" outlineLevel="1"/>
    <col min="7" max="14" width="21.6640625" bestFit="1" customWidth="1" outlineLevel="1"/>
  </cols>
  <sheetData>
    <row r="1" spans="1:17" ht="13.5" thickBot="1">
      <c r="A1" s="39"/>
      <c r="B1" s="39"/>
      <c r="C1" s="39"/>
      <c r="D1" s="39"/>
      <c r="E1" s="39"/>
      <c r="F1" s="39"/>
      <c r="G1" s="39"/>
      <c r="H1" s="39"/>
      <c r="I1" s="39"/>
      <c r="J1" s="39"/>
      <c r="K1" s="39"/>
      <c r="L1" s="39"/>
      <c r="M1" s="39"/>
      <c r="N1" s="39"/>
      <c r="O1" s="39"/>
      <c r="P1" s="39"/>
      <c r="Q1" s="39"/>
    </row>
    <row r="2" spans="1:17" ht="15">
      <c r="A2" s="39"/>
      <c r="B2" s="498" t="s">
        <v>684</v>
      </c>
      <c r="C2" s="498"/>
      <c r="D2" s="424"/>
      <c r="E2" s="424"/>
      <c r="F2" s="424"/>
      <c r="G2" s="424"/>
      <c r="H2" s="424"/>
      <c r="I2" s="424"/>
      <c r="J2" s="424"/>
      <c r="K2" s="424"/>
      <c r="L2" s="424"/>
      <c r="M2" s="424"/>
      <c r="N2" s="424"/>
      <c r="O2" s="39"/>
      <c r="P2" s="39"/>
      <c r="Q2" s="39"/>
    </row>
    <row r="3" spans="1:17" ht="15" collapsed="1">
      <c r="A3" s="39"/>
      <c r="B3" s="499"/>
      <c r="C3" s="499"/>
      <c r="D3" s="500" t="s">
        <v>582</v>
      </c>
      <c r="E3" s="500" t="s">
        <v>570</v>
      </c>
      <c r="F3" s="500" t="s">
        <v>572</v>
      </c>
      <c r="G3" s="500" t="s">
        <v>564</v>
      </c>
      <c r="H3" s="500" t="s">
        <v>565</v>
      </c>
      <c r="I3" s="500" t="s">
        <v>566</v>
      </c>
      <c r="J3" s="500" t="s">
        <v>567</v>
      </c>
      <c r="K3" s="500" t="s">
        <v>568</v>
      </c>
      <c r="L3" s="500" t="s">
        <v>579</v>
      </c>
      <c r="M3" s="500" t="s">
        <v>580</v>
      </c>
      <c r="N3" s="500" t="s">
        <v>581</v>
      </c>
      <c r="O3" s="39"/>
      <c r="P3" s="39"/>
      <c r="Q3" s="39"/>
    </row>
    <row r="4" spans="1:17" ht="112.5" hidden="1" outlineLevel="1">
      <c r="A4" s="39"/>
      <c r="B4" s="501"/>
      <c r="C4" s="501"/>
      <c r="D4" s="425"/>
      <c r="E4" s="426" t="s">
        <v>571</v>
      </c>
      <c r="F4" s="426" t="s">
        <v>573</v>
      </c>
      <c r="G4" s="426" t="s">
        <v>574</v>
      </c>
      <c r="H4" s="426" t="s">
        <v>573</v>
      </c>
      <c r="I4" s="426" t="s">
        <v>574</v>
      </c>
      <c r="J4" s="426" t="s">
        <v>563</v>
      </c>
      <c r="K4" s="426" t="s">
        <v>575</v>
      </c>
      <c r="L4" s="426" t="s">
        <v>569</v>
      </c>
      <c r="M4" s="426" t="s">
        <v>569</v>
      </c>
      <c r="N4" s="426" t="s">
        <v>569</v>
      </c>
      <c r="O4" s="39"/>
      <c r="P4" s="39"/>
      <c r="Q4" s="39"/>
    </row>
    <row r="5" spans="1:17">
      <c r="A5" s="39"/>
      <c r="B5" s="502" t="s">
        <v>583</v>
      </c>
      <c r="C5" s="502"/>
      <c r="D5" s="427"/>
      <c r="E5" s="427"/>
      <c r="F5" s="427"/>
      <c r="G5" s="427"/>
      <c r="H5" s="427"/>
      <c r="I5" s="427"/>
      <c r="J5" s="427"/>
      <c r="K5" s="427"/>
      <c r="L5" s="427"/>
      <c r="M5" s="427"/>
      <c r="N5" s="427"/>
      <c r="O5" s="39"/>
      <c r="P5" s="39"/>
      <c r="Q5" s="39"/>
    </row>
    <row r="6" spans="1:17" outlineLevel="1">
      <c r="A6" s="39"/>
      <c r="B6" s="501"/>
      <c r="C6" s="501" t="s">
        <v>557</v>
      </c>
      <c r="D6" s="428">
        <v>8.5156250000000006E-3</v>
      </c>
      <c r="E6" s="429">
        <v>1.0999999999999999E-2</v>
      </c>
      <c r="F6" s="429">
        <v>6.0000000000000001E-3</v>
      </c>
      <c r="G6" s="428">
        <v>8.5156250000000006E-3</v>
      </c>
      <c r="H6" s="428">
        <v>8.5156250000000006E-3</v>
      </c>
      <c r="I6" s="428">
        <v>8.5156250000000006E-3</v>
      </c>
      <c r="J6" s="428">
        <v>8.5156250000000006E-3</v>
      </c>
      <c r="K6" s="428">
        <v>8.5156250000000006E-3</v>
      </c>
      <c r="L6" s="428">
        <v>8.5156250000000006E-3</v>
      </c>
      <c r="M6" s="428">
        <v>8.5156250000000006E-3</v>
      </c>
      <c r="N6" s="428">
        <v>8.5156250000000006E-3</v>
      </c>
      <c r="O6" s="39"/>
      <c r="P6" s="39"/>
      <c r="Q6" s="39"/>
    </row>
    <row r="7" spans="1:17" outlineLevel="1">
      <c r="A7" s="39"/>
      <c r="B7" s="501"/>
      <c r="C7" s="501" t="s">
        <v>558</v>
      </c>
      <c r="D7" s="428">
        <v>0.63800000000000001</v>
      </c>
      <c r="E7" s="428">
        <v>0.63800000000000001</v>
      </c>
      <c r="F7" s="428">
        <v>0.63800000000000001</v>
      </c>
      <c r="G7" s="429">
        <v>0.70199999999999996</v>
      </c>
      <c r="H7" s="429">
        <v>0.51</v>
      </c>
      <c r="I7" s="428">
        <v>0.63800000000000001</v>
      </c>
      <c r="J7" s="428">
        <v>0.63800000000000001</v>
      </c>
      <c r="K7" s="428">
        <v>0.63800000000000001</v>
      </c>
      <c r="L7" s="428">
        <v>0.63800000000000001</v>
      </c>
      <c r="M7" s="428">
        <v>0.63800000000000001</v>
      </c>
      <c r="N7" s="428">
        <v>0.63800000000000001</v>
      </c>
      <c r="O7" s="39"/>
      <c r="P7" s="39"/>
      <c r="Q7" s="39"/>
    </row>
    <row r="8" spans="1:17" outlineLevel="1">
      <c r="A8" s="39"/>
      <c r="B8" s="501"/>
      <c r="C8" s="501" t="s">
        <v>559</v>
      </c>
      <c r="D8" s="428">
        <v>2.8000000000000001E-2</v>
      </c>
      <c r="E8" s="428">
        <v>2.8000000000000001E-2</v>
      </c>
      <c r="F8" s="428">
        <v>2.8000000000000001E-2</v>
      </c>
      <c r="G8" s="428">
        <v>2.8000000000000001E-2</v>
      </c>
      <c r="H8" s="428">
        <v>2.8000000000000001E-2</v>
      </c>
      <c r="I8" s="429">
        <v>0.02</v>
      </c>
      <c r="J8" s="429">
        <v>3.6400000000000002E-2</v>
      </c>
      <c r="K8" s="428">
        <v>2.8000000000000001E-2</v>
      </c>
      <c r="L8" s="428">
        <v>2.8000000000000001E-2</v>
      </c>
      <c r="M8" s="428">
        <v>2.8000000000000001E-2</v>
      </c>
      <c r="N8" s="428">
        <v>2.8000000000000001E-2</v>
      </c>
      <c r="O8" s="39"/>
      <c r="P8" s="39"/>
      <c r="Q8" s="39"/>
    </row>
    <row r="9" spans="1:17" outlineLevel="1">
      <c r="A9" s="39"/>
      <c r="B9" s="501"/>
      <c r="C9" s="501" t="s">
        <v>547</v>
      </c>
      <c r="D9" s="428">
        <v>9.7999999999999997E-3</v>
      </c>
      <c r="E9" s="428">
        <v>9.7999999999999997E-3</v>
      </c>
      <c r="F9" s="428">
        <v>9.7999999999999997E-3</v>
      </c>
      <c r="G9" s="428">
        <v>9.7999999999999997E-3</v>
      </c>
      <c r="H9" s="428">
        <v>9.7999999999999997E-3</v>
      </c>
      <c r="I9" s="429">
        <v>6.0000000000000001E-3</v>
      </c>
      <c r="J9" s="429">
        <v>1.37E-2</v>
      </c>
      <c r="K9" s="428">
        <v>9.7999999999999997E-3</v>
      </c>
      <c r="L9" s="428">
        <v>9.7999999999999997E-3</v>
      </c>
      <c r="M9" s="428">
        <v>9.7999999999999997E-3</v>
      </c>
      <c r="N9" s="428">
        <v>9.7999999999999997E-3</v>
      </c>
      <c r="O9" s="39"/>
      <c r="P9" s="39"/>
      <c r="Q9" s="39"/>
    </row>
    <row r="10" spans="1:17" outlineLevel="1">
      <c r="A10" s="39"/>
      <c r="B10" s="501"/>
      <c r="C10" s="501" t="s">
        <v>560</v>
      </c>
      <c r="D10" s="428">
        <v>0.04</v>
      </c>
      <c r="E10" s="428">
        <v>0.04</v>
      </c>
      <c r="F10" s="428">
        <v>0.04</v>
      </c>
      <c r="G10" s="428">
        <v>0.04</v>
      </c>
      <c r="H10" s="428">
        <v>0.04</v>
      </c>
      <c r="I10" s="428">
        <v>0.04</v>
      </c>
      <c r="J10" s="428">
        <v>0.04</v>
      </c>
      <c r="K10" s="429">
        <v>4.3999999999999997E-2</v>
      </c>
      <c r="L10" s="429">
        <v>3.5999999999999997E-2</v>
      </c>
      <c r="M10" s="428">
        <v>0.04</v>
      </c>
      <c r="N10" s="428">
        <v>0.04</v>
      </c>
      <c r="O10" s="39"/>
      <c r="P10" s="39"/>
      <c r="Q10" s="39"/>
    </row>
    <row r="11" spans="1:17" outlineLevel="1">
      <c r="A11" s="39"/>
      <c r="B11" s="501"/>
      <c r="C11" s="501" t="s">
        <v>578</v>
      </c>
      <c r="D11" s="428">
        <v>0.38300000000000001</v>
      </c>
      <c r="E11" s="428">
        <v>0.38300000000000001</v>
      </c>
      <c r="F11" s="428">
        <v>0.38300000000000001</v>
      </c>
      <c r="G11" s="428">
        <v>0.38300000000000001</v>
      </c>
      <c r="H11" s="428">
        <v>0.38300000000000001</v>
      </c>
      <c r="I11" s="428">
        <v>0.38300000000000001</v>
      </c>
      <c r="J11" s="428">
        <v>0.38300000000000001</v>
      </c>
      <c r="K11" s="428">
        <v>0.38300000000000001</v>
      </c>
      <c r="L11" s="428">
        <v>0.38300000000000001</v>
      </c>
      <c r="M11" s="429">
        <v>0.46</v>
      </c>
      <c r="N11" s="429">
        <v>0.26800000000000002</v>
      </c>
      <c r="O11" s="39"/>
      <c r="P11" s="39"/>
      <c r="Q11" s="39"/>
    </row>
    <row r="12" spans="1:17">
      <c r="A12" s="39"/>
      <c r="B12" s="502" t="s">
        <v>584</v>
      </c>
      <c r="C12" s="502"/>
      <c r="D12" s="427"/>
      <c r="E12" s="427"/>
      <c r="F12" s="427"/>
      <c r="G12" s="427"/>
      <c r="H12" s="427"/>
      <c r="I12" s="427"/>
      <c r="J12" s="427"/>
      <c r="K12" s="427"/>
      <c r="L12" s="427"/>
      <c r="M12" s="427"/>
      <c r="N12" s="427"/>
      <c r="O12" s="39"/>
      <c r="P12" s="39"/>
      <c r="Q12" s="39"/>
    </row>
    <row r="13" spans="1:17" outlineLevel="1">
      <c r="A13" s="39"/>
      <c r="B13" s="501"/>
      <c r="C13" s="501" t="s">
        <v>561</v>
      </c>
      <c r="D13" s="430">
        <v>29003.603181333099</v>
      </c>
      <c r="E13" s="430">
        <v>29144.489024348801</v>
      </c>
      <c r="F13" s="430">
        <v>28867.5646348021</v>
      </c>
      <c r="G13" s="430">
        <v>12086.118715193599</v>
      </c>
      <c r="H13" s="430">
        <v>62838.572113611997</v>
      </c>
      <c r="I13" s="430">
        <v>31105.9279261468</v>
      </c>
      <c r="J13" s="430">
        <v>27090.318033858101</v>
      </c>
      <c r="K13" s="430">
        <v>28788.3004115945</v>
      </c>
      <c r="L13" s="430">
        <v>29218.9059510716</v>
      </c>
      <c r="M13" s="430">
        <v>29692.259185056198</v>
      </c>
      <c r="N13" s="430">
        <v>27889.966316065798</v>
      </c>
      <c r="O13" s="39"/>
      <c r="P13" s="39"/>
      <c r="Q13" s="39"/>
    </row>
    <row r="14" spans="1:17" ht="13.5" outlineLevel="1" thickBot="1">
      <c r="A14" s="39"/>
      <c r="B14" s="503"/>
      <c r="C14" s="503" t="s">
        <v>562</v>
      </c>
      <c r="D14" s="431">
        <v>19946.603181333099</v>
      </c>
      <c r="E14" s="431">
        <v>20087.489024348801</v>
      </c>
      <c r="F14" s="431">
        <v>19810.5646348021</v>
      </c>
      <c r="G14" s="431">
        <v>3029.1187151935901</v>
      </c>
      <c r="H14" s="431">
        <v>53781.572113611997</v>
      </c>
      <c r="I14" s="431">
        <v>22048.9279261468</v>
      </c>
      <c r="J14" s="431">
        <v>18033.318033858101</v>
      </c>
      <c r="K14" s="431">
        <v>19731.3004115945</v>
      </c>
      <c r="L14" s="431">
        <v>20161.9059510716</v>
      </c>
      <c r="M14" s="431">
        <v>20635.259185056198</v>
      </c>
      <c r="N14" s="431">
        <v>18832.966316065798</v>
      </c>
      <c r="O14" s="39"/>
      <c r="P14" s="39"/>
      <c r="Q14" s="39"/>
    </row>
    <row r="15" spans="1:17" ht="13.5" thickBot="1">
      <c r="A15" s="39"/>
      <c r="B15" s="39"/>
      <c r="C15" s="39"/>
      <c r="D15" s="39"/>
      <c r="E15" s="39"/>
      <c r="F15" s="39"/>
      <c r="G15" s="39"/>
      <c r="H15" s="39"/>
      <c r="I15" s="39"/>
      <c r="J15" s="39"/>
      <c r="K15" s="39"/>
      <c r="L15" s="39"/>
      <c r="M15" s="39"/>
      <c r="N15" s="39"/>
      <c r="O15" s="39"/>
      <c r="P15" s="39"/>
      <c r="Q15" s="39"/>
    </row>
    <row r="16" spans="1:17" ht="15">
      <c r="A16" s="39"/>
      <c r="B16" s="498" t="s">
        <v>684</v>
      </c>
      <c r="C16" s="498"/>
      <c r="D16" s="424"/>
      <c r="E16" s="424"/>
      <c r="F16" s="424"/>
      <c r="G16" s="424"/>
      <c r="H16" s="424"/>
      <c r="I16" s="424"/>
      <c r="J16" s="424"/>
      <c r="K16" s="424"/>
      <c r="L16" s="424"/>
      <c r="M16" s="424"/>
      <c r="N16" s="424"/>
      <c r="O16" s="424"/>
      <c r="P16" s="424"/>
      <c r="Q16" s="424"/>
    </row>
    <row r="17" spans="1:17" ht="15" collapsed="1">
      <c r="A17" s="39"/>
      <c r="B17" s="499"/>
      <c r="C17" s="499"/>
      <c r="D17" s="504">
        <v>0.3</v>
      </c>
      <c r="E17" s="504">
        <v>0.05</v>
      </c>
      <c r="F17" s="504">
        <v>0.1</v>
      </c>
      <c r="G17" s="504">
        <v>0.05</v>
      </c>
      <c r="H17" s="504">
        <v>0.05</v>
      </c>
      <c r="I17" s="504">
        <v>0.1</v>
      </c>
      <c r="J17" s="504">
        <v>0.05</v>
      </c>
      <c r="K17" s="504">
        <v>0.1</v>
      </c>
      <c r="L17" s="504">
        <v>0.1</v>
      </c>
      <c r="M17" s="504">
        <v>0.05</v>
      </c>
      <c r="N17" s="504">
        <v>0.05</v>
      </c>
      <c r="O17" s="568" t="s">
        <v>688</v>
      </c>
      <c r="P17" s="568"/>
      <c r="Q17" s="568"/>
    </row>
    <row r="18" spans="1:17" ht="112.5" hidden="1" outlineLevel="1">
      <c r="A18" s="39"/>
      <c r="B18" s="501"/>
      <c r="C18" s="501"/>
      <c r="D18" s="425"/>
      <c r="E18" s="426" t="s">
        <v>571</v>
      </c>
      <c r="F18" s="426" t="s">
        <v>573</v>
      </c>
      <c r="G18" s="426" t="s">
        <v>574</v>
      </c>
      <c r="H18" s="426" t="s">
        <v>573</v>
      </c>
      <c r="I18" s="426" t="s">
        <v>574</v>
      </c>
      <c r="J18" s="426" t="s">
        <v>563</v>
      </c>
      <c r="K18" s="426" t="s">
        <v>575</v>
      </c>
      <c r="L18" s="426" t="s">
        <v>569</v>
      </c>
      <c r="M18" s="426" t="s">
        <v>569</v>
      </c>
      <c r="N18" s="426" t="s">
        <v>569</v>
      </c>
      <c r="O18" s="426" t="s">
        <v>685</v>
      </c>
      <c r="P18" s="426" t="s">
        <v>686</v>
      </c>
      <c r="Q18" s="426" t="s">
        <v>687</v>
      </c>
    </row>
    <row r="19" spans="1:17">
      <c r="A19" s="39"/>
      <c r="B19" s="502" t="s">
        <v>584</v>
      </c>
      <c r="C19" s="502"/>
      <c r="D19" s="427"/>
      <c r="E19" s="427"/>
      <c r="F19" s="427"/>
      <c r="G19" s="427"/>
      <c r="H19" s="427"/>
      <c r="I19" s="427"/>
      <c r="J19" s="427"/>
      <c r="K19" s="427"/>
      <c r="L19" s="427"/>
      <c r="M19" s="427"/>
      <c r="N19" s="427"/>
      <c r="O19" s="427"/>
      <c r="P19" s="427"/>
      <c r="Q19" s="427"/>
    </row>
    <row r="20" spans="1:17" outlineLevel="1">
      <c r="A20" s="39"/>
      <c r="B20" s="501"/>
      <c r="C20" s="501" t="s">
        <v>561</v>
      </c>
      <c r="D20" s="430">
        <f>D13*D17</f>
        <v>8701.0809543999294</v>
      </c>
      <c r="E20" s="430">
        <f t="shared" ref="E20:N20" si="0">E13*E17</f>
        <v>1457.2244512174402</v>
      </c>
      <c r="F20" s="430">
        <f t="shared" si="0"/>
        <v>2886.7564634802102</v>
      </c>
      <c r="G20" s="430">
        <f t="shared" si="0"/>
        <v>604.30593575967998</v>
      </c>
      <c r="H20" s="430">
        <f t="shared" si="0"/>
        <v>3141.9286056806</v>
      </c>
      <c r="I20" s="430">
        <f t="shared" si="0"/>
        <v>3110.5927926146801</v>
      </c>
      <c r="J20" s="430">
        <f t="shared" si="0"/>
        <v>1354.5159016929051</v>
      </c>
      <c r="K20" s="430">
        <f t="shared" si="0"/>
        <v>2878.83004115945</v>
      </c>
      <c r="L20" s="430">
        <f t="shared" si="0"/>
        <v>2921.8905951071602</v>
      </c>
      <c r="M20" s="430">
        <f t="shared" si="0"/>
        <v>1484.61295925281</v>
      </c>
      <c r="N20" s="430">
        <f t="shared" si="0"/>
        <v>1394.4983158032901</v>
      </c>
      <c r="O20" s="566">
        <f>SUM(D20:N20)</f>
        <v>29936.237016168154</v>
      </c>
      <c r="P20" s="566"/>
      <c r="Q20" s="566"/>
    </row>
    <row r="21" spans="1:17" ht="13.5" outlineLevel="1" thickBot="1">
      <c r="A21" s="39"/>
      <c r="B21" s="503"/>
      <c r="C21" s="503" t="s">
        <v>562</v>
      </c>
      <c r="D21" s="431">
        <f>D14*D17</f>
        <v>5983.9809543999299</v>
      </c>
      <c r="E21" s="431">
        <f t="shared" ref="E21:N21" si="1">E14*E17</f>
        <v>1004.3744512174401</v>
      </c>
      <c r="F21" s="431">
        <f t="shared" si="1"/>
        <v>1981.0564634802101</v>
      </c>
      <c r="G21" s="431">
        <f t="shared" si="1"/>
        <v>151.45593575967951</v>
      </c>
      <c r="H21" s="431">
        <f t="shared" si="1"/>
        <v>2689.0786056806</v>
      </c>
      <c r="I21" s="431">
        <f t="shared" si="1"/>
        <v>2204.8927926146803</v>
      </c>
      <c r="J21" s="431">
        <f t="shared" si="1"/>
        <v>901.66590169290509</v>
      </c>
      <c r="K21" s="431">
        <f t="shared" si="1"/>
        <v>1973.1300411594502</v>
      </c>
      <c r="L21" s="431">
        <f t="shared" si="1"/>
        <v>2016.1905951071601</v>
      </c>
      <c r="M21" s="431">
        <f t="shared" si="1"/>
        <v>1031.7629592528099</v>
      </c>
      <c r="N21" s="431">
        <f t="shared" si="1"/>
        <v>941.64831580328996</v>
      </c>
      <c r="O21" s="567">
        <f>SUM(D21:N21)</f>
        <v>20879.237016168154</v>
      </c>
      <c r="P21" s="567"/>
      <c r="Q21" s="567"/>
    </row>
  </sheetData>
  <mergeCells count="3">
    <mergeCell ref="O20:Q20"/>
    <mergeCell ref="O21:Q21"/>
    <mergeCell ref="O17:Q17"/>
  </mergeCells>
  <phoneticPr fontId="40" type="noConversion"/>
  <pageMargins left="0.7" right="0.7" top="0.75" bottom="0.75" header="0.3" footer="0.3"/>
  <pageSetup paperSize="9" orientation="portrait" horizontalDpi="1200" verticalDpi="12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4"/>
  <sheetViews>
    <sheetView workbookViewId="0"/>
  </sheetViews>
  <sheetFormatPr defaultRowHeight="12.75"/>
  <cols>
    <col min="1" max="3" width="36.83203125" customWidth="1"/>
  </cols>
  <sheetData>
    <row r="1" spans="1:3">
      <c r="A1" s="184" t="s">
        <v>443</v>
      </c>
    </row>
    <row r="3" spans="1:3">
      <c r="A3" t="s">
        <v>444</v>
      </c>
      <c r="B3" t="s">
        <v>445</v>
      </c>
      <c r="C3">
        <v>0</v>
      </c>
    </row>
    <row r="4" spans="1:3">
      <c r="A4" t="s">
        <v>446</v>
      </c>
    </row>
    <row r="5" spans="1:3">
      <c r="A5" t="s">
        <v>447</v>
      </c>
    </row>
    <row r="7" spans="1:3">
      <c r="A7" s="184" t="s">
        <v>448</v>
      </c>
      <c r="B7" t="s">
        <v>449</v>
      </c>
    </row>
    <row r="8" spans="1:3">
      <c r="B8">
        <v>3</v>
      </c>
    </row>
    <row r="10" spans="1:3">
      <c r="A10" t="s">
        <v>450</v>
      </c>
    </row>
    <row r="11" spans="1:3">
      <c r="A11" t="e">
        <f>CB_DATA_!#REF!</f>
        <v>#REF!</v>
      </c>
      <c r="C11" t="e">
        <f>'Monte Carlo Simulation'!#REF!</f>
        <v>#REF!</v>
      </c>
    </row>
    <row r="13" spans="1:3">
      <c r="A13" t="s">
        <v>451</v>
      </c>
    </row>
    <row r="14" spans="1:3">
      <c r="A14" t="s">
        <v>455</v>
      </c>
      <c r="C14" t="s">
        <v>475</v>
      </c>
    </row>
    <row r="16" spans="1:3">
      <c r="A16" t="s">
        <v>452</v>
      </c>
    </row>
    <row r="19" spans="1:3">
      <c r="A19" t="s">
        <v>453</v>
      </c>
    </row>
    <row r="20" spans="1:3">
      <c r="A20">
        <v>31</v>
      </c>
      <c r="C20">
        <v>34</v>
      </c>
    </row>
    <row r="25" spans="1:3">
      <c r="A25" s="184" t="s">
        <v>454</v>
      </c>
    </row>
    <row r="26" spans="1:3">
      <c r="A26" s="185" t="s">
        <v>456</v>
      </c>
      <c r="C26" s="185" t="s">
        <v>487</v>
      </c>
    </row>
    <row r="27" spans="1:3">
      <c r="A27" t="s">
        <v>528</v>
      </c>
      <c r="C27" t="s">
        <v>530</v>
      </c>
    </row>
    <row r="28" spans="1:3">
      <c r="A28" s="185" t="s">
        <v>457</v>
      </c>
      <c r="C28" s="185" t="s">
        <v>457</v>
      </c>
    </row>
    <row r="29" spans="1:3">
      <c r="A29" s="185" t="s">
        <v>458</v>
      </c>
      <c r="C29" s="185" t="s">
        <v>456</v>
      </c>
    </row>
    <row r="30" spans="1:3">
      <c r="A30" t="s">
        <v>527</v>
      </c>
      <c r="C30" t="s">
        <v>529</v>
      </c>
    </row>
    <row r="31" spans="1:3">
      <c r="A31" s="185" t="s">
        <v>457</v>
      </c>
      <c r="C31" s="185" t="s">
        <v>457</v>
      </c>
    </row>
    <row r="32" spans="1:3">
      <c r="C32" s="185" t="s">
        <v>458</v>
      </c>
    </row>
    <row r="33" spans="3:3">
      <c r="C33" t="s">
        <v>531</v>
      </c>
    </row>
    <row r="34" spans="3:3">
      <c r="C34" s="185" t="s">
        <v>457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5574407E8A4B647A86E8135FB0970AB" ma:contentTypeVersion="9" ma:contentTypeDescription="Creare un nuovo documento." ma:contentTypeScope="" ma:versionID="5c2e6aa191f00ae444bdff21a38a378e">
  <xsd:schema xmlns:xsd="http://www.w3.org/2001/XMLSchema" xmlns:xs="http://www.w3.org/2001/XMLSchema" xmlns:p="http://schemas.microsoft.com/office/2006/metadata/properties" xmlns:ns3="1260cc28-dfa6-4732-8877-ac31bdb04360" targetNamespace="http://schemas.microsoft.com/office/2006/metadata/properties" ma:root="true" ma:fieldsID="5ddc5cf92fed22ed383e19f2da482524" ns3:_="">
    <xsd:import namespace="1260cc28-dfa6-4732-8877-ac31bdb04360"/>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60cc28-dfa6-4732-8877-ac31bdb043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443FAA-AFED-4605-9270-88E2E9EE09F3}">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1260cc28-dfa6-4732-8877-ac31bdb04360"/>
    <ds:schemaRef ds:uri="http://www.w3.org/XML/1998/namespace"/>
    <ds:schemaRef ds:uri="http://purl.org/dc/dcmitype/"/>
  </ds:schemaRefs>
</ds:datastoreItem>
</file>

<file path=customXml/itemProps2.xml><?xml version="1.0" encoding="utf-8"?>
<ds:datastoreItem xmlns:ds="http://schemas.openxmlformats.org/officeDocument/2006/customXml" ds:itemID="{1FB14A57-4B51-47A6-88D9-E52B70A56843}">
  <ds:schemaRefs>
    <ds:schemaRef ds:uri="http://schemas.microsoft.com/sharepoint/v3/contenttype/forms"/>
  </ds:schemaRefs>
</ds:datastoreItem>
</file>

<file path=customXml/itemProps3.xml><?xml version="1.0" encoding="utf-8"?>
<ds:datastoreItem xmlns:ds="http://schemas.openxmlformats.org/officeDocument/2006/customXml" ds:itemID="{65E7D824-4A40-4338-9E9B-DF5C136FF1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60cc28-dfa6-4732-8877-ac31bdb043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31</vt:i4>
      </vt:variant>
      <vt:variant>
        <vt:lpstr>Intervalli denominati</vt:lpstr>
      </vt:variant>
      <vt:variant>
        <vt:i4>22</vt:i4>
      </vt:variant>
    </vt:vector>
  </HeadingPairs>
  <TitlesOfParts>
    <vt:vector size="53" baseType="lpstr">
      <vt:lpstr>Investment Memo - Kellogg's</vt:lpstr>
      <vt:lpstr>Assumptions</vt:lpstr>
      <vt:lpstr>f</vt:lpstr>
      <vt:lpstr>Balance Sheet - As Reported</vt:lpstr>
      <vt:lpstr>Income Statement - As Reported</vt:lpstr>
      <vt:lpstr>Cash Flow Statement - As Repor.</vt:lpstr>
      <vt:lpstr>Balance Sheet - Restated</vt:lpstr>
      <vt:lpstr>Income Statement - Restated</vt:lpstr>
      <vt:lpstr>--&gt; Forecasts</vt:lpstr>
      <vt:lpstr>Sheet3</vt:lpstr>
      <vt:lpstr>Foglio1</vt:lpstr>
      <vt:lpstr>Operating Forecasts2</vt:lpstr>
      <vt:lpstr>Operating Items Forecasts</vt:lpstr>
      <vt:lpstr>Investment Forecasts</vt:lpstr>
      <vt:lpstr>Financing Forecasts </vt:lpstr>
      <vt:lpstr>Foglio2</vt:lpstr>
      <vt:lpstr>Other Items Forecasts</vt:lpstr>
      <vt:lpstr>--&gt; Output</vt:lpstr>
      <vt:lpstr>Operating Forecasts</vt:lpstr>
      <vt:lpstr>Financial Analysis</vt:lpstr>
      <vt:lpstr>--&gt; Valuation</vt:lpstr>
      <vt:lpstr>WACC</vt:lpstr>
      <vt:lpstr>DCF</vt:lpstr>
      <vt:lpstr>Trading Multiples</vt:lpstr>
      <vt:lpstr>Inflation Data</vt:lpstr>
      <vt:lpstr>Historical Cost of Goods Sold</vt:lpstr>
      <vt:lpstr>Correlation</vt:lpstr>
      <vt:lpstr>Monte Carlo Simulation</vt:lpstr>
      <vt:lpstr>--&gt; Scenario Analysis</vt:lpstr>
      <vt:lpstr>Inputs</vt:lpstr>
      <vt:lpstr>Scenario Summary</vt:lpstr>
      <vt:lpstr>CAPEX_Sales_Percentage</vt:lpstr>
      <vt:lpstr>Choice_Of_Cost_Of_Equity</vt:lpstr>
      <vt:lpstr>COGS_Percentage_of_Sales</vt:lpstr>
      <vt:lpstr>Enterprise_Value</vt:lpstr>
      <vt:lpstr>DCF!ENTERPRISE_VALUE_DCF</vt:lpstr>
      <vt:lpstr>DCF!EQUITY_VALUE</vt:lpstr>
      <vt:lpstr>Inputs!Equity_Value</vt:lpstr>
      <vt:lpstr>Initial_Leverage</vt:lpstr>
      <vt:lpstr>Long_Term_Growth</vt:lpstr>
      <vt:lpstr>Net_Sales_Growth_2023</vt:lpstr>
      <vt:lpstr>Net_Sales_Growth_Rate_2019</vt:lpstr>
      <vt:lpstr>Net_Sales_Growth_Rate_2020</vt:lpstr>
      <vt:lpstr>Net_Sales_Growth_Rate_2021</vt:lpstr>
      <vt:lpstr>Net_Sales_Growth_Rate_2022</vt:lpstr>
      <vt:lpstr>Net_Sales_Growth_Rate_2023</vt:lpstr>
      <vt:lpstr>North_America_Inflation_2019</vt:lpstr>
      <vt:lpstr>North_America_Inflation_2020</vt:lpstr>
      <vt:lpstr>North_America_Inflation_2021</vt:lpstr>
      <vt:lpstr>North_America_Inflation_2022</vt:lpstr>
      <vt:lpstr>North_America_Inflation_2023</vt:lpstr>
      <vt:lpstr>Risk_Free_Rate</vt:lpstr>
      <vt:lpstr>Spread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lzweig</dc:creator>
  <cp:lastModifiedBy>Luigi D'Amato</cp:lastModifiedBy>
  <dcterms:created xsi:type="dcterms:W3CDTF">2020-01-22T14:31:34Z</dcterms:created>
  <dcterms:modified xsi:type="dcterms:W3CDTF">2020-07-13T18:25:24Z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0x01010075574407E8A4B647A86E8135FB0970AB</vt:lpwstr>
  </property>
</Properties>
</file>