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e Energy\"/>
    </mc:Choice>
  </mc:AlternateContent>
  <xr:revisionPtr revIDLastSave="0" documentId="13_ncr:1_{10454405-3B04-4287-A6EC-9C8C4917B0FE}" xr6:coauthVersionLast="47" xr6:coauthVersionMax="47" xr10:uidLastSave="{00000000-0000-0000-0000-000000000000}"/>
  <bookViews>
    <workbookView xWindow="28680" yWindow="-120" windowWidth="29040" windowHeight="15840" xr2:uid="{992959B5-2BA1-4252-B8F6-E12D45987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Y15" i="1"/>
  <c r="W23" i="1"/>
  <c r="Y25" i="1"/>
  <c r="W25" i="1"/>
  <c r="W12" i="1"/>
  <c r="B12" i="1" s="1"/>
  <c r="S23" i="1"/>
  <c r="S43" i="1"/>
  <c r="S39" i="1" s="1"/>
  <c r="M9" i="1"/>
  <c r="I21" i="1"/>
  <c r="I17" i="1"/>
  <c r="I40" i="1"/>
  <c r="G6" i="1"/>
  <c r="G40" i="1"/>
  <c r="E40" i="1"/>
  <c r="C40" i="1"/>
  <c r="C9" i="1"/>
  <c r="Y40" i="1"/>
  <c r="Y44" i="1"/>
  <c r="Y23" i="1"/>
  <c r="Y47" i="1"/>
  <c r="B10" i="1"/>
  <c r="Y8" i="1"/>
  <c r="Y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X25" i="1"/>
  <c r="V25" i="1"/>
  <c r="T25" i="1"/>
  <c r="R25" i="1"/>
  <c r="P25" i="1"/>
  <c r="N25" i="1"/>
  <c r="L25" i="1"/>
  <c r="J25" i="1"/>
  <c r="H25" i="1"/>
  <c r="F25" i="1"/>
  <c r="D25" i="1"/>
  <c r="I25" i="1"/>
  <c r="K25" i="1"/>
  <c r="M25" i="1"/>
  <c r="O25" i="1"/>
  <c r="Q25" i="1"/>
  <c r="S25" i="1"/>
  <c r="U25" i="1"/>
  <c r="D15" i="1"/>
  <c r="F15" i="1"/>
  <c r="H15" i="1"/>
  <c r="J15" i="1"/>
  <c r="K15" i="1"/>
  <c r="L15" i="1"/>
  <c r="M15" i="1"/>
  <c r="N15" i="1"/>
  <c r="O15" i="1"/>
  <c r="P15" i="1"/>
  <c r="Q15" i="1"/>
  <c r="R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E5" i="1"/>
  <c r="F5" i="1"/>
  <c r="H5" i="1"/>
  <c r="I5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D5" i="1"/>
  <c r="D8" i="1"/>
  <c r="E8" i="1"/>
  <c r="F8" i="1"/>
  <c r="G8" i="1"/>
  <c r="H8" i="1"/>
  <c r="J8" i="1"/>
  <c r="K8" i="1"/>
  <c r="L8" i="1"/>
  <c r="N8" i="1"/>
  <c r="O8" i="1"/>
  <c r="P8" i="1"/>
  <c r="Q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C8" i="1"/>
  <c r="C4" i="1" s="1"/>
  <c r="W15" i="1"/>
  <c r="W40" i="1"/>
  <c r="W39" i="1" s="1"/>
  <c r="W36" i="1"/>
  <c r="W29" i="1"/>
  <c r="Y39" i="1" l="1"/>
  <c r="Y14" i="1" s="1"/>
  <c r="Y4" i="1"/>
  <c r="R4" i="1"/>
  <c r="BK4" i="1"/>
  <c r="BG4" i="1"/>
  <c r="AY4" i="1"/>
  <c r="AQ4" i="1"/>
  <c r="AI4" i="1"/>
  <c r="AA4" i="1"/>
  <c r="BU4" i="1"/>
  <c r="BQ4" i="1"/>
  <c r="BM4" i="1"/>
  <c r="BI4" i="1"/>
  <c r="BE4" i="1"/>
  <c r="BA4" i="1"/>
  <c r="AW4" i="1"/>
  <c r="AS4" i="1"/>
  <c r="AO4" i="1"/>
  <c r="AK4" i="1"/>
  <c r="AG4" i="1"/>
  <c r="AC4" i="1"/>
  <c r="X4" i="1"/>
  <c r="T4" i="1"/>
  <c r="P4" i="1"/>
  <c r="L4" i="1"/>
  <c r="F4" i="1"/>
  <c r="V4" i="1"/>
  <c r="BS4" i="1"/>
  <c r="BO4" i="1"/>
  <c r="BC4" i="1"/>
  <c r="AU4" i="1"/>
  <c r="AM4" i="1"/>
  <c r="AE4" i="1"/>
  <c r="D4" i="1"/>
  <c r="BT4" i="1"/>
  <c r="BP4" i="1"/>
  <c r="BL4" i="1"/>
  <c r="BH4" i="1"/>
  <c r="BD4" i="1"/>
  <c r="AZ4" i="1"/>
  <c r="AV4" i="1"/>
  <c r="AR4" i="1"/>
  <c r="AN4" i="1"/>
  <c r="AJ4" i="1"/>
  <c r="AF4" i="1"/>
  <c r="AB4" i="1"/>
  <c r="S4" i="1"/>
  <c r="O4" i="1"/>
  <c r="J4" i="1"/>
  <c r="E4" i="1"/>
  <c r="N4" i="1"/>
  <c r="BV4" i="1"/>
  <c r="BR4" i="1"/>
  <c r="BN4" i="1"/>
  <c r="BJ4" i="1"/>
  <c r="BF4" i="1"/>
  <c r="BB4" i="1"/>
  <c r="AX4" i="1"/>
  <c r="AT4" i="1"/>
  <c r="AP4" i="1"/>
  <c r="AL4" i="1"/>
  <c r="AH4" i="1"/>
  <c r="AD4" i="1"/>
  <c r="Z4" i="1"/>
  <c r="Q4" i="1"/>
  <c r="H4" i="1"/>
  <c r="G5" i="1"/>
  <c r="G4" i="1" s="1"/>
  <c r="K7" i="1"/>
  <c r="K5" i="1" s="1"/>
  <c r="K4" i="1" s="1"/>
  <c r="I9" i="1"/>
  <c r="M11" i="1"/>
  <c r="B11" i="1" s="1"/>
  <c r="E32" i="1"/>
  <c r="E21" i="1"/>
  <c r="G21" i="1"/>
  <c r="I22" i="1"/>
  <c r="C25" i="1"/>
  <c r="G29" i="1"/>
  <c r="G25" i="1" s="1"/>
  <c r="C23" i="1"/>
  <c r="C15" i="1" s="1"/>
  <c r="E23" i="1"/>
  <c r="G23" i="1"/>
  <c r="I23" i="1"/>
  <c r="C39" i="1"/>
  <c r="G39" i="1"/>
  <c r="I39" i="1"/>
  <c r="K39" i="1"/>
  <c r="M40" i="1"/>
  <c r="O40" i="1"/>
  <c r="O41" i="1"/>
  <c r="E45" i="1"/>
  <c r="E39" i="1" s="1"/>
  <c r="M45" i="1"/>
  <c r="D47" i="1"/>
  <c r="F47" i="1"/>
  <c r="G47" i="1"/>
  <c r="H47" i="1"/>
  <c r="I47" i="1"/>
  <c r="J47" i="1"/>
  <c r="K47" i="1"/>
  <c r="L47" i="1"/>
  <c r="N47" i="1"/>
  <c r="O47" i="1"/>
  <c r="P47" i="1"/>
  <c r="M49" i="1"/>
  <c r="M47" i="1" s="1"/>
  <c r="W9" i="1"/>
  <c r="W8" i="1" s="1"/>
  <c r="W4" i="1" s="1"/>
  <c r="W47" i="1"/>
  <c r="W14" i="1" s="1"/>
  <c r="U23" i="1"/>
  <c r="U22" i="1"/>
  <c r="U20" i="1"/>
  <c r="U40" i="1"/>
  <c r="U39" i="1" s="1"/>
  <c r="U9" i="1"/>
  <c r="U8" i="1" s="1"/>
  <c r="U4" i="1" s="1"/>
  <c r="U47" i="1"/>
  <c r="S19" i="1"/>
  <c r="S47" i="1"/>
  <c r="U14" i="1" l="1"/>
  <c r="K14" i="1"/>
  <c r="C14" i="1"/>
  <c r="C2" i="1" s="1"/>
  <c r="I8" i="1"/>
  <c r="B9" i="1"/>
  <c r="I15" i="1"/>
  <c r="I14" i="1" s="1"/>
  <c r="S15" i="1"/>
  <c r="S14" i="1" s="1"/>
  <c r="E25" i="1"/>
  <c r="B25" i="1" s="1"/>
  <c r="G15" i="1"/>
  <c r="G14" i="1" s="1"/>
  <c r="U15" i="1"/>
  <c r="E15" i="1"/>
  <c r="M8" i="1"/>
  <c r="M4" i="1" s="1"/>
  <c r="N14" i="1"/>
  <c r="H14" i="1"/>
  <c r="J14" i="1"/>
  <c r="L14" i="1"/>
  <c r="F14" i="1"/>
  <c r="D14" i="1"/>
  <c r="O39" i="1"/>
  <c r="O14" i="1" s="1"/>
  <c r="M39" i="1"/>
  <c r="M14" i="1" s="1"/>
  <c r="P14" i="1"/>
  <c r="Q40" i="1"/>
  <c r="Q39" i="1" s="1"/>
  <c r="Q47" i="1"/>
  <c r="B47" i="1" s="1"/>
  <c r="Q14" i="1" l="1"/>
  <c r="E14" i="1"/>
  <c r="B14" i="1" s="1"/>
  <c r="E2" i="1"/>
  <c r="G2" i="1" s="1"/>
  <c r="K2" i="1" s="1"/>
  <c r="M2" i="1" s="1"/>
  <c r="O2" i="1" s="1"/>
  <c r="Q2" i="1" s="1"/>
  <c r="S2" i="1" s="1"/>
  <c r="U2" i="1" s="1"/>
  <c r="W2" i="1" s="1"/>
  <c r="Y2" i="1" s="1"/>
  <c r="B15" i="1"/>
  <c r="I4" i="1"/>
  <c r="B4" i="1" s="1"/>
  <c r="B8" i="1"/>
  <c r="B39" i="1"/>
  <c r="BV47" i="1" l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X47" i="1"/>
  <c r="V47" i="1"/>
  <c r="T47" i="1"/>
  <c r="R47" i="1"/>
  <c r="T14" i="1" l="1"/>
  <c r="AA14" i="1"/>
  <c r="AE14" i="1"/>
  <c r="AI14" i="1"/>
  <c r="AM14" i="1"/>
  <c r="AQ14" i="1"/>
  <c r="AU14" i="1"/>
  <c r="AY14" i="1"/>
  <c r="BC14" i="1"/>
  <c r="BG14" i="1"/>
  <c r="BK14" i="1"/>
  <c r="BO14" i="1"/>
  <c r="BS14" i="1"/>
  <c r="R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V14" i="1"/>
  <c r="AB14" i="1"/>
  <c r="AF14" i="1"/>
  <c r="AJ14" i="1"/>
  <c r="AN14" i="1"/>
  <c r="AR14" i="1"/>
  <c r="AV14" i="1"/>
  <c r="AZ14" i="1"/>
  <c r="BH14" i="1"/>
  <c r="BL14" i="1"/>
  <c r="BP14" i="1"/>
  <c r="BT14" i="1"/>
  <c r="X14" i="1"/>
  <c r="AC14" i="1"/>
  <c r="AG14" i="1"/>
  <c r="AK14" i="1"/>
  <c r="AO14" i="1"/>
  <c r="AS14" i="1"/>
  <c r="AW14" i="1"/>
  <c r="BA14" i="1"/>
  <c r="BI14" i="1"/>
  <c r="BM14" i="1"/>
  <c r="BQ14" i="1"/>
  <c r="BU14" i="1"/>
  <c r="BD14" i="1"/>
  <c r="BE14" i="1"/>
</calcChain>
</file>

<file path=xl/sharedStrings.xml><?xml version="1.0" encoding="utf-8"?>
<sst xmlns="http://schemas.openxmlformats.org/spreadsheetml/2006/main" count="67" uniqueCount="46">
  <si>
    <t>Receita Bruta</t>
  </si>
  <si>
    <t>Projeto</t>
  </si>
  <si>
    <t>Demais Materiais</t>
  </si>
  <si>
    <t>Custo Equipe Manutenção</t>
  </si>
  <si>
    <t>Seguros+SGA</t>
  </si>
  <si>
    <t>Receita Financeira</t>
  </si>
  <si>
    <t>IRPJ</t>
  </si>
  <si>
    <t>CAPEX</t>
  </si>
  <si>
    <t>Entradas</t>
  </si>
  <si>
    <t>Impostos</t>
  </si>
  <si>
    <t>Despesas</t>
  </si>
  <si>
    <t>Aluguel</t>
  </si>
  <si>
    <t>IPTU</t>
  </si>
  <si>
    <t>Honoraios Contabeis</t>
  </si>
  <si>
    <t>ERP</t>
  </si>
  <si>
    <t xml:space="preserve">Retenção Impostos </t>
  </si>
  <si>
    <t>Tarifas Bancárias</t>
  </si>
  <si>
    <t>Conselho de Eng</t>
  </si>
  <si>
    <t>Potencial Sguradora</t>
  </si>
  <si>
    <t>Drei k Eletronica(materiais)</t>
  </si>
  <si>
    <t>Zeka Small (lumiarias)</t>
  </si>
  <si>
    <t>Projeto Luminotecnico</t>
  </si>
  <si>
    <t>Realizado</t>
  </si>
  <si>
    <t>Orçado</t>
  </si>
  <si>
    <t>Soni iluminação</t>
  </si>
  <si>
    <t>Aporte Brumat</t>
  </si>
  <si>
    <t>PIS - 8109</t>
  </si>
  <si>
    <t>COFINS- 2172</t>
  </si>
  <si>
    <t>CSLL - 2372</t>
  </si>
  <si>
    <t>Agua</t>
  </si>
  <si>
    <t>LUZ</t>
  </si>
  <si>
    <t>Frete</t>
  </si>
  <si>
    <t>Incesa Ind Com Elet</t>
  </si>
  <si>
    <t>Aporte Energy Due</t>
  </si>
  <si>
    <t>Exatron Industrial Eletronica</t>
  </si>
  <si>
    <t>Projeto - Assessoria WBS</t>
  </si>
  <si>
    <t>Projeto - Assessoria Safe Trade</t>
  </si>
  <si>
    <t>Receitas</t>
  </si>
  <si>
    <t>Aporte</t>
  </si>
  <si>
    <t>OPEX ADM</t>
  </si>
  <si>
    <t>OPEX OPERACIONAL</t>
  </si>
  <si>
    <t>INSTALAÇÕES</t>
  </si>
  <si>
    <t>Aporte Energy.</t>
  </si>
  <si>
    <t>Reembolso Aporte a Maior Energy</t>
  </si>
  <si>
    <t>0</t>
  </si>
  <si>
    <t>BLUCABOS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</si>
</sst>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\(#,##0\);\-"/>
    <numFmt numFmtId="165" formatCode="#,##0.00;\(#,##0.00\);\-"/>
    <numFmt numFmtId="166" formatCode="_-* #,##0_-;\-* #,##0_-;_-* &quot;-&quot;??_-;_-@_-"/>
    <numFmt numFmtId="167" formatCode="[$-416]mmm\-yy;@"/>
  </numFmts>
  <fonts count="11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3">
    <xf numFmtId="0" fontId="0" fillId="0" borderId="0" xfId="0"/>
    <xf numFmtId="17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3" fillId="0" borderId="0" xfId="0" applyNumberFormat="1" applyFont="1"/>
    <xf numFmtId="0" fontId="2" fillId="0" borderId="0" xfId="0" applyFont="1" applyAlignment="1">
      <alignment horizontal="left" vertical="center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right" indent="2"/>
    </xf>
    <xf numFmtId="0" fontId="5" fillId="0" borderId="0" xfId="0" applyFont="1" applyAlignment="1">
      <alignment horizontal="right" indent="2"/>
    </xf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6" fillId="3" borderId="0" xfId="0" applyFont="1" applyFill="1"/>
    <xf numFmtId="164" fontId="7" fillId="0" borderId="0" xfId="0" applyNumberFormat="1" applyFont="1"/>
    <xf numFmtId="164" fontId="4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6" fontId="0" fillId="0" borderId="0" xfId="1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indent="1"/>
    </xf>
    <xf numFmtId="49" fontId="2" fillId="0" borderId="0" xfId="0" applyNumberFormat="1" applyFont="1" applyAlignment="1">
      <alignment horizontal="left" vertical="center" indent="2"/>
    </xf>
    <xf numFmtId="49" fontId="0" fillId="0" borderId="0" xfId="0" applyNumberFormat="1" applyAlignment="1">
      <alignment horizontal="left" indent="2"/>
    </xf>
    <xf numFmtId="49" fontId="4" fillId="0" borderId="0" xfId="0" applyNumberFormat="1" applyFont="1"/>
    <xf numFmtId="49" fontId="5" fillId="0" borderId="0" xfId="0" applyNumberFormat="1" applyFont="1" applyAlignment="1">
      <alignment horizontal="right" indent="2"/>
    </xf>
    <xf numFmtId="49" fontId="3" fillId="0" borderId="0" xfId="0" applyNumberFormat="1" applyFont="1" applyAlignment="1">
      <alignment horizontal="left" indent="1"/>
    </xf>
    <xf numFmtId="49" fontId="0" fillId="0" borderId="0" xfId="0" applyNumberFormat="1" applyAlignment="1">
      <alignment horizontal="right" indent="2"/>
    </xf>
    <xf numFmtId="49" fontId="0" fillId="0" borderId="0" xfId="0" applyNumberFormat="1" applyAlignment="1">
      <alignment horizontal="left" indent="1"/>
    </xf>
    <xf numFmtId="167" fontId="0" fillId="0" borderId="0" xfId="0" applyNumberFormat="1"/>
    <xf numFmtId="167" fontId="1" fillId="3" borderId="0" xfId="0" applyNumberFormat="1" applyFont="1" applyFill="1" applyAlignment="1">
      <alignment horizontal="center"/>
    </xf>
    <xf numFmtId="49" fontId="0" fillId="0" borderId="0" xfId="0" applyNumberFormat="1" applyAlignment="1">
      <alignment wrapText="1"/>
    </xf>
    <xf numFmtId="3" fontId="8" fillId="0" borderId="0" xfId="0" applyNumberFormat="1" applyFont="1" applyAlignment="1">
      <alignment horizontal="left" indent="1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361-DC00-4C96-A388-FAD64E248995}">
  <dimension ref="A1:BX56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" sqref="I2"/>
    </sheetView>
  </sheetViews>
  <sheetFormatPr defaultRowHeight="15" outlineLevelCol="1" x14ac:dyDescent="0.25"/>
  <cols>
    <col min="1" max="1" width="35.42578125" style="19" customWidth="1"/>
    <col min="2" max="2" width="12.42578125" customWidth="1"/>
    <col min="3" max="6" width="11.7109375" customWidth="1" outlineLevel="1"/>
    <col min="7" max="7" width="11.7109375" style="11" customWidth="1" outlineLevel="1"/>
    <col min="8" max="8" width="11.7109375" customWidth="1" outlineLevel="1"/>
    <col min="9" max="9" width="11.7109375" style="11" customWidth="1" outlineLevel="1"/>
    <col min="10" max="10" width="11.7109375" customWidth="1" outlineLevel="1"/>
    <col min="11" max="11" width="11.7109375" style="11" customWidth="1" outlineLevel="1"/>
    <col min="12" max="12" width="11.7109375" customWidth="1" outlineLevel="1"/>
    <col min="13" max="13" width="11.7109375" style="11" customWidth="1" outlineLevel="1"/>
    <col min="14" max="14" width="11.7109375" customWidth="1" outlineLevel="1"/>
    <col min="15" max="15" width="11.7109375" style="11" customWidth="1" outlineLevel="1"/>
    <col min="16" max="74" width="11.7109375" bestFit="1" customWidth="1"/>
  </cols>
  <sheetData>
    <row r="1" spans="1:74" x14ac:dyDescent="0.25">
      <c r="B1" s="19"/>
      <c r="C1" s="13" t="s">
        <v>22</v>
      </c>
      <c r="D1" s="1" t="s">
        <v>23</v>
      </c>
      <c r="E1" s="13" t="s">
        <v>22</v>
      </c>
      <c r="F1" s="1" t="s">
        <v>23</v>
      </c>
      <c r="G1" s="13" t="s">
        <v>22</v>
      </c>
      <c r="H1" s="1" t="s">
        <v>23</v>
      </c>
      <c r="I1" s="13" t="s">
        <v>22</v>
      </c>
      <c r="J1" s="1" t="s">
        <v>23</v>
      </c>
      <c r="K1" s="13" t="s">
        <v>22</v>
      </c>
      <c r="L1" s="1" t="s">
        <v>23</v>
      </c>
      <c r="M1" s="13" t="s">
        <v>22</v>
      </c>
      <c r="N1" s="1" t="s">
        <v>23</v>
      </c>
      <c r="O1" s="13" t="s">
        <v>22</v>
      </c>
      <c r="P1" s="1" t="s">
        <v>23</v>
      </c>
      <c r="Q1" s="13" t="s">
        <v>22</v>
      </c>
      <c r="R1" s="1" t="s">
        <v>23</v>
      </c>
      <c r="S1" s="13" t="s">
        <v>22</v>
      </c>
      <c r="T1" s="1" t="s">
        <v>23</v>
      </c>
      <c r="U1" s="13" t="s">
        <v>22</v>
      </c>
      <c r="V1" s="1" t="s">
        <v>23</v>
      </c>
      <c r="W1" s="13" t="s">
        <v>22</v>
      </c>
      <c r="X1" s="1" t="s">
        <v>23</v>
      </c>
      <c r="Y1" s="13" t="s">
        <v>22</v>
      </c>
    </row>
    <row r="2" spans="1:74" x14ac:dyDescent="0.25">
      <c r="B2" s="31" t="s">
        <v>44</v>
      </c>
      <c r="C2" s="2">
        <f>A2+C4+C14</f>
        <v>13043.350000000006</v>
      </c>
      <c r="E2" s="2">
        <f>C2+E4+E14</f>
        <v>28338.030000000006</v>
      </c>
      <c r="G2" s="2">
        <f>E2+G4+G14</f>
        <v>19438.619999999995</v>
      </c>
      <c r="I2" s="2">
        <f>G2+I4+I14</f>
        <v>62.779999999998836</v>
      </c>
      <c r="K2" s="2">
        <f>I2+K4+K14</f>
        <v>23294.82</v>
      </c>
      <c r="M2" s="2">
        <f>K2+M4+M14</f>
        <v>9781.8099999999686</v>
      </c>
      <c r="O2" s="2">
        <f>M2+O4+O14</f>
        <v>33385.459999999963</v>
      </c>
      <c r="Q2" s="2">
        <f>O2+Q4+Q14</f>
        <v>27018.849999999977</v>
      </c>
      <c r="S2" s="2">
        <f>Q2+S4+S14</f>
        <v>103288.74999999997</v>
      </c>
      <c r="U2" s="2">
        <f>S2+U4+U14</f>
        <v>48849.549999999988</v>
      </c>
      <c r="W2" s="2">
        <f>U2+W4+W14</f>
        <v>172138.20999999996</v>
      </c>
      <c r="Y2" s="2">
        <f>W2+Y4+Y14</f>
        <v>30928.919999999955</v>
      </c>
    </row>
    <row r="3" spans="1:74" s="29" customFormat="1" x14ac:dyDescent="0.25">
      <c r="A3" s="19"/>
      <c r="B3" s="31"/>
      <c r="C3" s="30">
        <v>45566</v>
      </c>
      <c r="D3" s="30">
        <v>45597</v>
      </c>
      <c r="E3" s="30">
        <v>45597</v>
      </c>
      <c r="F3" s="30">
        <v>45627</v>
      </c>
      <c r="G3" s="30">
        <v>45627</v>
      </c>
      <c r="H3" s="30">
        <v>45658</v>
      </c>
      <c r="I3" s="30">
        <v>45658</v>
      </c>
      <c r="J3" s="30">
        <v>45689</v>
      </c>
      <c r="K3" s="30">
        <v>45689</v>
      </c>
      <c r="L3" s="30">
        <v>45717</v>
      </c>
      <c r="M3" s="30">
        <v>45717</v>
      </c>
      <c r="N3" s="30">
        <v>45748</v>
      </c>
      <c r="O3" s="30">
        <v>45748</v>
      </c>
      <c r="P3" s="30">
        <v>45781</v>
      </c>
      <c r="Q3" s="30">
        <v>45778</v>
      </c>
      <c r="R3" s="30">
        <v>45809</v>
      </c>
      <c r="S3" s="30">
        <v>45809</v>
      </c>
      <c r="T3" s="30">
        <v>45839</v>
      </c>
      <c r="U3" s="30">
        <v>45839</v>
      </c>
      <c r="V3" s="30">
        <v>45870</v>
      </c>
      <c r="W3" s="30">
        <v>45870</v>
      </c>
      <c r="X3" s="30">
        <v>45901</v>
      </c>
      <c r="Y3" s="30">
        <v>45901</v>
      </c>
      <c r="Z3" s="30">
        <v>46235</v>
      </c>
      <c r="AA3" s="30">
        <v>46266</v>
      </c>
      <c r="AB3" s="30">
        <v>46296</v>
      </c>
      <c r="AC3" s="30">
        <v>46327</v>
      </c>
      <c r="AD3" s="30">
        <v>46357</v>
      </c>
      <c r="AE3" s="30">
        <v>46388</v>
      </c>
      <c r="AF3" s="30">
        <v>46419</v>
      </c>
      <c r="AG3" s="30">
        <v>46447</v>
      </c>
      <c r="AH3" s="30">
        <v>46478</v>
      </c>
      <c r="AI3" s="30">
        <v>46508</v>
      </c>
      <c r="AJ3" s="30">
        <v>46539</v>
      </c>
      <c r="AK3" s="30">
        <v>46569</v>
      </c>
      <c r="AL3" s="30">
        <v>46600</v>
      </c>
      <c r="AM3" s="30">
        <v>46631</v>
      </c>
      <c r="AN3" s="30">
        <v>46661</v>
      </c>
      <c r="AO3" s="30">
        <v>46692</v>
      </c>
      <c r="AP3" s="30">
        <v>46722</v>
      </c>
      <c r="AQ3" s="30">
        <v>46753</v>
      </c>
      <c r="AR3" s="30">
        <v>46784</v>
      </c>
      <c r="AS3" s="30">
        <v>46813</v>
      </c>
      <c r="AT3" s="30">
        <v>46844</v>
      </c>
      <c r="AU3" s="30">
        <v>46874</v>
      </c>
      <c r="AV3" s="30">
        <v>46905</v>
      </c>
      <c r="AW3" s="30">
        <v>46935</v>
      </c>
      <c r="AX3" s="30">
        <v>46966</v>
      </c>
      <c r="AY3" s="30">
        <v>46997</v>
      </c>
      <c r="AZ3" s="30">
        <v>47027</v>
      </c>
      <c r="BA3" s="30">
        <v>47058</v>
      </c>
      <c r="BB3" s="30">
        <v>47088</v>
      </c>
      <c r="BC3" s="30">
        <v>47119</v>
      </c>
      <c r="BD3" s="30">
        <v>47150</v>
      </c>
      <c r="BE3" s="30">
        <v>47178</v>
      </c>
      <c r="BF3" s="30">
        <v>47209</v>
      </c>
      <c r="BG3" s="30">
        <v>47239</v>
      </c>
      <c r="BH3" s="30">
        <v>47270</v>
      </c>
      <c r="BI3" s="30">
        <v>47300</v>
      </c>
      <c r="BJ3" s="30">
        <v>47331</v>
      </c>
      <c r="BK3" s="30">
        <v>47362</v>
      </c>
      <c r="BL3" s="30">
        <v>47392</v>
      </c>
      <c r="BM3" s="30">
        <v>47423</v>
      </c>
      <c r="BN3" s="30">
        <v>47453</v>
      </c>
      <c r="BO3" s="30">
        <v>47484</v>
      </c>
      <c r="BP3" s="30">
        <v>47515</v>
      </c>
      <c r="BQ3" s="30">
        <v>47543</v>
      </c>
      <c r="BR3" s="30">
        <v>47574</v>
      </c>
      <c r="BS3" s="30">
        <v>47604</v>
      </c>
      <c r="BT3" s="30">
        <v>47635</v>
      </c>
      <c r="BU3" s="30">
        <v>47665</v>
      </c>
      <c r="BV3" s="30">
        <v>47696</v>
      </c>
    </row>
    <row r="4" spans="1:74" x14ac:dyDescent="0.25">
      <c r="A4" s="20" t="s">
        <v>8</v>
      </c>
      <c r="B4" s="7">
        <f>C4+E4+G4+I4+K4+M4+O4+Q4+S4+U4+W4+Y4</f>
        <v>2007193.96</v>
      </c>
      <c r="C4" s="15">
        <f t="shared" ref="C4:AH4" si="0">C5+C8</f>
        <v>65100</v>
      </c>
      <c r="D4" s="5">
        <f t="shared" si="0"/>
        <v>2006615.5435777036</v>
      </c>
      <c r="E4" s="5">
        <f t="shared" si="0"/>
        <v>70001</v>
      </c>
      <c r="F4" s="5">
        <f t="shared" si="0"/>
        <v>106615.54357770366</v>
      </c>
      <c r="G4" s="5">
        <f t="shared" si="0"/>
        <v>166396.69</v>
      </c>
      <c r="H4" s="5">
        <f t="shared" si="0"/>
        <v>106593.93710049389</v>
      </c>
      <c r="I4" s="5">
        <f t="shared" si="0"/>
        <v>107225</v>
      </c>
      <c r="J4" s="5">
        <f t="shared" si="0"/>
        <v>106899.95749797703</v>
      </c>
      <c r="K4" s="5">
        <f t="shared" si="0"/>
        <v>30916.34</v>
      </c>
      <c r="L4" s="5">
        <f t="shared" si="0"/>
        <v>107206.85644902731</v>
      </c>
      <c r="M4" s="5">
        <f t="shared" si="0"/>
        <v>143750.74</v>
      </c>
      <c r="N4" s="5">
        <f t="shared" si="0"/>
        <v>107514.63647588308</v>
      </c>
      <c r="O4" s="5">
        <f t="shared" si="0"/>
        <v>349064.35</v>
      </c>
      <c r="P4" s="5">
        <f t="shared" si="0"/>
        <v>107823.30010802369</v>
      </c>
      <c r="Q4" s="5">
        <f t="shared" si="0"/>
        <v>180000</v>
      </c>
      <c r="R4" s="5">
        <f t="shared" si="0"/>
        <v>108132.84988219042</v>
      </c>
      <c r="S4" s="5">
        <f t="shared" si="0"/>
        <v>89978.67</v>
      </c>
      <c r="T4" s="5">
        <f t="shared" si="0"/>
        <v>108842.82003705943</v>
      </c>
      <c r="U4" s="5">
        <f t="shared" si="0"/>
        <v>89119.25</v>
      </c>
      <c r="V4" s="5">
        <f t="shared" si="0"/>
        <v>109556.97743247374</v>
      </c>
      <c r="W4" s="5">
        <f t="shared" si="0"/>
        <v>715641.91999999993</v>
      </c>
      <c r="X4" s="5">
        <f t="shared" si="0"/>
        <v>110275.34581702357</v>
      </c>
      <c r="Y4" s="5">
        <f t="shared" si="0"/>
        <v>0</v>
      </c>
      <c r="Z4" s="5">
        <f t="shared" si="0"/>
        <v>110997.94907147787</v>
      </c>
      <c r="AA4" s="5">
        <f t="shared" si="0"/>
        <v>111500.81807781129</v>
      </c>
      <c r="AB4" s="5">
        <f t="shared" si="0"/>
        <v>112231.19461044938</v>
      </c>
      <c r="AC4" s="5">
        <f t="shared" si="0"/>
        <v>112955.55421269746</v>
      </c>
      <c r="AD4" s="5">
        <f t="shared" si="0"/>
        <v>113488.68408053627</v>
      </c>
      <c r="AE4" s="5">
        <f t="shared" si="0"/>
        <v>114022.34594505926</v>
      </c>
      <c r="AF4" s="5">
        <f t="shared" si="0"/>
        <v>114557.3798253882</v>
      </c>
      <c r="AG4" s="5">
        <f t="shared" si="0"/>
        <v>115093.79314638168</v>
      </c>
      <c r="AH4" s="5">
        <f t="shared" si="0"/>
        <v>115631.58971258732</v>
      </c>
      <c r="AI4" s="5">
        <f t="shared" ref="AI4:BN4" si="1">AI5+AI8</f>
        <v>116170.77332340677</v>
      </c>
      <c r="AJ4" s="5">
        <f t="shared" si="1"/>
        <v>116711.34778889181</v>
      </c>
      <c r="AK4" s="5">
        <f t="shared" si="1"/>
        <v>117253.31692984366</v>
      </c>
      <c r="AL4" s="5">
        <f t="shared" si="1"/>
        <v>117796.68457784381</v>
      </c>
      <c r="AM4" s="5">
        <f t="shared" si="1"/>
        <v>118295.08799702271</v>
      </c>
      <c r="AN4" s="5">
        <f t="shared" si="1"/>
        <v>118841.05812756054</v>
      </c>
      <c r="AO4" s="5">
        <f t="shared" si="1"/>
        <v>119388.63976029815</v>
      </c>
      <c r="AP4" s="5">
        <f t="shared" si="1"/>
        <v>119937.6363443998</v>
      </c>
      <c r="AQ4" s="5">
        <f t="shared" si="1"/>
        <v>120488.05089229152</v>
      </c>
      <c r="AR4" s="5">
        <f t="shared" si="1"/>
        <v>121039.88729760991</v>
      </c>
      <c r="AS4" s="5">
        <f t="shared" si="1"/>
        <v>121593.14946878582</v>
      </c>
      <c r="AT4" s="5">
        <f t="shared" si="1"/>
        <v>122147.84132529711</v>
      </c>
      <c r="AU4" s="5">
        <f t="shared" si="1"/>
        <v>122703.96679768368</v>
      </c>
      <c r="AV4" s="5">
        <f t="shared" si="1"/>
        <v>123261.52982757895</v>
      </c>
      <c r="AW4" s="5">
        <f t="shared" si="1"/>
        <v>123820.53436774146</v>
      </c>
      <c r="AX4" s="5">
        <f t="shared" si="1"/>
        <v>124380.98438208665</v>
      </c>
      <c r="AY4" s="5">
        <f t="shared" si="1"/>
        <v>124894.89443721721</v>
      </c>
      <c r="AZ4" s="5">
        <f t="shared" si="1"/>
        <v>125458.03405444659</v>
      </c>
      <c r="BA4" s="5">
        <f t="shared" si="1"/>
        <v>126022.83959052119</v>
      </c>
      <c r="BB4" s="5">
        <f t="shared" si="1"/>
        <v>126589.10761355137</v>
      </c>
      <c r="BC4" s="5">
        <f t="shared" si="1"/>
        <v>127156.84123962262</v>
      </c>
      <c r="BD4" s="5">
        <f t="shared" si="1"/>
        <v>127726.04449687258</v>
      </c>
      <c r="BE4" s="5">
        <f t="shared" si="1"/>
        <v>128296.72142875013</v>
      </c>
      <c r="BF4" s="5">
        <f t="shared" si="1"/>
        <v>128868.87609013708</v>
      </c>
      <c r="BG4" s="5">
        <f t="shared" si="1"/>
        <v>129442.51254736367</v>
      </c>
      <c r="BH4" s="5">
        <f t="shared" si="1"/>
        <v>129968.9979181941</v>
      </c>
      <c r="BI4" s="5">
        <f t="shared" si="1"/>
        <v>130478.76360789448</v>
      </c>
      <c r="BJ4" s="5">
        <f t="shared" si="1"/>
        <v>130989.42291756609</v>
      </c>
      <c r="BK4" s="5">
        <f t="shared" si="1"/>
        <v>131501.07479386276</v>
      </c>
      <c r="BL4" s="5">
        <f t="shared" si="1"/>
        <v>132013.72261231358</v>
      </c>
      <c r="BM4" s="5">
        <f t="shared" si="1"/>
        <v>132527.36923503783</v>
      </c>
      <c r="BN4" s="5">
        <f t="shared" si="1"/>
        <v>133042.01752951712</v>
      </c>
      <c r="BO4" s="5">
        <f t="shared" ref="BO4:CT4" si="2">BO5+BO8</f>
        <v>133557.67037144973</v>
      </c>
      <c r="BP4" s="5">
        <f t="shared" si="2"/>
        <v>134074.33064478962</v>
      </c>
      <c r="BQ4" s="5">
        <f t="shared" si="2"/>
        <v>134592.00124177034</v>
      </c>
      <c r="BR4" s="5">
        <f t="shared" si="2"/>
        <v>135110.68506292874</v>
      </c>
      <c r="BS4" s="5">
        <f t="shared" si="2"/>
        <v>135630.38501712884</v>
      </c>
      <c r="BT4" s="5">
        <f t="shared" si="2"/>
        <v>136151.1040215856</v>
      </c>
      <c r="BU4" s="5">
        <f t="shared" si="2"/>
        <v>136672.84500188916</v>
      </c>
      <c r="BV4" s="5">
        <f t="shared" si="2"/>
        <v>125066.2062781055</v>
      </c>
    </row>
    <row r="5" spans="1:74" x14ac:dyDescent="0.25">
      <c r="A5" s="21" t="s">
        <v>37</v>
      </c>
      <c r="B5" s="7"/>
      <c r="C5" s="15">
        <v>0</v>
      </c>
      <c r="D5" s="5">
        <f>SUM(D6:D7)</f>
        <v>106615.54357770366</v>
      </c>
      <c r="E5" s="5">
        <f t="shared" ref="E5:BQ5" si="3">SUM(E6:E7)</f>
        <v>0</v>
      </c>
      <c r="F5" s="5">
        <f t="shared" si="3"/>
        <v>106615.54357770366</v>
      </c>
      <c r="G5" s="5">
        <f t="shared" si="3"/>
        <v>16396.690000000002</v>
      </c>
      <c r="H5" s="5">
        <f t="shared" si="3"/>
        <v>106593.93710049389</v>
      </c>
      <c r="I5" s="5">
        <f t="shared" si="3"/>
        <v>0</v>
      </c>
      <c r="J5" s="5">
        <f t="shared" si="3"/>
        <v>106899.95749797703</v>
      </c>
      <c r="K5" s="5">
        <f t="shared" si="3"/>
        <v>20916.34</v>
      </c>
      <c r="L5" s="5">
        <f t="shared" si="3"/>
        <v>107206.85644902731</v>
      </c>
      <c r="M5" s="5">
        <f t="shared" si="3"/>
        <v>18116.34</v>
      </c>
      <c r="N5" s="5">
        <f t="shared" si="3"/>
        <v>107514.63647588308</v>
      </c>
      <c r="O5" s="5">
        <f t="shared" si="3"/>
        <v>29064.35</v>
      </c>
      <c r="P5" s="5">
        <f t="shared" si="3"/>
        <v>107823.30010802369</v>
      </c>
      <c r="Q5" s="5">
        <f t="shared" si="3"/>
        <v>0</v>
      </c>
      <c r="R5" s="5">
        <f t="shared" si="3"/>
        <v>108132.84988219042</v>
      </c>
      <c r="S5" s="5">
        <f t="shared" si="3"/>
        <v>89978.67</v>
      </c>
      <c r="T5" s="5">
        <f t="shared" si="3"/>
        <v>108842.82003705943</v>
      </c>
      <c r="U5" s="5">
        <f t="shared" si="3"/>
        <v>51312.25</v>
      </c>
      <c r="V5" s="5">
        <f t="shared" si="3"/>
        <v>109556.97743247374</v>
      </c>
      <c r="W5" s="5">
        <f t="shared" si="3"/>
        <v>68758.320000000007</v>
      </c>
      <c r="X5" s="5">
        <f t="shared" si="3"/>
        <v>110275.34581702357</v>
      </c>
      <c r="Y5" s="5">
        <f t="shared" ref="Y5" si="4">SUM(Y6:Y7)</f>
        <v>0</v>
      </c>
      <c r="Z5" s="5">
        <f t="shared" si="3"/>
        <v>110997.94907147787</v>
      </c>
      <c r="AA5" s="5">
        <f t="shared" si="3"/>
        <v>111500.81807781129</v>
      </c>
      <c r="AB5" s="5">
        <f t="shared" si="3"/>
        <v>112231.19461044938</v>
      </c>
      <c r="AC5" s="5">
        <f t="shared" si="3"/>
        <v>112955.55421269746</v>
      </c>
      <c r="AD5" s="5">
        <f t="shared" si="3"/>
        <v>113488.68408053627</v>
      </c>
      <c r="AE5" s="5">
        <f t="shared" si="3"/>
        <v>114022.34594505926</v>
      </c>
      <c r="AF5" s="5">
        <f t="shared" si="3"/>
        <v>114557.3798253882</v>
      </c>
      <c r="AG5" s="5">
        <f t="shared" si="3"/>
        <v>115093.79314638168</v>
      </c>
      <c r="AH5" s="5">
        <f t="shared" si="3"/>
        <v>115631.58971258732</v>
      </c>
      <c r="AI5" s="5">
        <f t="shared" si="3"/>
        <v>116170.77332340677</v>
      </c>
      <c r="AJ5" s="5">
        <f t="shared" si="3"/>
        <v>116711.34778889181</v>
      </c>
      <c r="AK5" s="5">
        <f t="shared" si="3"/>
        <v>117253.31692984366</v>
      </c>
      <c r="AL5" s="5">
        <f t="shared" si="3"/>
        <v>117796.68457784381</v>
      </c>
      <c r="AM5" s="5">
        <f t="shared" si="3"/>
        <v>118295.08799702271</v>
      </c>
      <c r="AN5" s="5">
        <f t="shared" si="3"/>
        <v>118841.05812756054</v>
      </c>
      <c r="AO5" s="5">
        <f t="shared" si="3"/>
        <v>119388.63976029815</v>
      </c>
      <c r="AP5" s="5">
        <f t="shared" si="3"/>
        <v>119937.6363443998</v>
      </c>
      <c r="AQ5" s="5">
        <f t="shared" si="3"/>
        <v>120488.05089229152</v>
      </c>
      <c r="AR5" s="5">
        <f t="shared" si="3"/>
        <v>121039.88729760991</v>
      </c>
      <c r="AS5" s="5">
        <f t="shared" si="3"/>
        <v>121593.14946878582</v>
      </c>
      <c r="AT5" s="5">
        <f t="shared" si="3"/>
        <v>122147.84132529711</v>
      </c>
      <c r="AU5" s="5">
        <f t="shared" si="3"/>
        <v>122703.96679768368</v>
      </c>
      <c r="AV5" s="5">
        <f t="shared" si="3"/>
        <v>123261.52982757895</v>
      </c>
      <c r="AW5" s="5">
        <f t="shared" si="3"/>
        <v>123820.53436774146</v>
      </c>
      <c r="AX5" s="5">
        <f t="shared" si="3"/>
        <v>124380.98438208665</v>
      </c>
      <c r="AY5" s="5">
        <f t="shared" si="3"/>
        <v>124894.89443721721</v>
      </c>
      <c r="AZ5" s="5">
        <f t="shared" si="3"/>
        <v>125458.03405444659</v>
      </c>
      <c r="BA5" s="5">
        <f t="shared" si="3"/>
        <v>126022.83959052119</v>
      </c>
      <c r="BB5" s="5">
        <f t="shared" si="3"/>
        <v>126589.10761355137</v>
      </c>
      <c r="BC5" s="5">
        <f t="shared" si="3"/>
        <v>127156.84123962262</v>
      </c>
      <c r="BD5" s="5">
        <f t="shared" si="3"/>
        <v>127726.04449687258</v>
      </c>
      <c r="BE5" s="5">
        <f t="shared" si="3"/>
        <v>128296.72142875013</v>
      </c>
      <c r="BF5" s="5">
        <f t="shared" si="3"/>
        <v>128868.87609013708</v>
      </c>
      <c r="BG5" s="5">
        <f t="shared" si="3"/>
        <v>129442.51254736367</v>
      </c>
      <c r="BH5" s="5">
        <f t="shared" si="3"/>
        <v>129968.9979181941</v>
      </c>
      <c r="BI5" s="5">
        <f t="shared" si="3"/>
        <v>130478.76360789448</v>
      </c>
      <c r="BJ5" s="5">
        <f t="shared" si="3"/>
        <v>130989.42291756609</v>
      </c>
      <c r="BK5" s="5">
        <f t="shared" si="3"/>
        <v>131501.07479386276</v>
      </c>
      <c r="BL5" s="5">
        <f t="shared" si="3"/>
        <v>132013.72261231358</v>
      </c>
      <c r="BM5" s="5">
        <f t="shared" si="3"/>
        <v>132527.36923503783</v>
      </c>
      <c r="BN5" s="5">
        <f t="shared" si="3"/>
        <v>133042.01752951712</v>
      </c>
      <c r="BO5" s="5">
        <f t="shared" si="3"/>
        <v>133557.67037144973</v>
      </c>
      <c r="BP5" s="5">
        <f t="shared" si="3"/>
        <v>134074.33064478962</v>
      </c>
      <c r="BQ5" s="5">
        <f t="shared" si="3"/>
        <v>134592.00124177034</v>
      </c>
      <c r="BR5" s="5">
        <f t="shared" ref="BR5:BV5" si="5">SUM(BR6:BR7)</f>
        <v>135110.68506292874</v>
      </c>
      <c r="BS5" s="5">
        <f t="shared" si="5"/>
        <v>135630.38501712884</v>
      </c>
      <c r="BT5" s="5">
        <f t="shared" si="5"/>
        <v>136151.1040215856</v>
      </c>
      <c r="BU5" s="5">
        <f t="shared" si="5"/>
        <v>136672.84500188916</v>
      </c>
      <c r="BV5" s="5">
        <f t="shared" si="5"/>
        <v>125066.2062781055</v>
      </c>
    </row>
    <row r="6" spans="1:74" x14ac:dyDescent="0.25">
      <c r="A6" s="22" t="s">
        <v>0</v>
      </c>
      <c r="B6" s="6"/>
      <c r="C6" s="16"/>
      <c r="D6" s="2">
        <v>106211.933472</v>
      </c>
      <c r="E6" s="2"/>
      <c r="F6" s="2">
        <v>106211.933472</v>
      </c>
      <c r="G6" s="10">
        <f>5451.1+10945.59</f>
        <v>16396.690000000002</v>
      </c>
      <c r="H6" s="2">
        <v>106211.933472</v>
      </c>
      <c r="I6" s="10"/>
      <c r="J6" s="2">
        <v>106516.85717575542</v>
      </c>
      <c r="K6" s="10">
        <v>18116.34</v>
      </c>
      <c r="L6" s="2">
        <v>106822.65628458136</v>
      </c>
      <c r="M6" s="10">
        <v>18116.34</v>
      </c>
      <c r="N6" s="2">
        <v>107129.33331167714</v>
      </c>
      <c r="O6" s="10">
        <v>29064.35</v>
      </c>
      <c r="P6" s="2">
        <v>107436.89077745717</v>
      </c>
      <c r="Q6" s="2"/>
      <c r="R6" s="2">
        <v>107745.33120957176</v>
      </c>
      <c r="S6" s="10">
        <v>89978.67</v>
      </c>
      <c r="T6" s="2">
        <v>108054.65714292781</v>
      </c>
      <c r="U6" s="10">
        <v>51312.25</v>
      </c>
      <c r="V6" s="2">
        <v>108364.8711197097</v>
      </c>
      <c r="W6" s="10">
        <v>68758.320000000007</v>
      </c>
      <c r="X6" s="2">
        <v>108675.97568940018</v>
      </c>
      <c r="Y6" s="10"/>
      <c r="Z6" s="2">
        <v>108987.97340880129</v>
      </c>
      <c r="AA6" s="2">
        <v>109300.86684205539</v>
      </c>
      <c r="AB6" s="2">
        <v>109614.6585606662</v>
      </c>
      <c r="AC6" s="2">
        <v>109929.35114352005</v>
      </c>
      <c r="AD6" s="2">
        <v>110244.94717690691</v>
      </c>
      <c r="AE6" s="2">
        <v>110561.44925454176</v>
      </c>
      <c r="AF6" s="2">
        <v>110878.85997758587</v>
      </c>
      <c r="AG6" s="2">
        <v>111197.18195466821</v>
      </c>
      <c r="AH6" s="2">
        <v>111516.41780190682</v>
      </c>
      <c r="AI6" s="2">
        <v>111836.57014293033</v>
      </c>
      <c r="AJ6" s="2">
        <v>112157.64160889959</v>
      </c>
      <c r="AK6" s="2">
        <v>112479.63483852924</v>
      </c>
      <c r="AL6" s="2">
        <v>112802.55247810938</v>
      </c>
      <c r="AM6" s="2">
        <v>113126.39718152737</v>
      </c>
      <c r="AN6" s="2">
        <v>113451.17161028957</v>
      </c>
      <c r="AO6" s="2">
        <v>113776.87843354329</v>
      </c>
      <c r="AP6" s="2">
        <v>114103.52032809868</v>
      </c>
      <c r="AQ6" s="2">
        <v>114431.09997845073</v>
      </c>
      <c r="AR6" s="2">
        <v>114759.6200768014</v>
      </c>
      <c r="AS6" s="2">
        <v>115089.08332308161</v>
      </c>
      <c r="AT6" s="2">
        <v>115419.49242497355</v>
      </c>
      <c r="AU6" s="2">
        <v>115750.85009793288</v>
      </c>
      <c r="AV6" s="2">
        <v>116083.15906521108</v>
      </c>
      <c r="AW6" s="2">
        <v>116416.42205787776</v>
      </c>
      <c r="AX6" s="2">
        <v>116750.6418148432</v>
      </c>
      <c r="AY6" s="2">
        <v>117085.82108288081</v>
      </c>
      <c r="AZ6" s="2">
        <v>117421.9626166497</v>
      </c>
      <c r="BA6" s="2">
        <v>117759.06917871731</v>
      </c>
      <c r="BB6" s="2">
        <v>118097.14353958215</v>
      </c>
      <c r="BC6" s="2">
        <v>118436.18847769655</v>
      </c>
      <c r="BD6" s="2">
        <v>118776.20677948948</v>
      </c>
      <c r="BE6" s="2">
        <v>119117.2012393895</v>
      </c>
      <c r="BF6" s="2">
        <v>119459.17465984766</v>
      </c>
      <c r="BG6" s="2">
        <v>119802.12985136057</v>
      </c>
      <c r="BH6" s="2">
        <v>120146.0696324935</v>
      </c>
      <c r="BI6" s="2">
        <v>120490.99682990351</v>
      </c>
      <c r="BJ6" s="2">
        <v>120836.91427836275</v>
      </c>
      <c r="BK6" s="2">
        <v>121183.82482078168</v>
      </c>
      <c r="BL6" s="2">
        <v>121531.73130823248</v>
      </c>
      <c r="BM6" s="2">
        <v>121880.63659997245</v>
      </c>
      <c r="BN6" s="2">
        <v>122230.54356346755</v>
      </c>
      <c r="BO6" s="2">
        <v>122581.45507441595</v>
      </c>
      <c r="BP6" s="2">
        <v>122933.37401677165</v>
      </c>
      <c r="BQ6" s="2">
        <v>123286.30328276817</v>
      </c>
      <c r="BR6" s="2">
        <v>123640.24577294236</v>
      </c>
      <c r="BS6" s="2">
        <v>123995.20439615824</v>
      </c>
      <c r="BT6" s="2">
        <v>124351.18206963081</v>
      </c>
      <c r="BU6" s="2">
        <v>124708.18171895017</v>
      </c>
      <c r="BV6" s="2">
        <v>125066.2062781055</v>
      </c>
    </row>
    <row r="7" spans="1:74" x14ac:dyDescent="0.25">
      <c r="A7" s="23" t="s">
        <v>5</v>
      </c>
      <c r="B7" s="7"/>
      <c r="C7" s="2"/>
      <c r="D7" s="2">
        <v>403.61010570365607</v>
      </c>
      <c r="E7" s="2"/>
      <c r="F7" s="2">
        <v>403.61010570365607</v>
      </c>
      <c r="G7" s="10"/>
      <c r="H7" s="2">
        <v>382.00362849388728</v>
      </c>
      <c r="I7" s="10"/>
      <c r="J7" s="2">
        <v>383.10032222161283</v>
      </c>
      <c r="K7" s="10">
        <f>800+2000</f>
        <v>2800</v>
      </c>
      <c r="L7" s="2">
        <v>384.20016444595677</v>
      </c>
      <c r="M7" s="10"/>
      <c r="N7" s="2">
        <v>385.30316420593391</v>
      </c>
      <c r="O7" s="10"/>
      <c r="P7" s="2">
        <v>386.4093305665088</v>
      </c>
      <c r="Q7" s="2"/>
      <c r="R7" s="2">
        <v>387.51867261867159</v>
      </c>
      <c r="T7" s="2">
        <v>788.16289413160985</v>
      </c>
      <c r="V7" s="2">
        <v>1192.1063127640375</v>
      </c>
      <c r="X7" s="2">
        <v>1599.3701276233955</v>
      </c>
      <c r="Z7" s="2">
        <v>2009.975662676575</v>
      </c>
      <c r="AA7" s="2">
        <v>2199.9512357558933</v>
      </c>
      <c r="AB7" s="2">
        <v>2616.5360497831916</v>
      </c>
      <c r="AC7" s="2">
        <v>3026.2030691774053</v>
      </c>
      <c r="AD7" s="2">
        <v>3243.736903629368</v>
      </c>
      <c r="AE7" s="2">
        <v>3460.8966905174989</v>
      </c>
      <c r="AF7" s="2">
        <v>3678.5198478023194</v>
      </c>
      <c r="AG7" s="2">
        <v>3896.6111917134726</v>
      </c>
      <c r="AH7" s="2">
        <v>4115.1719106805022</v>
      </c>
      <c r="AI7" s="2">
        <v>4334.2031804764392</v>
      </c>
      <c r="AJ7" s="2">
        <v>4553.7061799922249</v>
      </c>
      <c r="AK7" s="2">
        <v>4773.6820913144138</v>
      </c>
      <c r="AL7" s="2">
        <v>4994.1320997344374</v>
      </c>
      <c r="AM7" s="2">
        <v>5168.6908154953417</v>
      </c>
      <c r="AN7" s="2">
        <v>5389.8865172709584</v>
      </c>
      <c r="AO7" s="2">
        <v>5611.7613267548541</v>
      </c>
      <c r="AP7" s="2">
        <v>5834.1160163011245</v>
      </c>
      <c r="AQ7" s="2">
        <v>6056.9509138407848</v>
      </c>
      <c r="AR7" s="2">
        <v>6280.2672208085205</v>
      </c>
      <c r="AS7" s="2">
        <v>6504.0661457042106</v>
      </c>
      <c r="AT7" s="2">
        <v>6728.3489003235554</v>
      </c>
      <c r="AU7" s="2">
        <v>6953.1166997507917</v>
      </c>
      <c r="AV7" s="2">
        <v>7178.3707623678711</v>
      </c>
      <c r="AW7" s="2">
        <v>7404.1123098637072</v>
      </c>
      <c r="AX7" s="2">
        <v>7630.3425672434551</v>
      </c>
      <c r="AY7" s="2">
        <v>7809.0733543363986</v>
      </c>
      <c r="AZ7" s="2">
        <v>8036.0714377968825</v>
      </c>
      <c r="BA7" s="2">
        <v>8263.7704118038819</v>
      </c>
      <c r="BB7" s="2">
        <v>8491.9640739692313</v>
      </c>
      <c r="BC7" s="2">
        <v>8720.6527619260814</v>
      </c>
      <c r="BD7" s="2">
        <v>8949.8377173830977</v>
      </c>
      <c r="BE7" s="2">
        <v>9179.5201893606336</v>
      </c>
      <c r="BF7" s="2">
        <v>9409.7014302894295</v>
      </c>
      <c r="BG7" s="2">
        <v>9640.3826960030947</v>
      </c>
      <c r="BH7" s="2">
        <v>9822.9282857006074</v>
      </c>
      <c r="BI7" s="2">
        <v>9987.766777990968</v>
      </c>
      <c r="BJ7" s="2">
        <v>10152.508639203334</v>
      </c>
      <c r="BK7" s="2">
        <v>10317.249973081094</v>
      </c>
      <c r="BL7" s="2">
        <v>10481.991304081086</v>
      </c>
      <c r="BM7" s="2">
        <v>10646.732635065375</v>
      </c>
      <c r="BN7" s="2">
        <v>10811.473966049576</v>
      </c>
      <c r="BO7" s="2">
        <v>10976.215297033777</v>
      </c>
      <c r="BP7" s="2">
        <v>11140.956628017979</v>
      </c>
      <c r="BQ7" s="2">
        <v>11305.69795900218</v>
      </c>
      <c r="BR7" s="2">
        <v>11470.439289986381</v>
      </c>
      <c r="BS7" s="2">
        <v>11635.180620970583</v>
      </c>
      <c r="BT7" s="2">
        <v>11799.921951954784</v>
      </c>
      <c r="BU7" s="2">
        <v>11964.663282938986</v>
      </c>
      <c r="BV7" s="2">
        <v>0</v>
      </c>
    </row>
    <row r="8" spans="1:74" x14ac:dyDescent="0.25">
      <c r="A8" s="21" t="s">
        <v>38</v>
      </c>
      <c r="B8" s="7">
        <f>C8+E8+G8+I8+K8+M8+O8+Q8+S8+U8+W8+Y8</f>
        <v>1712651</v>
      </c>
      <c r="C8" s="5">
        <f t="shared" ref="C8:AH8" si="6">SUM(C9:C12)</f>
        <v>65100</v>
      </c>
      <c r="D8" s="5">
        <f t="shared" si="6"/>
        <v>1900000</v>
      </c>
      <c r="E8" s="5">
        <f t="shared" si="6"/>
        <v>70001</v>
      </c>
      <c r="F8" s="5">
        <f t="shared" si="6"/>
        <v>0</v>
      </c>
      <c r="G8" s="5">
        <f t="shared" si="6"/>
        <v>150000</v>
      </c>
      <c r="H8" s="5">
        <f t="shared" si="6"/>
        <v>0</v>
      </c>
      <c r="I8" s="5">
        <f t="shared" si="6"/>
        <v>107225</v>
      </c>
      <c r="J8" s="5">
        <f t="shared" si="6"/>
        <v>0</v>
      </c>
      <c r="K8" s="5">
        <f t="shared" si="6"/>
        <v>10000</v>
      </c>
      <c r="L8" s="5">
        <f t="shared" si="6"/>
        <v>0</v>
      </c>
      <c r="M8" s="5">
        <f t="shared" si="6"/>
        <v>125634.4</v>
      </c>
      <c r="N8" s="5">
        <f t="shared" si="6"/>
        <v>0</v>
      </c>
      <c r="O8" s="5">
        <f t="shared" si="6"/>
        <v>320000</v>
      </c>
      <c r="P8" s="5">
        <f t="shared" si="6"/>
        <v>0</v>
      </c>
      <c r="Q8" s="5">
        <f t="shared" si="6"/>
        <v>180000</v>
      </c>
      <c r="R8" s="5">
        <f t="shared" si="6"/>
        <v>0</v>
      </c>
      <c r="S8" s="5">
        <f t="shared" si="6"/>
        <v>0</v>
      </c>
      <c r="T8" s="5">
        <f t="shared" si="6"/>
        <v>0</v>
      </c>
      <c r="U8" s="5">
        <f t="shared" si="6"/>
        <v>37807</v>
      </c>
      <c r="V8" s="5">
        <f t="shared" si="6"/>
        <v>0</v>
      </c>
      <c r="W8" s="5">
        <f t="shared" si="6"/>
        <v>646883.6</v>
      </c>
      <c r="X8" s="5">
        <f t="shared" si="6"/>
        <v>0</v>
      </c>
      <c r="Y8" s="5">
        <f t="shared" si="6"/>
        <v>0</v>
      </c>
      <c r="Z8" s="5">
        <f t="shared" si="6"/>
        <v>0</v>
      </c>
      <c r="AA8" s="5">
        <f t="shared" si="6"/>
        <v>0</v>
      </c>
      <c r="AB8" s="5">
        <f t="shared" si="6"/>
        <v>0</v>
      </c>
      <c r="AC8" s="5">
        <f t="shared" si="6"/>
        <v>0</v>
      </c>
      <c r="AD8" s="5">
        <f t="shared" si="6"/>
        <v>0</v>
      </c>
      <c r="AE8" s="5">
        <f t="shared" si="6"/>
        <v>0</v>
      </c>
      <c r="AF8" s="5">
        <f t="shared" si="6"/>
        <v>0</v>
      </c>
      <c r="AG8" s="5">
        <f t="shared" si="6"/>
        <v>0</v>
      </c>
      <c r="AH8" s="5">
        <f t="shared" si="6"/>
        <v>0</v>
      </c>
      <c r="AI8" s="5">
        <f t="shared" ref="AI8:BN8" si="7">SUM(AI9:AI12)</f>
        <v>0</v>
      </c>
      <c r="AJ8" s="5">
        <f t="shared" si="7"/>
        <v>0</v>
      </c>
      <c r="AK8" s="5">
        <f t="shared" si="7"/>
        <v>0</v>
      </c>
      <c r="AL8" s="5">
        <f t="shared" si="7"/>
        <v>0</v>
      </c>
      <c r="AM8" s="5">
        <f t="shared" si="7"/>
        <v>0</v>
      </c>
      <c r="AN8" s="5">
        <f t="shared" si="7"/>
        <v>0</v>
      </c>
      <c r="AO8" s="5">
        <f t="shared" si="7"/>
        <v>0</v>
      </c>
      <c r="AP8" s="5">
        <f t="shared" si="7"/>
        <v>0</v>
      </c>
      <c r="AQ8" s="5">
        <f t="shared" si="7"/>
        <v>0</v>
      </c>
      <c r="AR8" s="5">
        <f t="shared" si="7"/>
        <v>0</v>
      </c>
      <c r="AS8" s="5">
        <f t="shared" si="7"/>
        <v>0</v>
      </c>
      <c r="AT8" s="5">
        <f t="shared" si="7"/>
        <v>0</v>
      </c>
      <c r="AU8" s="5">
        <f t="shared" si="7"/>
        <v>0</v>
      </c>
      <c r="AV8" s="5">
        <f t="shared" si="7"/>
        <v>0</v>
      </c>
      <c r="AW8" s="5">
        <f t="shared" si="7"/>
        <v>0</v>
      </c>
      <c r="AX8" s="5">
        <f t="shared" si="7"/>
        <v>0</v>
      </c>
      <c r="AY8" s="5">
        <f t="shared" si="7"/>
        <v>0</v>
      </c>
      <c r="AZ8" s="5">
        <f t="shared" si="7"/>
        <v>0</v>
      </c>
      <c r="BA8" s="5">
        <f t="shared" si="7"/>
        <v>0</v>
      </c>
      <c r="BB8" s="5">
        <f t="shared" si="7"/>
        <v>0</v>
      </c>
      <c r="BC8" s="5">
        <f t="shared" si="7"/>
        <v>0</v>
      </c>
      <c r="BD8" s="5">
        <f t="shared" si="7"/>
        <v>0</v>
      </c>
      <c r="BE8" s="5">
        <f t="shared" si="7"/>
        <v>0</v>
      </c>
      <c r="BF8" s="5">
        <f t="shared" si="7"/>
        <v>0</v>
      </c>
      <c r="BG8" s="5">
        <f t="shared" si="7"/>
        <v>0</v>
      </c>
      <c r="BH8" s="5">
        <f t="shared" si="7"/>
        <v>0</v>
      </c>
      <c r="BI8" s="5">
        <f t="shared" si="7"/>
        <v>0</v>
      </c>
      <c r="BJ8" s="5">
        <f t="shared" si="7"/>
        <v>0</v>
      </c>
      <c r="BK8" s="5">
        <f t="shared" si="7"/>
        <v>0</v>
      </c>
      <c r="BL8" s="5">
        <f t="shared" si="7"/>
        <v>0</v>
      </c>
      <c r="BM8" s="5">
        <f t="shared" si="7"/>
        <v>0</v>
      </c>
      <c r="BN8" s="5">
        <f t="shared" si="7"/>
        <v>0</v>
      </c>
      <c r="BO8" s="5">
        <f t="shared" ref="BO8:CT8" si="8">SUM(BO9:BO12)</f>
        <v>0</v>
      </c>
      <c r="BP8" s="5">
        <f t="shared" si="8"/>
        <v>0</v>
      </c>
      <c r="BQ8" s="5">
        <f t="shared" si="8"/>
        <v>0</v>
      </c>
      <c r="BR8" s="5">
        <f t="shared" si="8"/>
        <v>0</v>
      </c>
      <c r="BS8" s="5">
        <f t="shared" si="8"/>
        <v>0</v>
      </c>
      <c r="BT8" s="5">
        <f t="shared" si="8"/>
        <v>0</v>
      </c>
      <c r="BU8" s="5">
        <f t="shared" si="8"/>
        <v>0</v>
      </c>
      <c r="BV8" s="5">
        <f t="shared" si="8"/>
        <v>0</v>
      </c>
    </row>
    <row r="9" spans="1:74" x14ac:dyDescent="0.25">
      <c r="A9" s="23" t="s">
        <v>25</v>
      </c>
      <c r="B9" s="7">
        <f t="shared" ref="B9:B15" si="9">C9+E9+G9+I9+K9+M9+O9+Q9+S9+U9+W9+Y9</f>
        <v>380651</v>
      </c>
      <c r="C9" s="2">
        <f>100+15000+50000</f>
        <v>65100</v>
      </c>
      <c r="D9" s="2">
        <v>380000</v>
      </c>
      <c r="E9" s="2">
        <v>1</v>
      </c>
      <c r="F9" s="2"/>
      <c r="G9" s="10"/>
      <c r="H9" s="2"/>
      <c r="I9" s="10">
        <f>103000+2310+915+1000</f>
        <v>107225</v>
      </c>
      <c r="J9" s="2"/>
      <c r="K9" s="10">
        <v>10000</v>
      </c>
      <c r="L9" s="2"/>
      <c r="M9" s="10">
        <f>5800+250+3818.72+765.68</f>
        <v>10634.4</v>
      </c>
      <c r="N9" s="2"/>
      <c r="O9" s="10"/>
      <c r="P9" s="2"/>
      <c r="Q9" s="2"/>
      <c r="R9" s="2"/>
      <c r="S9" s="2"/>
      <c r="T9" s="2"/>
      <c r="U9" s="10">
        <f>4407+7400</f>
        <v>11807</v>
      </c>
      <c r="V9" s="2"/>
      <c r="W9" s="10">
        <f>1000+174883.6</f>
        <v>175883.6</v>
      </c>
      <c r="X9" s="2"/>
      <c r="Y9" s="10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A10" s="23" t="s">
        <v>33</v>
      </c>
      <c r="B10" s="7">
        <f t="shared" ref="B10" si="10">C10+E10+G10+I10+K10+M10+O10+Q10+S10+U10+W10+Y10</f>
        <v>497000</v>
      </c>
      <c r="C10" s="2"/>
      <c r="D10" s="2">
        <v>760000</v>
      </c>
      <c r="E10" s="2"/>
      <c r="F10" s="2"/>
      <c r="G10" s="10"/>
      <c r="H10" s="2"/>
      <c r="I10" s="10"/>
      <c r="J10" s="2"/>
      <c r="K10" s="10"/>
      <c r="L10" s="2"/>
      <c r="M10" s="10"/>
      <c r="N10" s="2"/>
      <c r="O10" s="10"/>
      <c r="P10" s="2"/>
      <c r="Q10" s="10"/>
      <c r="R10" s="2"/>
      <c r="S10" s="10"/>
      <c r="T10" s="2"/>
      <c r="U10" s="10"/>
      <c r="V10" s="2"/>
      <c r="W10" s="10">
        <v>497000</v>
      </c>
      <c r="X10" s="2"/>
      <c r="Y10" s="10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A11" s="23" t="s">
        <v>42</v>
      </c>
      <c r="B11" s="7">
        <f t="shared" si="9"/>
        <v>991000</v>
      </c>
      <c r="C11" s="2"/>
      <c r="D11" s="2">
        <v>760000</v>
      </c>
      <c r="E11" s="2">
        <v>70000</v>
      </c>
      <c r="F11" s="2"/>
      <c r="G11" s="10">
        <v>150000</v>
      </c>
      <c r="H11" s="2"/>
      <c r="I11" s="10"/>
      <c r="J11" s="2"/>
      <c r="K11" s="10"/>
      <c r="L11" s="2"/>
      <c r="M11" s="10">
        <f>115000</f>
        <v>115000</v>
      </c>
      <c r="N11" s="2"/>
      <c r="O11" s="10">
        <v>320000</v>
      </c>
      <c r="P11" s="2"/>
      <c r="Q11" s="10">
        <v>180000</v>
      </c>
      <c r="R11" s="2"/>
      <c r="S11" s="10"/>
      <c r="T11" s="2"/>
      <c r="U11" s="10">
        <v>26000</v>
      </c>
      <c r="V11" s="2"/>
      <c r="W11" s="10">
        <v>130000</v>
      </c>
      <c r="X11" s="2"/>
      <c r="Y11" s="10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A12" s="23" t="s">
        <v>43</v>
      </c>
      <c r="B12" s="7">
        <f t="shared" si="9"/>
        <v>-156000</v>
      </c>
      <c r="C12" s="2"/>
      <c r="D12" s="2"/>
      <c r="E12" s="2"/>
      <c r="F12" s="2"/>
      <c r="G12" s="10"/>
      <c r="H12" s="2"/>
      <c r="I12" s="10"/>
      <c r="J12" s="2"/>
      <c r="K12" s="10"/>
      <c r="L12" s="2"/>
      <c r="M12" s="10"/>
      <c r="N12" s="2"/>
      <c r="O12" s="10"/>
      <c r="P12" s="2"/>
      <c r="Q12" s="10"/>
      <c r="R12" s="2"/>
      <c r="S12" s="10"/>
      <c r="T12" s="2"/>
      <c r="U12" s="10"/>
      <c r="V12" s="2"/>
      <c r="W12" s="10">
        <f>-(130000+26000)</f>
        <v>-156000</v>
      </c>
      <c r="X12" s="2"/>
      <c r="Y12" s="10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C13" s="10"/>
      <c r="G13" s="10"/>
    </row>
    <row r="14" spans="1:74" x14ac:dyDescent="0.25">
      <c r="A14" s="24" t="s">
        <v>10</v>
      </c>
      <c r="B14" s="7">
        <f t="shared" si="9"/>
        <v>-1976265.04</v>
      </c>
      <c r="C14" s="10">
        <f>C15+C39+C47+C25</f>
        <v>-52056.649999999994</v>
      </c>
      <c r="D14" s="5">
        <f>D15-D39-D47</f>
        <v>-91009.140647318447</v>
      </c>
      <c r="E14" s="10">
        <f>E15+E39+E47+E25</f>
        <v>-54706.32</v>
      </c>
      <c r="F14" s="5">
        <f t="shared" ref="F14:J14" si="11">F15+F39+F47</f>
        <v>-408527.40230918775</v>
      </c>
      <c r="G14" s="10">
        <f>G15+G39+G47+G25</f>
        <v>-175296.1</v>
      </c>
      <c r="H14" s="5">
        <f t="shared" si="11"/>
        <v>-409516.0182064494</v>
      </c>
      <c r="I14" s="10">
        <f>I15+I39+I47+I25</f>
        <v>-126600.84</v>
      </c>
      <c r="J14" s="5">
        <f t="shared" si="11"/>
        <v>-305118.589039805</v>
      </c>
      <c r="K14" s="10">
        <f>K15+K39+K47+K25</f>
        <v>-7684.3</v>
      </c>
      <c r="L14" s="5">
        <f t="shared" ref="L14:AC14" si="12">L15+L39+L47</f>
        <v>-305163.02165031742</v>
      </c>
      <c r="M14" s="10">
        <f>M15+M39+M47+M25</f>
        <v>-157263.75000000003</v>
      </c>
      <c r="N14" s="5">
        <f t="shared" si="12"/>
        <v>-305207.5818223544</v>
      </c>
      <c r="O14" s="10">
        <f>O15+O39+O47+O25</f>
        <v>-325460.69999999995</v>
      </c>
      <c r="P14" s="5">
        <f t="shared" si="12"/>
        <v>-282184.56565269525</v>
      </c>
      <c r="Q14" s="10">
        <f>Q15+Q39+Q47+Q25</f>
        <v>-186366.61</v>
      </c>
      <c r="R14" s="5">
        <f t="shared" si="12"/>
        <v>-13655.396624750776</v>
      </c>
      <c r="S14" s="10">
        <f>S15+S39+S47+S25</f>
        <v>-13708.77</v>
      </c>
      <c r="T14" s="5">
        <f t="shared" si="12"/>
        <v>-13700.341682867411</v>
      </c>
      <c r="U14" s="10">
        <f>U15+U39+U47+U25</f>
        <v>-143558.44999999998</v>
      </c>
      <c r="V14" s="5">
        <f t="shared" si="12"/>
        <v>-13745.41577369382</v>
      </c>
      <c r="W14" s="10">
        <f>W15+W39+W47+W25</f>
        <v>-592353.26</v>
      </c>
      <c r="X14" s="5">
        <f t="shared" si="12"/>
        <v>-13790.619267669847</v>
      </c>
      <c r="Y14" s="10">
        <f>Y15+Y39+Y47+Y25</f>
        <v>-141209.29</v>
      </c>
      <c r="Z14" s="5">
        <f t="shared" si="12"/>
        <v>-13835.952536298828</v>
      </c>
      <c r="AA14" s="5">
        <f t="shared" si="12"/>
        <v>-13881.415952150646</v>
      </c>
      <c r="AB14" s="5">
        <f t="shared" si="12"/>
        <v>-13927.009888864799</v>
      </c>
      <c r="AC14" s="5">
        <f t="shared" si="12"/>
        <v>-13972.734721153462</v>
      </c>
      <c r="AD14" s="5">
        <f t="shared" ref="AD14:BV14" si="13">AD15-AD39-AD47</f>
        <v>14018.590824804574</v>
      </c>
      <c r="AE14" s="5">
        <f t="shared" si="13"/>
        <v>14064.578576684915</v>
      </c>
      <c r="AF14" s="5">
        <f t="shared" si="13"/>
        <v>14110.698354743226</v>
      </c>
      <c r="AG14" s="5">
        <f t="shared" si="13"/>
        <v>14156.95053801329</v>
      </c>
      <c r="AH14" s="5">
        <f t="shared" si="13"/>
        <v>14203.335506617061</v>
      </c>
      <c r="AI14" s="5">
        <f t="shared" si="13"/>
        <v>14249.853641767777</v>
      </c>
      <c r="AJ14" s="5">
        <f t="shared" si="13"/>
        <v>14296.505325773111</v>
      </c>
      <c r="AK14" s="5">
        <f t="shared" si="13"/>
        <v>14343.290942038298</v>
      </c>
      <c r="AL14" s="5">
        <f t="shared" si="13"/>
        <v>14390.210875069293</v>
      </c>
      <c r="AM14" s="5">
        <f t="shared" si="13"/>
        <v>14437.265510475925</v>
      </c>
      <c r="AN14" s="5">
        <f t="shared" si="13"/>
        <v>14484.455234975074</v>
      </c>
      <c r="AO14" s="5">
        <f t="shared" si="13"/>
        <v>14531.780436393839</v>
      </c>
      <c r="AP14" s="5">
        <f t="shared" si="13"/>
        <v>14579.241503672736</v>
      </c>
      <c r="AQ14" s="5">
        <f t="shared" si="13"/>
        <v>14626.838826868892</v>
      </c>
      <c r="AR14" s="5">
        <f t="shared" si="13"/>
        <v>14674.572797159242</v>
      </c>
      <c r="AS14" s="5">
        <f t="shared" si="13"/>
        <v>14722.443806843758</v>
      </c>
      <c r="AT14" s="5">
        <f t="shared" si="13"/>
        <v>14770.452249348658</v>
      </c>
      <c r="AU14" s="5">
        <f t="shared" si="13"/>
        <v>14818.598519229647</v>
      </c>
      <c r="AV14" s="5">
        <f t="shared" si="13"/>
        <v>14866.883012175169</v>
      </c>
      <c r="AW14" s="5">
        <f t="shared" si="13"/>
        <v>14915.306125009638</v>
      </c>
      <c r="AX14" s="5">
        <f t="shared" si="13"/>
        <v>14963.868255696718</v>
      </c>
      <c r="AY14" s="5">
        <f t="shared" si="13"/>
        <v>15012.56980334258</v>
      </c>
      <c r="AZ14" s="5">
        <f t="shared" si="13"/>
        <v>15061.411168199204</v>
      </c>
      <c r="BA14" s="5">
        <f t="shared" si="13"/>
        <v>15110.392751667627</v>
      </c>
      <c r="BB14" s="5">
        <f t="shared" si="13"/>
        <v>15159.514956301286</v>
      </c>
      <c r="BC14" s="5">
        <f t="shared" si="13"/>
        <v>15208.778185809309</v>
      </c>
      <c r="BD14" s="5">
        <f t="shared" si="13"/>
        <v>15258.182845059824</v>
      </c>
      <c r="BE14" s="5">
        <f t="shared" si="13"/>
        <v>15307.729340083293</v>
      </c>
      <c r="BF14" s="5">
        <f t="shared" si="13"/>
        <v>15357.418078075865</v>
      </c>
      <c r="BG14" s="5">
        <f t="shared" si="13"/>
        <v>15407.249467402691</v>
      </c>
      <c r="BH14" s="5">
        <f t="shared" si="13"/>
        <v>15457.223917601306</v>
      </c>
      <c r="BI14" s="5">
        <f t="shared" si="13"/>
        <v>15507.341839384981</v>
      </c>
      <c r="BJ14" s="5">
        <f t="shared" si="13"/>
        <v>15557.603644646108</v>
      </c>
      <c r="BK14" s="5">
        <f t="shared" si="13"/>
        <v>15608.009746459578</v>
      </c>
      <c r="BL14" s="5">
        <f t="shared" si="13"/>
        <v>15658.560559086181</v>
      </c>
      <c r="BM14" s="5">
        <f t="shared" si="13"/>
        <v>15709.256497975995</v>
      </c>
      <c r="BN14" s="5">
        <f t="shared" si="13"/>
        <v>15760.097979771836</v>
      </c>
      <c r="BO14" s="5">
        <f t="shared" si="13"/>
        <v>15811.085422312635</v>
      </c>
      <c r="BP14" s="5">
        <f t="shared" si="13"/>
        <v>15862.219244636921</v>
      </c>
      <c r="BQ14" s="5">
        <f t="shared" si="13"/>
        <v>15913.499866986218</v>
      </c>
      <c r="BR14" s="5">
        <f t="shared" si="13"/>
        <v>15964.927710808526</v>
      </c>
      <c r="BS14" s="5">
        <f t="shared" si="13"/>
        <v>16016.503198761791</v>
      </c>
      <c r="BT14" s="5">
        <f t="shared" si="13"/>
        <v>16068.226754717358</v>
      </c>
      <c r="BU14" s="5">
        <f t="shared" si="13"/>
        <v>16120.09880376346</v>
      </c>
      <c r="BV14" s="5">
        <f t="shared" si="13"/>
        <v>16172.119772208731</v>
      </c>
    </row>
    <row r="15" spans="1:74" x14ac:dyDescent="0.25">
      <c r="A15" s="21" t="s">
        <v>39</v>
      </c>
      <c r="B15" s="7">
        <f t="shared" si="9"/>
        <v>-38682.42</v>
      </c>
      <c r="C15" s="10">
        <f>SUM(C16:C23)</f>
        <v>-67</v>
      </c>
      <c r="D15" s="10">
        <f t="shared" ref="D15:BP15" si="14">SUM(D16:D23)</f>
        <v>-104441.73458080005</v>
      </c>
      <c r="E15" s="10">
        <f t="shared" si="14"/>
        <v>-1852.12</v>
      </c>
      <c r="F15" s="10">
        <f t="shared" si="14"/>
        <v>-104441.73458080005</v>
      </c>
      <c r="G15" s="10">
        <f t="shared" si="14"/>
        <v>-4563.88</v>
      </c>
      <c r="H15" s="10">
        <f t="shared" si="14"/>
        <v>-104441.73458080005</v>
      </c>
      <c r="I15" s="10">
        <f t="shared" si="14"/>
        <v>-4543.79</v>
      </c>
      <c r="J15" s="10">
        <f t="shared" si="14"/>
        <v>0</v>
      </c>
      <c r="K15" s="10">
        <f t="shared" si="14"/>
        <v>-3569.94</v>
      </c>
      <c r="L15" s="10">
        <f t="shared" si="14"/>
        <v>0</v>
      </c>
      <c r="M15" s="10">
        <f t="shared" si="14"/>
        <v>-3672.54</v>
      </c>
      <c r="N15" s="10">
        <f t="shared" si="14"/>
        <v>0</v>
      </c>
      <c r="O15" s="10">
        <f t="shared" si="14"/>
        <v>-3497.54</v>
      </c>
      <c r="P15" s="10">
        <f t="shared" si="14"/>
        <v>0</v>
      </c>
      <c r="Q15" s="10">
        <f t="shared" si="14"/>
        <v>-3695.1800000000003</v>
      </c>
      <c r="R15" s="10">
        <f t="shared" si="14"/>
        <v>0</v>
      </c>
      <c r="S15" s="10">
        <f t="shared" si="14"/>
        <v>-3889.4</v>
      </c>
      <c r="T15" s="10">
        <f t="shared" si="14"/>
        <v>0</v>
      </c>
      <c r="U15" s="10">
        <f t="shared" si="14"/>
        <v>-4751.5199999999995</v>
      </c>
      <c r="V15" s="10">
        <f t="shared" si="14"/>
        <v>0</v>
      </c>
      <c r="W15" s="10">
        <f t="shared" si="14"/>
        <v>-3917.34</v>
      </c>
      <c r="X15" s="10">
        <f t="shared" si="14"/>
        <v>0</v>
      </c>
      <c r="Y15" s="10">
        <f t="shared" si="14"/>
        <v>-662.17</v>
      </c>
      <c r="Z15" s="10">
        <f t="shared" si="14"/>
        <v>0</v>
      </c>
      <c r="AA15" s="10">
        <f t="shared" si="14"/>
        <v>0</v>
      </c>
      <c r="AB15" s="10">
        <f t="shared" si="14"/>
        <v>0</v>
      </c>
      <c r="AC15" s="10">
        <f t="shared" si="14"/>
        <v>0</v>
      </c>
      <c r="AD15" s="10">
        <f t="shared" si="14"/>
        <v>0</v>
      </c>
      <c r="AE15" s="10">
        <f t="shared" si="14"/>
        <v>0</v>
      </c>
      <c r="AF15" s="10">
        <f t="shared" si="14"/>
        <v>0</v>
      </c>
      <c r="AG15" s="10">
        <f t="shared" si="14"/>
        <v>0</v>
      </c>
      <c r="AH15" s="10">
        <f t="shared" si="14"/>
        <v>0</v>
      </c>
      <c r="AI15" s="10">
        <f t="shared" si="14"/>
        <v>0</v>
      </c>
      <c r="AJ15" s="10">
        <f t="shared" si="14"/>
        <v>0</v>
      </c>
      <c r="AK15" s="10">
        <f t="shared" si="14"/>
        <v>0</v>
      </c>
      <c r="AL15" s="10">
        <f t="shared" si="14"/>
        <v>0</v>
      </c>
      <c r="AM15" s="10">
        <f t="shared" si="14"/>
        <v>0</v>
      </c>
      <c r="AN15" s="10">
        <f t="shared" si="14"/>
        <v>0</v>
      </c>
      <c r="AO15" s="10">
        <f t="shared" si="14"/>
        <v>0</v>
      </c>
      <c r="AP15" s="10">
        <f t="shared" si="14"/>
        <v>0</v>
      </c>
      <c r="AQ15" s="10">
        <f t="shared" si="14"/>
        <v>0</v>
      </c>
      <c r="AR15" s="10">
        <f t="shared" si="14"/>
        <v>0</v>
      </c>
      <c r="AS15" s="10">
        <f t="shared" si="14"/>
        <v>0</v>
      </c>
      <c r="AT15" s="10">
        <f t="shared" si="14"/>
        <v>0</v>
      </c>
      <c r="AU15" s="10">
        <f t="shared" si="14"/>
        <v>0</v>
      </c>
      <c r="AV15" s="10">
        <f t="shared" si="14"/>
        <v>0</v>
      </c>
      <c r="AW15" s="10">
        <f t="shared" si="14"/>
        <v>0</v>
      </c>
      <c r="AX15" s="10">
        <f t="shared" si="14"/>
        <v>0</v>
      </c>
      <c r="AY15" s="10">
        <f t="shared" si="14"/>
        <v>0</v>
      </c>
      <c r="AZ15" s="10">
        <f t="shared" si="14"/>
        <v>0</v>
      </c>
      <c r="BA15" s="10">
        <f t="shared" si="14"/>
        <v>0</v>
      </c>
      <c r="BB15" s="10">
        <f t="shared" si="14"/>
        <v>0</v>
      </c>
      <c r="BC15" s="10">
        <f t="shared" si="14"/>
        <v>0</v>
      </c>
      <c r="BD15" s="10">
        <f t="shared" si="14"/>
        <v>0</v>
      </c>
      <c r="BE15" s="10">
        <f t="shared" si="14"/>
        <v>0</v>
      </c>
      <c r="BF15" s="10">
        <f t="shared" si="14"/>
        <v>0</v>
      </c>
      <c r="BG15" s="10">
        <f t="shared" si="14"/>
        <v>0</v>
      </c>
      <c r="BH15" s="10">
        <f t="shared" si="14"/>
        <v>0</v>
      </c>
      <c r="BI15" s="10">
        <f t="shared" si="14"/>
        <v>0</v>
      </c>
      <c r="BJ15" s="10">
        <f t="shared" si="14"/>
        <v>0</v>
      </c>
      <c r="BK15" s="10">
        <f t="shared" si="14"/>
        <v>0</v>
      </c>
      <c r="BL15" s="10">
        <f t="shared" si="14"/>
        <v>0</v>
      </c>
      <c r="BM15" s="10">
        <f t="shared" si="14"/>
        <v>0</v>
      </c>
      <c r="BN15" s="10">
        <f t="shared" si="14"/>
        <v>0</v>
      </c>
      <c r="BO15" s="10">
        <f t="shared" si="14"/>
        <v>0</v>
      </c>
      <c r="BP15" s="10">
        <f t="shared" si="14"/>
        <v>0</v>
      </c>
      <c r="BQ15" s="10">
        <f t="shared" ref="BQ15:BV15" si="15">SUM(BQ16:BQ23)</f>
        <v>0</v>
      </c>
      <c r="BR15" s="10">
        <f t="shared" si="15"/>
        <v>0</v>
      </c>
      <c r="BS15" s="10">
        <f t="shared" si="15"/>
        <v>0</v>
      </c>
      <c r="BT15" s="10">
        <f t="shared" si="15"/>
        <v>0</v>
      </c>
      <c r="BU15" s="10">
        <f t="shared" si="15"/>
        <v>0</v>
      </c>
      <c r="BV15" s="10">
        <f t="shared" si="15"/>
        <v>0</v>
      </c>
    </row>
    <row r="16" spans="1:74" x14ac:dyDescent="0.25">
      <c r="A16" s="23" t="s">
        <v>1</v>
      </c>
      <c r="B16" s="4"/>
      <c r="C16" s="10"/>
      <c r="D16" s="2">
        <v>-104441.73458080005</v>
      </c>
      <c r="E16" s="10"/>
      <c r="F16" s="2">
        <v>-104441.73458080005</v>
      </c>
      <c r="G16" s="10"/>
      <c r="H16" s="2">
        <v>-104441.73458080005</v>
      </c>
      <c r="I16" s="10"/>
      <c r="J16" s="2">
        <v>0</v>
      </c>
      <c r="K16" s="10">
        <v>0</v>
      </c>
      <c r="L16" s="2">
        <v>0</v>
      </c>
      <c r="M16" s="10">
        <v>0</v>
      </c>
      <c r="N16" s="2">
        <v>0</v>
      </c>
      <c r="O16" s="10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/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</row>
    <row r="17" spans="1:74" s="11" customFormat="1" x14ac:dyDescent="0.25">
      <c r="A17" s="25" t="s">
        <v>11</v>
      </c>
      <c r="B17" s="9"/>
      <c r="C17" s="10"/>
      <c r="D17" s="10"/>
      <c r="E17" s="10">
        <v>-241.66</v>
      </c>
      <c r="F17" s="10"/>
      <c r="G17" s="10">
        <v>-2935.67</v>
      </c>
      <c r="H17" s="10"/>
      <c r="I17" s="10">
        <f>-(2882.11-53.56)</f>
        <v>-2828.55</v>
      </c>
      <c r="J17" s="10"/>
      <c r="K17" s="10">
        <v>-2882.11</v>
      </c>
      <c r="L17" s="10"/>
      <c r="M17" s="10">
        <v>-2949.14</v>
      </c>
      <c r="N17" s="10"/>
      <c r="O17" s="10">
        <v>-2949.14</v>
      </c>
      <c r="P17" s="10"/>
      <c r="Q17" s="10">
        <v>-2961.86</v>
      </c>
      <c r="R17" s="10"/>
      <c r="S17" s="10">
        <v>-2961.86</v>
      </c>
      <c r="T17" s="10"/>
      <c r="U17" s="10">
        <v>-2961.86</v>
      </c>
      <c r="V17" s="10"/>
      <c r="W17" s="10">
        <v>-2961.86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 s="11" customFormat="1" x14ac:dyDescent="0.25">
      <c r="A18" s="25" t="s">
        <v>12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 s="11" customFormat="1" x14ac:dyDescent="0.25">
      <c r="A19" s="25" t="s">
        <v>30</v>
      </c>
      <c r="B19" s="9"/>
      <c r="C19" s="10"/>
      <c r="D19" s="10"/>
      <c r="E19" s="10"/>
      <c r="F19" s="10"/>
      <c r="G19" s="10"/>
      <c r="H19" s="10"/>
      <c r="I19" s="10">
        <v>-99.36</v>
      </c>
      <c r="J19" s="10"/>
      <c r="K19" s="10"/>
      <c r="L19" s="10"/>
      <c r="M19" s="10"/>
      <c r="N19" s="10"/>
      <c r="O19" s="10"/>
      <c r="P19" s="10"/>
      <c r="Q19" s="10"/>
      <c r="R19" s="10"/>
      <c r="S19" s="10">
        <f>-95.11-99.03</f>
        <v>-194.14</v>
      </c>
      <c r="T19" s="10"/>
      <c r="U19" s="10"/>
      <c r="V19" s="10"/>
      <c r="W19" s="10"/>
      <c r="X19" s="10"/>
      <c r="Y19" s="10">
        <v>-93.77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 s="11" customFormat="1" x14ac:dyDescent="0.25">
      <c r="A20" s="25" t="s">
        <v>14</v>
      </c>
      <c r="B20" s="9"/>
      <c r="C20" s="12"/>
      <c r="D20" s="12"/>
      <c r="E20" s="12">
        <v>-163.46</v>
      </c>
      <c r="F20" s="12"/>
      <c r="G20" s="12">
        <v>-160</v>
      </c>
      <c r="H20" s="12"/>
      <c r="I20" s="12">
        <v>-160</v>
      </c>
      <c r="J20" s="12"/>
      <c r="K20" s="12"/>
      <c r="L20" s="12"/>
      <c r="M20" s="12">
        <v>-175</v>
      </c>
      <c r="N20" s="12"/>
      <c r="O20" s="12"/>
      <c r="P20" s="12"/>
      <c r="Q20" s="12">
        <v>-175</v>
      </c>
      <c r="R20" s="12"/>
      <c r="S20" s="10">
        <v>-175</v>
      </c>
      <c r="T20" s="12"/>
      <c r="U20" s="10">
        <f>-175-350</f>
        <v>-525</v>
      </c>
      <c r="V20" s="12"/>
      <c r="W20" s="10">
        <v>-175</v>
      </c>
      <c r="X20" s="12"/>
      <c r="Y20" s="10"/>
      <c r="Z20" s="12"/>
      <c r="AA20" s="12"/>
      <c r="AB20" s="12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 s="11" customFormat="1" x14ac:dyDescent="0.25">
      <c r="A21" s="25" t="s">
        <v>13</v>
      </c>
      <c r="B21" s="9"/>
      <c r="C21" s="10"/>
      <c r="D21" s="10"/>
      <c r="E21" s="10">
        <f>-(900+480)</f>
        <v>-1380</v>
      </c>
      <c r="F21" s="10"/>
      <c r="G21" s="10">
        <f>-(900+480)</f>
        <v>-1380</v>
      </c>
      <c r="H21" s="10"/>
      <c r="I21" s="10">
        <f>-(491.04)</f>
        <v>-491.04</v>
      </c>
      <c r="J21" s="10"/>
      <c r="K21" s="10">
        <v>-480</v>
      </c>
      <c r="L21" s="10"/>
      <c r="M21" s="10">
        <v>-480</v>
      </c>
      <c r="N21" s="10"/>
      <c r="O21" s="10">
        <v>-480</v>
      </c>
      <c r="P21" s="10"/>
      <c r="Q21" s="10">
        <v>-489.92</v>
      </c>
      <c r="R21" s="10"/>
      <c r="S21" s="10">
        <v>-480</v>
      </c>
      <c r="T21" s="10"/>
      <c r="U21" s="10">
        <v>-500</v>
      </c>
      <c r="V21" s="10"/>
      <c r="W21" s="10">
        <v>-500</v>
      </c>
      <c r="X21" s="10"/>
      <c r="Y21" s="10">
        <v>-500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 s="11" customFormat="1" x14ac:dyDescent="0.25">
      <c r="A22" s="25" t="s">
        <v>29</v>
      </c>
      <c r="B22" s="9"/>
      <c r="C22" s="10"/>
      <c r="D22" s="10"/>
      <c r="E22" s="10"/>
      <c r="F22" s="10"/>
      <c r="G22" s="10"/>
      <c r="H22" s="10"/>
      <c r="I22" s="10">
        <f>-662.29-138.56-96.99</f>
        <v>-897.83999999999992</v>
      </c>
      <c r="J22" s="10"/>
      <c r="K22" s="10">
        <v>-140.83000000000001</v>
      </c>
      <c r="L22" s="10"/>
      <c r="M22" s="10"/>
      <c r="N22" s="10"/>
      <c r="O22" s="10"/>
      <c r="P22" s="10"/>
      <c r="Q22" s="10"/>
      <c r="R22" s="10"/>
      <c r="S22" s="10"/>
      <c r="T22" s="10"/>
      <c r="U22" s="10">
        <f>-138.56*5</f>
        <v>-692.8</v>
      </c>
      <c r="V22" s="10"/>
      <c r="W22" s="10">
        <v>-162.08000000000001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s="11" customFormat="1" x14ac:dyDescent="0.25">
      <c r="A23" s="25" t="s">
        <v>16</v>
      </c>
      <c r="B23" s="9"/>
      <c r="C23" s="10">
        <f>-67</f>
        <v>-67</v>
      </c>
      <c r="D23" s="10"/>
      <c r="E23" s="10">
        <f>-67</f>
        <v>-67</v>
      </c>
      <c r="F23" s="10"/>
      <c r="G23" s="10">
        <f>-67-12.3-8.91</f>
        <v>-88.21</v>
      </c>
      <c r="H23" s="10"/>
      <c r="I23" s="10">
        <f>-67</f>
        <v>-67</v>
      </c>
      <c r="J23" s="10"/>
      <c r="K23" s="10">
        <v>-67</v>
      </c>
      <c r="L23" s="10"/>
      <c r="M23" s="10">
        <v>-68.400000000000006</v>
      </c>
      <c r="N23" s="10"/>
      <c r="O23" s="10">
        <v>-68.400000000000006</v>
      </c>
      <c r="P23" s="10"/>
      <c r="Q23" s="10">
        <v>-68.400000000000006</v>
      </c>
      <c r="R23" s="10"/>
      <c r="S23" s="10">
        <f>-(68.4+10)</f>
        <v>-78.400000000000006</v>
      </c>
      <c r="T23" s="10"/>
      <c r="U23" s="10">
        <f>-68.4-3.46</f>
        <v>-71.86</v>
      </c>
      <c r="V23" s="10"/>
      <c r="W23" s="10">
        <f>-(68.4+20+30)</f>
        <v>-118.4</v>
      </c>
      <c r="X23" s="10"/>
      <c r="Y23" s="10">
        <f>-(68.4)</f>
        <v>-68.400000000000006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s="11" customFormat="1" x14ac:dyDescent="0.25">
      <c r="A24" s="25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x14ac:dyDescent="0.25">
      <c r="A25" s="26" t="s">
        <v>40</v>
      </c>
      <c r="B25" s="7">
        <f t="shared" ref="B25" si="16">C25+E25+G25+I25+K25+M25+O25+Q25+S25+U25+W25+Y25</f>
        <v>-507206.81</v>
      </c>
      <c r="C25" s="10">
        <f>SUM(C26:C33)</f>
        <v>-3584.26</v>
      </c>
      <c r="D25" s="10">
        <f>D35</f>
        <v>-65653.507640750671</v>
      </c>
      <c r="E25" s="10">
        <f t="shared" ref="E25:U25" si="17">SUM(E26:E33)</f>
        <v>-262.55</v>
      </c>
      <c r="F25" s="10">
        <f>F35</f>
        <v>-65876.818891229414</v>
      </c>
      <c r="G25" s="10">
        <f t="shared" si="17"/>
        <v>-45200</v>
      </c>
      <c r="H25" s="10">
        <f>H35</f>
        <v>-65876.818891229414</v>
      </c>
      <c r="I25" s="10">
        <f t="shared" si="17"/>
        <v>0</v>
      </c>
      <c r="J25" s="10">
        <f>J35</f>
        <v>-66065.944566201084</v>
      </c>
      <c r="K25" s="10">
        <f t="shared" si="17"/>
        <v>-1900</v>
      </c>
      <c r="L25" s="10">
        <f>L35</f>
        <v>-66255.613201830784</v>
      </c>
      <c r="M25" s="10">
        <f t="shared" si="17"/>
        <v>0</v>
      </c>
      <c r="N25" s="10">
        <f>N35</f>
        <v>-61190.224272176725</v>
      </c>
      <c r="O25" s="10">
        <f t="shared" si="17"/>
        <v>0</v>
      </c>
      <c r="P25" s="10">
        <f>SUM(P35:P37)</f>
        <v>-21001.377400679175</v>
      </c>
      <c r="Q25" s="10">
        <f t="shared" si="17"/>
        <v>0</v>
      </c>
      <c r="R25" s="10">
        <f>SUM(R35:R37)</f>
        <v>-21061.670228157629</v>
      </c>
      <c r="S25" s="10">
        <f t="shared" si="17"/>
        <v>-1900</v>
      </c>
      <c r="T25" s="10">
        <f>SUM(T35:T37)</f>
        <v>-21122.136150237264</v>
      </c>
      <c r="U25" s="10">
        <f t="shared" si="17"/>
        <v>0</v>
      </c>
      <c r="V25" s="10">
        <f>SUM(V35:V37)</f>
        <v>-21182.775663855144</v>
      </c>
      <c r="W25" s="10">
        <f>SUM(W26:W37)</f>
        <v>-454360</v>
      </c>
      <c r="X25" s="10">
        <f>SUM(X35:X37)</f>
        <v>-21243.589267374988</v>
      </c>
      <c r="Y25" s="10">
        <f>SUM(Y26:Y37)</f>
        <v>0</v>
      </c>
      <c r="Z25" s="10">
        <f t="shared" ref="Z25:BV25" si="18">SUM(Z35:Z37)</f>
        <v>-62350.049413150409</v>
      </c>
      <c r="AA25" s="10">
        <f t="shared" si="18"/>
        <v>-21282.595857922472</v>
      </c>
      <c r="AB25" s="10">
        <f t="shared" si="18"/>
        <v>-21343.696035109606</v>
      </c>
      <c r="AC25" s="10">
        <f t="shared" si="18"/>
        <v>-21404.971624717167</v>
      </c>
      <c r="AD25" s="10">
        <f t="shared" si="18"/>
        <v>-21466.423130336439</v>
      </c>
      <c r="AE25" s="10">
        <f t="shared" si="18"/>
        <v>-21528.051057004479</v>
      </c>
      <c r="AF25" s="10">
        <f t="shared" si="18"/>
        <v>-21589.855911208251</v>
      </c>
      <c r="AG25" s="10">
        <f t="shared" si="18"/>
        <v>-21651.838200888789</v>
      </c>
      <c r="AH25" s="10">
        <f t="shared" si="18"/>
        <v>-21713.998435445377</v>
      </c>
      <c r="AI25" s="10">
        <f t="shared" si="18"/>
        <v>-21776.337125739727</v>
      </c>
      <c r="AJ25" s="10">
        <f t="shared" si="18"/>
        <v>-21838.854784100196</v>
      </c>
      <c r="AK25" s="10">
        <f t="shared" si="18"/>
        <v>-21901.55192432597</v>
      </c>
      <c r="AL25" s="10">
        <f t="shared" si="18"/>
        <v>-64446.492532590026</v>
      </c>
      <c r="AM25" s="10">
        <f t="shared" si="18"/>
        <v>-21984.459234025133</v>
      </c>
      <c r="AN25" s="10">
        <f t="shared" si="18"/>
        <v>-22047.574389879686</v>
      </c>
      <c r="AO25" s="10">
        <f t="shared" si="18"/>
        <v>-22110.870742954336</v>
      </c>
      <c r="AP25" s="10">
        <f t="shared" si="18"/>
        <v>-22174.348813447948</v>
      </c>
      <c r="AQ25" s="10">
        <f t="shared" si="18"/>
        <v>-22238.009123052834</v>
      </c>
      <c r="AR25" s="10">
        <f t="shared" si="18"/>
        <v>-22301.852194959021</v>
      </c>
      <c r="AS25" s="10">
        <f t="shared" si="18"/>
        <v>-22365.878553858565</v>
      </c>
      <c r="AT25" s="10">
        <f t="shared" si="18"/>
        <v>-22430.088725949863</v>
      </c>
      <c r="AU25" s="10">
        <f t="shared" si="18"/>
        <v>-22494.483238941968</v>
      </c>
      <c r="AV25" s="10">
        <f t="shared" si="18"/>
        <v>-22559.06262205894</v>
      </c>
      <c r="AW25" s="10">
        <f t="shared" si="18"/>
        <v>-22623.827406044176</v>
      </c>
      <c r="AX25" s="10">
        <f t="shared" si="18"/>
        <v>-66657.713815544965</v>
      </c>
      <c r="AY25" s="10">
        <f t="shared" si="18"/>
        <v>-22709.381866529005</v>
      </c>
      <c r="AZ25" s="10">
        <f t="shared" si="18"/>
        <v>-22774.578201840646</v>
      </c>
      <c r="BA25" s="10">
        <f t="shared" si="18"/>
        <v>-22839.961709227824</v>
      </c>
      <c r="BB25" s="10">
        <f t="shared" si="18"/>
        <v>-22905.532926042604</v>
      </c>
      <c r="BC25" s="10">
        <f t="shared" si="18"/>
        <v>-22971.292391179752</v>
      </c>
      <c r="BD25" s="10">
        <f t="shared" si="18"/>
        <v>-23037.240645081121</v>
      </c>
      <c r="BE25" s="10">
        <f t="shared" si="18"/>
        <v>-23103.378229740149</v>
      </c>
      <c r="BF25" s="10">
        <f t="shared" si="18"/>
        <v>-23169.70568870625</v>
      </c>
      <c r="BG25" s="10">
        <f t="shared" si="18"/>
        <v>-23236.223567089342</v>
      </c>
      <c r="BH25" s="10">
        <f t="shared" si="18"/>
        <v>-23302.932411564278</v>
      </c>
      <c r="BI25" s="10">
        <f t="shared" si="18"/>
        <v>-23369.832770375368</v>
      </c>
      <c r="BJ25" s="10">
        <f t="shared" si="18"/>
        <v>-68944.773634954356</v>
      </c>
      <c r="BK25" s="10">
        <f t="shared" si="18"/>
        <v>-23458.118120746487</v>
      </c>
      <c r="BL25" s="10">
        <f t="shared" si="18"/>
        <v>-23525.464002011286</v>
      </c>
      <c r="BM25" s="10">
        <f t="shared" si="18"/>
        <v>-23593.003226480341</v>
      </c>
      <c r="BN25" s="10">
        <f t="shared" si="18"/>
        <v>-23660.736349222414</v>
      </c>
      <c r="BO25" s="10">
        <f t="shared" si="18"/>
        <v>-23728.663926899808</v>
      </c>
      <c r="BP25" s="10">
        <f t="shared" si="18"/>
        <v>-23796.786517772947</v>
      </c>
      <c r="BQ25" s="10">
        <f t="shared" si="18"/>
        <v>-23865.104681704961</v>
      </c>
      <c r="BR25" s="10">
        <f t="shared" si="18"/>
        <v>-23933.618980166299</v>
      </c>
      <c r="BS25" s="10">
        <f t="shared" si="18"/>
        <v>-24002.329976239329</v>
      </c>
      <c r="BT25" s="10">
        <f t="shared" si="18"/>
        <v>-24071.238234622968</v>
      </c>
      <c r="BU25" s="10">
        <f t="shared" si="18"/>
        <v>-24140.344321637334</v>
      </c>
      <c r="BV25" s="10">
        <f t="shared" si="18"/>
        <v>-71310.271942298365</v>
      </c>
    </row>
    <row r="26" spans="1:74" s="11" customFormat="1" x14ac:dyDescent="0.25">
      <c r="A26" s="25" t="s">
        <v>21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1" customFormat="1" x14ac:dyDescent="0.25">
      <c r="A27" s="25" t="s">
        <v>15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1" customFormat="1" x14ac:dyDescent="0.25">
      <c r="A28" s="25" t="s">
        <v>35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>
        <v>-57000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s="11" customFormat="1" x14ac:dyDescent="0.25">
      <c r="A29" s="25" t="s">
        <v>36</v>
      </c>
      <c r="B29" s="9"/>
      <c r="C29" s="10"/>
      <c r="D29" s="10"/>
      <c r="E29" s="10"/>
      <c r="F29" s="10"/>
      <c r="G29" s="10">
        <f>-45200</f>
        <v>-45200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f>-(143000+37000)</f>
        <v>-180000</v>
      </c>
      <c r="X29" s="17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 s="11" customFormat="1" x14ac:dyDescent="0.25">
      <c r="A30" s="25" t="s">
        <v>18</v>
      </c>
      <c r="B30" s="9"/>
      <c r="C30" s="10">
        <v>-3584.26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 s="11" customFormat="1" x14ac:dyDescent="0.25">
      <c r="A31" s="25" t="s">
        <v>31</v>
      </c>
      <c r="G31" s="10"/>
      <c r="H31" s="10"/>
      <c r="I31" s="10"/>
      <c r="J31" s="10"/>
      <c r="K31" s="10">
        <v>-1900</v>
      </c>
      <c r="L31" s="10"/>
      <c r="M31" s="10"/>
      <c r="N31" s="10"/>
      <c r="O31" s="10"/>
      <c r="P31" s="10"/>
      <c r="Q31" s="10"/>
      <c r="R31" s="10"/>
      <c r="S31" s="10">
        <v>-1900</v>
      </c>
      <c r="T31" s="10"/>
      <c r="U31" s="10"/>
      <c r="V31" s="10"/>
      <c r="W31" s="10"/>
      <c r="X31" s="10"/>
      <c r="Y31" s="10"/>
      <c r="Z31" s="17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 s="11" customFormat="1" x14ac:dyDescent="0.25">
      <c r="A32" s="25" t="s">
        <v>17</v>
      </c>
      <c r="B32" s="9"/>
      <c r="C32" s="10"/>
      <c r="D32" s="17"/>
      <c r="E32" s="10">
        <f>-262.55</f>
        <v>-262.55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s="11" customFormat="1" x14ac:dyDescent="0.25">
      <c r="A33" s="25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7"/>
      <c r="X33" s="10"/>
      <c r="Y33" s="17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x14ac:dyDescent="0.25">
      <c r="A34" s="27"/>
      <c r="B34" s="8"/>
      <c r="C34" s="2"/>
      <c r="D34" s="2"/>
      <c r="E34" s="2"/>
      <c r="F34" s="2"/>
      <c r="G34" s="10"/>
      <c r="H34" s="2"/>
      <c r="I34" s="10"/>
      <c r="J34" s="2"/>
      <c r="K34" s="10"/>
      <c r="L34" s="2"/>
      <c r="M34" s="10"/>
      <c r="N34" s="2"/>
      <c r="O34" s="10"/>
      <c r="P34" s="2"/>
      <c r="Q34" s="2"/>
      <c r="R34" s="2"/>
      <c r="S34" s="2"/>
      <c r="T34" s="2"/>
      <c r="U34" s="2"/>
      <c r="V34" s="2"/>
      <c r="W34" s="2"/>
      <c r="X34" s="2"/>
      <c r="Y34" s="1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x14ac:dyDescent="0.25">
      <c r="A35" s="23" t="s">
        <v>2</v>
      </c>
      <c r="B35" s="4"/>
      <c r="C35" s="2"/>
      <c r="D35" s="2">
        <v>-65653.507640750671</v>
      </c>
      <c r="E35" s="2"/>
      <c r="F35" s="2">
        <v>-65876.818891229414</v>
      </c>
      <c r="G35" s="10"/>
      <c r="H35" s="2">
        <v>-65876.818891229414</v>
      </c>
      <c r="I35" s="10"/>
      <c r="J35" s="2">
        <v>-66065.944566201084</v>
      </c>
      <c r="K35" s="10"/>
      <c r="L35" s="2">
        <v>-66255.613201830784</v>
      </c>
      <c r="M35" s="10"/>
      <c r="N35" s="2">
        <v>-61190.224272176725</v>
      </c>
      <c r="O35" s="10"/>
      <c r="P35" s="2">
        <v>-1225.9044755676</v>
      </c>
      <c r="Q35" s="2"/>
      <c r="R35" s="2">
        <v>-1229.4239231562174</v>
      </c>
      <c r="S35" s="2"/>
      <c r="T35" s="2">
        <v>-1232.9534747224088</v>
      </c>
      <c r="U35" s="2"/>
      <c r="V35" s="2">
        <v>-1236.4931592736705</v>
      </c>
      <c r="W35" s="2"/>
      <c r="X35" s="2">
        <v>-1240.0430059007761</v>
      </c>
      <c r="Y35" s="2"/>
      <c r="Z35" s="2">
        <v>-1243.6030437780166</v>
      </c>
      <c r="AA35" s="2">
        <v>-1164.0284153525429</v>
      </c>
      <c r="AB35" s="2">
        <v>-1167.3702230391473</v>
      </c>
      <c r="AC35" s="2">
        <v>-1170.7216247171586</v>
      </c>
      <c r="AD35" s="2">
        <v>-1174.0826479299544</v>
      </c>
      <c r="AE35" s="2">
        <v>-1177.4533202999867</v>
      </c>
      <c r="AF35" s="2">
        <v>-1180.8336695290086</v>
      </c>
      <c r="AG35" s="2">
        <v>-1184.2237233983019</v>
      </c>
      <c r="AH35" s="2">
        <v>-1187.6235097689064</v>
      </c>
      <c r="AI35" s="2">
        <v>-1191.0330565818472</v>
      </c>
      <c r="AJ35" s="2">
        <v>-1194.4523918583661</v>
      </c>
      <c r="AK35" s="2">
        <v>-1197.8815437001504</v>
      </c>
      <c r="AL35" s="2">
        <v>-1201.3205402895646</v>
      </c>
      <c r="AM35" s="2">
        <v>-1161.7419309652439</v>
      </c>
      <c r="AN35" s="2">
        <v>-1165.0771743867494</v>
      </c>
      <c r="AO35" s="2">
        <v>-1168.4219929543217</v>
      </c>
      <c r="AP35" s="2">
        <v>-1171.7764141572352</v>
      </c>
      <c r="AQ35" s="2">
        <v>-1175.1404655636834</v>
      </c>
      <c r="AR35" s="2">
        <v>-1178.5141748210051</v>
      </c>
      <c r="AS35" s="2">
        <v>-1181.8975696559123</v>
      </c>
      <c r="AT35" s="2">
        <v>-1185.2906778747174</v>
      </c>
      <c r="AU35" s="2">
        <v>-1188.6935273635615</v>
      </c>
      <c r="AV35" s="2">
        <v>-1192.1061460886442</v>
      </c>
      <c r="AW35" s="2">
        <v>-1195.5285620964537</v>
      </c>
      <c r="AX35" s="2">
        <v>-1198.9608035139959</v>
      </c>
      <c r="AY35" s="2">
        <v>-1157.8694578620261</v>
      </c>
      <c r="AZ35" s="2">
        <v>-1161.1935838054603</v>
      </c>
      <c r="BA35" s="2">
        <v>-1164.5272529778074</v>
      </c>
      <c r="BB35" s="2">
        <v>-1167.8704927767112</v>
      </c>
      <c r="BC35" s="2">
        <v>-1171.2233306784713</v>
      </c>
      <c r="BD35" s="2">
        <v>-1174.5857942382688</v>
      </c>
      <c r="BE35" s="2">
        <v>-1177.9579110903931</v>
      </c>
      <c r="BF35" s="2">
        <v>-1181.3397089484688</v>
      </c>
      <c r="BG35" s="2">
        <v>-1184.7312156056832</v>
      </c>
      <c r="BH35" s="2">
        <v>-1188.1324589350158</v>
      </c>
      <c r="BI35" s="2">
        <v>-1191.5434668894657</v>
      </c>
      <c r="BJ35" s="2">
        <v>-1194.9642675022828</v>
      </c>
      <c r="BK35" s="2">
        <v>-1152.3027777761515</v>
      </c>
      <c r="BL35" s="2">
        <v>-1155.6109223448575</v>
      </c>
      <c r="BM35" s="2">
        <v>-1158.9285642615682</v>
      </c>
      <c r="BN35" s="2">
        <v>-1162.2557307922082</v>
      </c>
      <c r="BO35" s="2">
        <v>-1165.5924492809788</v>
      </c>
      <c r="BP35" s="2">
        <v>-1168.9387471505852</v>
      </c>
      <c r="BQ35" s="2">
        <v>-1172.2946519024588</v>
      </c>
      <c r="BR35" s="2">
        <v>-1175.660191116986</v>
      </c>
      <c r="BS35" s="2">
        <v>-1179.0353924537333</v>
      </c>
      <c r="BT35" s="2">
        <v>-1182.4202836516747</v>
      </c>
      <c r="BU35" s="2">
        <v>-1185.8148925294206</v>
      </c>
      <c r="BV35" s="2">
        <v>-1189.2192469854454</v>
      </c>
    </row>
    <row r="36" spans="1:74" x14ac:dyDescent="0.25">
      <c r="A36" s="23" t="s">
        <v>3</v>
      </c>
      <c r="B36" s="4"/>
      <c r="C36" s="2"/>
      <c r="D36" s="2">
        <v>0</v>
      </c>
      <c r="E36" s="2"/>
      <c r="F36" s="2">
        <v>0</v>
      </c>
      <c r="G36" s="10">
        <v>0</v>
      </c>
      <c r="H36" s="2">
        <v>0</v>
      </c>
      <c r="I36" s="10">
        <v>0</v>
      </c>
      <c r="J36" s="2">
        <v>0</v>
      </c>
      <c r="K36" s="10">
        <v>0</v>
      </c>
      <c r="L36" s="2">
        <v>0</v>
      </c>
      <c r="M36" s="10">
        <v>0</v>
      </c>
      <c r="N36" s="2">
        <v>0</v>
      </c>
      <c r="O36" s="10">
        <v>0</v>
      </c>
      <c r="P36" s="2">
        <v>-19775.472925111575</v>
      </c>
      <c r="Q36" s="2"/>
      <c r="R36" s="2">
        <v>-19832.246305001412</v>
      </c>
      <c r="S36" s="2"/>
      <c r="T36" s="2">
        <v>-19889.182675514854</v>
      </c>
      <c r="U36" s="2"/>
      <c r="V36" s="2">
        <v>-19946.282504581472</v>
      </c>
      <c r="W36" s="2">
        <f>-(150000+67360)</f>
        <v>-217360</v>
      </c>
      <c r="X36" s="2">
        <v>-20003.54626147421</v>
      </c>
      <c r="Y36" s="2"/>
      <c r="Z36" s="2">
        <v>-20060.974416813271</v>
      </c>
      <c r="AA36" s="2">
        <v>-20118.567442569929</v>
      </c>
      <c r="AB36" s="2">
        <v>-20176.32581207046</v>
      </c>
      <c r="AC36" s="2">
        <v>-20234.250000000007</v>
      </c>
      <c r="AD36" s="2">
        <v>-20292.340482406486</v>
      </c>
      <c r="AE36" s="2">
        <v>-20350.597736704491</v>
      </c>
      <c r="AF36" s="2">
        <v>-20409.022241679242</v>
      </c>
      <c r="AG36" s="2">
        <v>-20467.614477490486</v>
      </c>
      <c r="AH36" s="2">
        <v>-20526.374925676471</v>
      </c>
      <c r="AI36" s="2">
        <v>-20585.304069157879</v>
      </c>
      <c r="AJ36" s="2">
        <v>-20644.402392241831</v>
      </c>
      <c r="AK36" s="2">
        <v>-20703.670380625819</v>
      </c>
      <c r="AL36" s="2">
        <v>-20763.108521401744</v>
      </c>
      <c r="AM36" s="2">
        <v>-20822.71730305989</v>
      </c>
      <c r="AN36" s="2">
        <v>-20882.497215492938</v>
      </c>
      <c r="AO36" s="2">
        <v>-20942.448750000014</v>
      </c>
      <c r="AP36" s="2">
        <v>-21002.572399290715</v>
      </c>
      <c r="AQ36" s="2">
        <v>-21062.868657489151</v>
      </c>
      <c r="AR36" s="2">
        <v>-21123.338020138017</v>
      </c>
      <c r="AS36" s="2">
        <v>-21183.980984202652</v>
      </c>
      <c r="AT36" s="2">
        <v>-21244.798048075147</v>
      </c>
      <c r="AU36" s="2">
        <v>-21305.789711578407</v>
      </c>
      <c r="AV36" s="2">
        <v>-21366.956475970295</v>
      </c>
      <c r="AW36" s="2">
        <v>-21428.298843947723</v>
      </c>
      <c r="AX36" s="2">
        <v>-21489.817319650803</v>
      </c>
      <c r="AY36" s="2">
        <v>-21551.512408666978</v>
      </c>
      <c r="AZ36" s="2">
        <v>-21613.384618035187</v>
      </c>
      <c r="BA36" s="2">
        <v>-21675.434456250016</v>
      </c>
      <c r="BB36" s="2">
        <v>-21737.662433265894</v>
      </c>
      <c r="BC36" s="2">
        <v>-21800.069060501279</v>
      </c>
      <c r="BD36" s="2">
        <v>-21862.654850842853</v>
      </c>
      <c r="BE36" s="2">
        <v>-21925.420318649754</v>
      </c>
      <c r="BF36" s="2">
        <v>-21988.365979757782</v>
      </c>
      <c r="BG36" s="2">
        <v>-22051.492351483659</v>
      </c>
      <c r="BH36" s="2">
        <v>-22114.799952629262</v>
      </c>
      <c r="BI36" s="2">
        <v>-22178.289303485901</v>
      </c>
      <c r="BJ36" s="2">
        <v>-22241.96092583859</v>
      </c>
      <c r="BK36" s="2">
        <v>-22305.815342970334</v>
      </c>
      <c r="BL36" s="2">
        <v>-22369.853079666427</v>
      </c>
      <c r="BM36" s="2">
        <v>-22434.074662218773</v>
      </c>
      <c r="BN36" s="2">
        <v>-22498.480618430207</v>
      </c>
      <c r="BO36" s="2">
        <v>-22563.071477618829</v>
      </c>
      <c r="BP36" s="2">
        <v>-22627.84777062236</v>
      </c>
      <c r="BQ36" s="2">
        <v>-22692.810029802502</v>
      </c>
      <c r="BR36" s="2">
        <v>-22757.958789049313</v>
      </c>
      <c r="BS36" s="2">
        <v>-22823.294583785595</v>
      </c>
      <c r="BT36" s="2">
        <v>-22888.817950971294</v>
      </c>
      <c r="BU36" s="2">
        <v>-22954.529429107915</v>
      </c>
      <c r="BV36" s="2">
        <v>-23020.429558242948</v>
      </c>
    </row>
    <row r="37" spans="1:74" x14ac:dyDescent="0.25">
      <c r="A37" s="23" t="s">
        <v>4</v>
      </c>
      <c r="B37" s="4"/>
      <c r="C37" s="2"/>
      <c r="D37" s="2">
        <v>0</v>
      </c>
      <c r="E37" s="2"/>
      <c r="F37" s="2">
        <v>0</v>
      </c>
      <c r="G37" s="10">
        <v>0</v>
      </c>
      <c r="H37" s="2">
        <v>0</v>
      </c>
      <c r="I37" s="10">
        <v>0</v>
      </c>
      <c r="J37" s="2">
        <v>0</v>
      </c>
      <c r="K37" s="10">
        <v>0</v>
      </c>
      <c r="L37" s="2">
        <v>0</v>
      </c>
      <c r="M37" s="10">
        <v>0</v>
      </c>
      <c r="N37" s="2">
        <v>0</v>
      </c>
      <c r="O37" s="10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-41045.471952559121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-42482.063470898713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-43968.935692380161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-45507.848441613482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-47100.623137069968</v>
      </c>
    </row>
    <row r="38" spans="1:74" x14ac:dyDescent="0.25">
      <c r="A38" s="28"/>
      <c r="B38" s="3"/>
      <c r="C38" s="2"/>
      <c r="D38" s="2"/>
      <c r="E38" s="2"/>
      <c r="F38" s="2"/>
      <c r="G38" s="10"/>
      <c r="H38" s="2"/>
      <c r="I38" s="10"/>
      <c r="J38" s="2"/>
      <c r="K38" s="10"/>
      <c r="L38" s="2"/>
      <c r="M38" s="10"/>
      <c r="N38" s="2"/>
      <c r="O38" s="10"/>
      <c r="P38" s="2"/>
      <c r="Q38" s="2"/>
      <c r="R38" s="2"/>
      <c r="S38" s="2"/>
      <c r="T38" s="2"/>
      <c r="U38" s="10"/>
      <c r="V38" s="2"/>
      <c r="W38" s="10"/>
      <c r="X38" s="2"/>
      <c r="Y38" s="1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25">
      <c r="A39" s="21" t="s">
        <v>7</v>
      </c>
      <c r="B39" s="7">
        <f t="shared" ref="B39" si="19">C39+E39+G39+I39+K39+M39+O39+Q39+S39+U39+W39+Y39</f>
        <v>-1407955.62</v>
      </c>
      <c r="C39" s="2">
        <f>SUM(C40:C45)</f>
        <v>-48405.389999999992</v>
      </c>
      <c r="D39" s="2"/>
      <c r="E39" s="2">
        <f>SUM(E40:E45)</f>
        <v>-52591.649999999994</v>
      </c>
      <c r="F39" s="2">
        <v>-290653.07379490609</v>
      </c>
      <c r="G39" s="10">
        <f>SUM(G40:G45)</f>
        <v>-125323</v>
      </c>
      <c r="H39" s="2">
        <v>-291641.68969216774</v>
      </c>
      <c r="I39" s="10">
        <f>SUM(I40:I45)</f>
        <v>-121141.37000000001</v>
      </c>
      <c r="J39" s="2">
        <v>-291641.68969216774</v>
      </c>
      <c r="K39" s="10">
        <f>SUM(K40:K45)</f>
        <v>0</v>
      </c>
      <c r="L39" s="2">
        <v>-291641.68969216774</v>
      </c>
      <c r="M39" s="10">
        <f>SUM(M40:M45)</f>
        <v>-152130.95000000001</v>
      </c>
      <c r="N39" s="2">
        <v>-291641.68969216774</v>
      </c>
      <c r="O39" s="10">
        <f>SUM(O40:O45)</f>
        <v>-319987.78999999998</v>
      </c>
      <c r="P39" s="2">
        <v>-268573.98542273074</v>
      </c>
      <c r="Q39" s="10">
        <f>SUM(Q40:Q45)</f>
        <v>-180529.02</v>
      </c>
      <c r="R39" s="2">
        <v>0</v>
      </c>
      <c r="S39" s="10">
        <f>SUM(S40:S45)</f>
        <v>-3436.5</v>
      </c>
      <c r="T39" s="2">
        <v>0</v>
      </c>
      <c r="U39" s="10">
        <f>SUM(U40:U45)</f>
        <v>-132635.07999999999</v>
      </c>
      <c r="V39" s="2">
        <v>0</v>
      </c>
      <c r="W39" s="10">
        <f>SUM(W40:W45)</f>
        <v>-132108.59</v>
      </c>
      <c r="X39" s="2">
        <v>0</v>
      </c>
      <c r="Y39" s="10">
        <f>SUM(Y40:Y45)</f>
        <v>-139666.28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</row>
    <row r="40" spans="1:74" x14ac:dyDescent="0.25">
      <c r="A40" s="25" t="s">
        <v>24</v>
      </c>
      <c r="B40" s="9"/>
      <c r="C40" s="10">
        <f>-(5745.31+35690.7)</f>
        <v>-41436.009999999995</v>
      </c>
      <c r="D40" s="10"/>
      <c r="E40" s="10">
        <f>-(5745.31+35690.7)</f>
        <v>-41436.009999999995</v>
      </c>
      <c r="F40" s="10"/>
      <c r="G40" s="10">
        <f>-(104346.46+16794.92)</f>
        <v>-121141.38</v>
      </c>
      <c r="H40" s="10"/>
      <c r="I40" s="10">
        <f>-(104346.46+16794.91)</f>
        <v>-121141.37000000001</v>
      </c>
      <c r="J40" s="2"/>
      <c r="K40" s="10"/>
      <c r="L40" s="2"/>
      <c r="M40" s="10">
        <f>-(116631.88+18772.57)</f>
        <v>-135404.45000000001</v>
      </c>
      <c r="N40" s="2"/>
      <c r="O40" s="10">
        <f>-(24467.06+152007.6+18772.56+116631.87)</f>
        <v>-311879.08999999997</v>
      </c>
      <c r="P40" s="2"/>
      <c r="Q40" s="10">
        <f>-(152007.6+24467.06)</f>
        <v>-176474.66</v>
      </c>
      <c r="R40" s="2"/>
      <c r="S40" s="2"/>
      <c r="T40" s="16"/>
      <c r="U40" s="10">
        <f>-110449.55-17777.79</f>
        <v>-128227.34</v>
      </c>
      <c r="V40" s="2"/>
      <c r="W40" s="10">
        <f>-(17777.79+110449.55)</f>
        <v>-128227.34</v>
      </c>
      <c r="X40" s="2"/>
      <c r="Y40" s="10">
        <f>-(110449.55+17777.79)</f>
        <v>-128227.34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25">
      <c r="A41" s="25" t="s">
        <v>32</v>
      </c>
      <c r="B41" s="9"/>
      <c r="C41" s="10"/>
      <c r="D41" s="10"/>
      <c r="E41" s="10"/>
      <c r="F41" s="10"/>
      <c r="G41" s="10"/>
      <c r="H41" s="2"/>
      <c r="I41" s="10"/>
      <c r="J41" s="2"/>
      <c r="K41" s="10"/>
      <c r="L41" s="2"/>
      <c r="M41" s="10"/>
      <c r="N41" s="2"/>
      <c r="O41" s="10">
        <f>-(4054.35+4054.35)</f>
        <v>-8108.7</v>
      </c>
      <c r="P41" s="2"/>
      <c r="Q41" s="10">
        <v>-4054.36</v>
      </c>
      <c r="R41" s="2"/>
      <c r="S41" s="2"/>
      <c r="T41" s="2"/>
      <c r="U41" s="10"/>
      <c r="V41" s="2"/>
      <c r="W41" s="10"/>
      <c r="X41" s="2"/>
      <c r="Y41" s="10">
        <v>-3967.07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25">
      <c r="A42" s="25" t="s">
        <v>20</v>
      </c>
      <c r="B42" s="9"/>
      <c r="C42" s="10"/>
      <c r="D42" s="10"/>
      <c r="E42" s="10"/>
      <c r="F42" s="2"/>
      <c r="G42" s="10"/>
      <c r="H42" s="2"/>
      <c r="I42" s="10"/>
      <c r="J42" s="2"/>
      <c r="K42" s="10"/>
      <c r="L42" s="2"/>
      <c r="M42" s="10"/>
      <c r="N42" s="2"/>
      <c r="O42" s="10"/>
      <c r="P42" s="2"/>
      <c r="Q42" s="2"/>
      <c r="R42" s="2"/>
      <c r="S42" s="10"/>
      <c r="T42" s="2"/>
      <c r="U42" s="10"/>
      <c r="V42" s="2"/>
      <c r="W42" s="10"/>
      <c r="X42" s="2"/>
      <c r="Y42" s="10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25">
      <c r="A43" s="25" t="s">
        <v>45</v>
      </c>
      <c r="B43" s="9"/>
      <c r="C43" s="10"/>
      <c r="D43" s="10"/>
      <c r="E43" s="10"/>
      <c r="F43" s="2"/>
      <c r="G43" s="10"/>
      <c r="H43" s="2"/>
      <c r="I43" s="10"/>
      <c r="J43" s="2"/>
      <c r="K43" s="10"/>
      <c r="L43" s="2"/>
      <c r="M43" s="10"/>
      <c r="N43" s="2"/>
      <c r="O43" s="10"/>
      <c r="P43" s="2"/>
      <c r="Q43" s="2"/>
      <c r="R43" s="2"/>
      <c r="S43" s="10">
        <f>-(687.3*5)</f>
        <v>-3436.5</v>
      </c>
      <c r="T43" s="2"/>
      <c r="U43" s="10"/>
      <c r="V43" s="2"/>
      <c r="W43" s="10"/>
      <c r="X43" s="2"/>
      <c r="Y43" s="10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5">
      <c r="A44" s="25" t="s">
        <v>34</v>
      </c>
      <c r="B44" s="9"/>
      <c r="C44" s="10"/>
      <c r="D44" s="10"/>
      <c r="E44" s="10"/>
      <c r="F44" s="2"/>
      <c r="G44" s="10"/>
      <c r="H44" s="2"/>
      <c r="I44" s="10"/>
      <c r="J44" s="2"/>
      <c r="K44" s="10"/>
      <c r="L44" s="2"/>
      <c r="M44" s="10"/>
      <c r="N44" s="2"/>
      <c r="O44" s="10"/>
      <c r="P44" s="2"/>
      <c r="Q44" s="2"/>
      <c r="R44" s="2"/>
      <c r="S44" s="10"/>
      <c r="T44" s="2"/>
      <c r="U44" s="10">
        <v>-4407.74</v>
      </c>
      <c r="V44" s="2"/>
      <c r="W44" s="10">
        <v>-3881.25</v>
      </c>
      <c r="X44" s="2"/>
      <c r="Y44" s="10">
        <f>-(3590.62+3881.25)</f>
        <v>-7471.87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25">
      <c r="A45" s="25" t="s">
        <v>19</v>
      </c>
      <c r="B45" s="9"/>
      <c r="C45" s="10">
        <v>-6969.38</v>
      </c>
      <c r="D45" s="10"/>
      <c r="E45" s="10">
        <f>-(4181.63+6974.01)</f>
        <v>-11155.64</v>
      </c>
      <c r="F45" s="10"/>
      <c r="G45" s="10">
        <v>-4181.62</v>
      </c>
      <c r="H45" s="2"/>
      <c r="I45" s="10"/>
      <c r="J45" s="2"/>
      <c r="K45" s="10"/>
      <c r="L45" s="2"/>
      <c r="M45" s="10">
        <f>-(8363.25+8363.25)</f>
        <v>-16726.5</v>
      </c>
      <c r="N45" s="2"/>
      <c r="O45" s="10"/>
      <c r="P45" s="2"/>
      <c r="Q45" s="2"/>
      <c r="R45" s="2"/>
      <c r="S45" s="10"/>
      <c r="T45" s="2"/>
      <c r="U45" s="10"/>
      <c r="V45" s="2"/>
      <c r="W45" s="10"/>
      <c r="X45" s="2"/>
      <c r="Y45" s="10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25">
      <c r="A46" s="28"/>
      <c r="B46" s="3"/>
      <c r="C46" s="2"/>
      <c r="D46" s="2"/>
      <c r="E46" s="2"/>
      <c r="F46" s="2"/>
      <c r="G46" s="10"/>
      <c r="H46" s="2"/>
      <c r="I46" s="10"/>
      <c r="J46" s="2"/>
      <c r="K46" s="10"/>
      <c r="L46" s="2"/>
      <c r="M46" s="10"/>
      <c r="N46" s="2"/>
      <c r="O46" s="1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x14ac:dyDescent="0.25">
      <c r="A47" s="21" t="s">
        <v>9</v>
      </c>
      <c r="B47" s="32">
        <f t="shared" ref="B47" si="20">C47+E47+G47+I47+K47+M47+O47+Q47+S47+U47+W47+Y47</f>
        <v>-22420.19</v>
      </c>
      <c r="C47" s="5">
        <v>0</v>
      </c>
      <c r="D47" s="5">
        <f>SUM(D48:D51)</f>
        <v>-13432.593933481601</v>
      </c>
      <c r="E47" s="5">
        <v>0</v>
      </c>
      <c r="F47" s="5">
        <f t="shared" ref="F47:BV47" si="21">SUM(F48:F51)</f>
        <v>-13432.593933481601</v>
      </c>
      <c r="G47" s="14">
        <f t="shared" ref="G47" si="22">SUM(G48:G51)</f>
        <v>-209.22</v>
      </c>
      <c r="H47" s="5">
        <f t="shared" si="21"/>
        <v>-13432.593933481601</v>
      </c>
      <c r="I47" s="14">
        <f t="shared" ref="I47:K47" si="23">SUM(I48:I51)</f>
        <v>-915.68000000000006</v>
      </c>
      <c r="J47" s="5">
        <f t="shared" si="21"/>
        <v>-13476.899347637262</v>
      </c>
      <c r="K47" s="14">
        <f t="shared" si="23"/>
        <v>-2214.36</v>
      </c>
      <c r="L47" s="5">
        <f t="shared" si="21"/>
        <v>-13521.331958149671</v>
      </c>
      <c r="M47" s="14">
        <f t="shared" si="21"/>
        <v>-1460.26</v>
      </c>
      <c r="N47" s="5">
        <f t="shared" si="21"/>
        <v>-13565.892130186689</v>
      </c>
      <c r="O47" s="14">
        <f t="shared" ref="O47" si="24">SUM(O48:O51)</f>
        <v>-1975.37</v>
      </c>
      <c r="P47" s="5">
        <f t="shared" si="21"/>
        <v>-13610.580229964526</v>
      </c>
      <c r="Q47" s="5">
        <f t="shared" ref="Q47" si="25">SUM(Q48:Q51)</f>
        <v>-2142.41</v>
      </c>
      <c r="R47" s="5">
        <f t="shared" si="21"/>
        <v>-13655.396624750776</v>
      </c>
      <c r="S47" s="5">
        <f t="shared" ref="S47" si="26">SUM(S48:S51)</f>
        <v>-4482.87</v>
      </c>
      <c r="T47" s="5">
        <f t="shared" si="21"/>
        <v>-13700.341682867411</v>
      </c>
      <c r="U47" s="5">
        <f t="shared" ref="U47:Y47" si="27">SUM(U48:U51)</f>
        <v>-6171.85</v>
      </c>
      <c r="V47" s="5">
        <f t="shared" si="21"/>
        <v>-13745.41577369382</v>
      </c>
      <c r="W47" s="5">
        <f t="shared" si="27"/>
        <v>-1967.33</v>
      </c>
      <c r="X47" s="5">
        <f t="shared" si="21"/>
        <v>-13790.619267669847</v>
      </c>
      <c r="Y47" s="5">
        <f t="shared" si="27"/>
        <v>-880.84</v>
      </c>
      <c r="Z47" s="5">
        <f t="shared" si="21"/>
        <v>-13835.952536298828</v>
      </c>
      <c r="AA47" s="5">
        <f t="shared" si="21"/>
        <v>-13881.415952150646</v>
      </c>
      <c r="AB47" s="5">
        <f t="shared" si="21"/>
        <v>-13927.009888864799</v>
      </c>
      <c r="AC47" s="5">
        <f t="shared" si="21"/>
        <v>-13972.734721153462</v>
      </c>
      <c r="AD47" s="5">
        <f t="shared" si="21"/>
        <v>-14018.590824804574</v>
      </c>
      <c r="AE47" s="5">
        <f t="shared" si="21"/>
        <v>-14064.578576684915</v>
      </c>
      <c r="AF47" s="5">
        <f t="shared" si="21"/>
        <v>-14110.698354743226</v>
      </c>
      <c r="AG47" s="5">
        <f t="shared" si="21"/>
        <v>-14156.95053801329</v>
      </c>
      <c r="AH47" s="5">
        <f t="shared" si="21"/>
        <v>-14203.335506617061</v>
      </c>
      <c r="AI47" s="5">
        <f t="shared" si="21"/>
        <v>-14249.853641767777</v>
      </c>
      <c r="AJ47" s="5">
        <f t="shared" si="21"/>
        <v>-14296.505325773111</v>
      </c>
      <c r="AK47" s="5">
        <f t="shared" si="21"/>
        <v>-14343.290942038298</v>
      </c>
      <c r="AL47" s="5">
        <f t="shared" si="21"/>
        <v>-14390.210875069293</v>
      </c>
      <c r="AM47" s="5">
        <f t="shared" si="21"/>
        <v>-14437.265510475925</v>
      </c>
      <c r="AN47" s="5">
        <f t="shared" si="21"/>
        <v>-14484.455234975074</v>
      </c>
      <c r="AO47" s="5">
        <f t="shared" si="21"/>
        <v>-14531.780436393839</v>
      </c>
      <c r="AP47" s="5">
        <f t="shared" si="21"/>
        <v>-14579.241503672736</v>
      </c>
      <c r="AQ47" s="5">
        <f t="shared" si="21"/>
        <v>-14626.838826868892</v>
      </c>
      <c r="AR47" s="5">
        <f t="shared" si="21"/>
        <v>-14674.572797159242</v>
      </c>
      <c r="AS47" s="5">
        <f t="shared" si="21"/>
        <v>-14722.443806843758</v>
      </c>
      <c r="AT47" s="5">
        <f t="shared" si="21"/>
        <v>-14770.452249348658</v>
      </c>
      <c r="AU47" s="5">
        <f t="shared" si="21"/>
        <v>-14818.598519229647</v>
      </c>
      <c r="AV47" s="5">
        <f t="shared" si="21"/>
        <v>-14866.883012175169</v>
      </c>
      <c r="AW47" s="5">
        <f t="shared" si="21"/>
        <v>-14915.306125009638</v>
      </c>
      <c r="AX47" s="5">
        <f t="shared" si="21"/>
        <v>-14963.868255696718</v>
      </c>
      <c r="AY47" s="5">
        <f t="shared" si="21"/>
        <v>-15012.56980334258</v>
      </c>
      <c r="AZ47" s="5">
        <f t="shared" si="21"/>
        <v>-15061.411168199204</v>
      </c>
      <c r="BA47" s="5">
        <f t="shared" si="21"/>
        <v>-15110.392751667627</v>
      </c>
      <c r="BB47" s="5">
        <f t="shared" si="21"/>
        <v>-15159.514956301286</v>
      </c>
      <c r="BC47" s="5">
        <f t="shared" si="21"/>
        <v>-15208.778185809309</v>
      </c>
      <c r="BD47" s="5">
        <f t="shared" si="21"/>
        <v>-15258.182845059824</v>
      </c>
      <c r="BE47" s="5">
        <f t="shared" si="21"/>
        <v>-15307.729340083293</v>
      </c>
      <c r="BF47" s="5">
        <f t="shared" si="21"/>
        <v>-15357.418078075865</v>
      </c>
      <c r="BG47" s="5">
        <f t="shared" si="21"/>
        <v>-15407.249467402691</v>
      </c>
      <c r="BH47" s="5">
        <f t="shared" si="21"/>
        <v>-15457.223917601306</v>
      </c>
      <c r="BI47" s="5">
        <f t="shared" si="21"/>
        <v>-15507.341839384981</v>
      </c>
      <c r="BJ47" s="5">
        <f t="shared" si="21"/>
        <v>-15557.603644646108</v>
      </c>
      <c r="BK47" s="5">
        <f t="shared" si="21"/>
        <v>-15608.009746459578</v>
      </c>
      <c r="BL47" s="5">
        <f t="shared" si="21"/>
        <v>-15658.560559086181</v>
      </c>
      <c r="BM47" s="5">
        <f t="shared" si="21"/>
        <v>-15709.256497975995</v>
      </c>
      <c r="BN47" s="5">
        <f t="shared" si="21"/>
        <v>-15760.097979771836</v>
      </c>
      <c r="BO47" s="5">
        <f t="shared" si="21"/>
        <v>-15811.085422312635</v>
      </c>
      <c r="BP47" s="5">
        <f t="shared" si="21"/>
        <v>-15862.219244636921</v>
      </c>
      <c r="BQ47" s="5">
        <f t="shared" si="21"/>
        <v>-15913.499866986218</v>
      </c>
      <c r="BR47" s="5">
        <f t="shared" si="21"/>
        <v>-15964.927710808526</v>
      </c>
      <c r="BS47" s="5">
        <f t="shared" si="21"/>
        <v>-16016.503198761791</v>
      </c>
      <c r="BT47" s="5">
        <f t="shared" si="21"/>
        <v>-16068.226754717358</v>
      </c>
      <c r="BU47" s="5">
        <f t="shared" si="21"/>
        <v>-16120.09880376346</v>
      </c>
      <c r="BV47" s="5">
        <f t="shared" si="21"/>
        <v>-16172.119772208731</v>
      </c>
    </row>
    <row r="48" spans="1:74" x14ac:dyDescent="0.25">
      <c r="A48" s="23" t="s">
        <v>28</v>
      </c>
      <c r="B48" s="4"/>
      <c r="C48" s="16"/>
      <c r="D48" s="2">
        <v>-3058.9036839936002</v>
      </c>
      <c r="E48" s="2"/>
      <c r="F48" s="2">
        <v>-3058.9036839936002</v>
      </c>
      <c r="G48" s="10"/>
      <c r="H48" s="2">
        <v>-3058.9036839936002</v>
      </c>
      <c r="I48" s="10">
        <v>-496.03</v>
      </c>
      <c r="J48" s="2">
        <v>-3067.6854866617559</v>
      </c>
      <c r="K48" s="10">
        <v>-1382.21</v>
      </c>
      <c r="L48" s="2">
        <v>-3076.4925009959429</v>
      </c>
      <c r="M48" s="10"/>
      <c r="N48" s="2">
        <v>-3085.3247993763016</v>
      </c>
      <c r="O48" s="10">
        <v>-1975.37</v>
      </c>
      <c r="P48" s="2">
        <v>-3094.1824543907665</v>
      </c>
      <c r="Q48" s="10">
        <v>-2142.41</v>
      </c>
      <c r="R48" s="2">
        <v>-3103.0655388356668</v>
      </c>
      <c r="S48" s="10">
        <v>-1407.76</v>
      </c>
      <c r="T48" s="2">
        <v>-3111.9741257163209</v>
      </c>
      <c r="U48" s="10"/>
      <c r="V48" s="2">
        <v>-3120.9082882476396</v>
      </c>
      <c r="W48" s="10"/>
      <c r="X48" s="2">
        <v>-3129.8680998547252</v>
      </c>
      <c r="Y48" s="10"/>
      <c r="Z48" s="2">
        <v>-3138.8536341734775</v>
      </c>
      <c r="AA48" s="2">
        <v>-3147.8649650511952</v>
      </c>
      <c r="AB48" s="2">
        <v>-3156.9021665471864</v>
      </c>
      <c r="AC48" s="2">
        <v>-3165.9653129333774</v>
      </c>
      <c r="AD48" s="2">
        <v>-3175.054478694919</v>
      </c>
      <c r="AE48" s="2">
        <v>-3184.1697385308025</v>
      </c>
      <c r="AF48" s="2">
        <v>-3193.3111673544731</v>
      </c>
      <c r="AG48" s="2">
        <v>-3202.4788402944446</v>
      </c>
      <c r="AH48" s="2">
        <v>-3211.6728326949165</v>
      </c>
      <c r="AI48" s="2">
        <v>-3220.8932201163934</v>
      </c>
      <c r="AJ48" s="2">
        <v>-3230.1400783363083</v>
      </c>
      <c r="AK48" s="2">
        <v>-3239.4134833496423</v>
      </c>
      <c r="AL48" s="2">
        <v>-3248.7135113695504</v>
      </c>
      <c r="AM48" s="2">
        <v>-3258.0402388279881</v>
      </c>
      <c r="AN48" s="2">
        <v>-3267.3937423763396</v>
      </c>
      <c r="AO48" s="2">
        <v>-3276.7740988860464</v>
      </c>
      <c r="AP48" s="2">
        <v>-3286.1813854492416</v>
      </c>
      <c r="AQ48" s="2">
        <v>-3295.6156793793812</v>
      </c>
      <c r="AR48" s="2">
        <v>-3305.0770582118798</v>
      </c>
      <c r="AS48" s="2">
        <v>-3314.5655997047502</v>
      </c>
      <c r="AT48" s="2">
        <v>-3324.0813818392385</v>
      </c>
      <c r="AU48" s="2">
        <v>-3333.6244828204667</v>
      </c>
      <c r="AV48" s="2">
        <v>-3343.1949810780793</v>
      </c>
      <c r="AW48" s="2">
        <v>-3352.7929552668793</v>
      </c>
      <c r="AX48" s="2">
        <v>-3362.418484267484</v>
      </c>
      <c r="AY48" s="2">
        <v>-3372.0716471869673</v>
      </c>
      <c r="AZ48" s="2">
        <v>-3381.7525233595115</v>
      </c>
      <c r="BA48" s="2">
        <v>-3391.4611923470588</v>
      </c>
      <c r="BB48" s="2">
        <v>-3401.1977339399659</v>
      </c>
      <c r="BC48" s="2">
        <v>-3410.9622281576608</v>
      </c>
      <c r="BD48" s="2">
        <v>-3420.754755249297</v>
      </c>
      <c r="BE48" s="2">
        <v>-3430.5753956944177</v>
      </c>
      <c r="BF48" s="2">
        <v>-3440.4242302036128</v>
      </c>
      <c r="BG48" s="2">
        <v>-3450.3013397191839</v>
      </c>
      <c r="BH48" s="2">
        <v>-3460.2068054158126</v>
      </c>
      <c r="BI48" s="2">
        <v>-3470.1407087012212</v>
      </c>
      <c r="BJ48" s="2">
        <v>-3480.103131216847</v>
      </c>
      <c r="BK48" s="2">
        <v>-3490.0941548385122</v>
      </c>
      <c r="BL48" s="2">
        <v>-3500.1138616770959</v>
      </c>
      <c r="BM48" s="2">
        <v>-3510.1623340792062</v>
      </c>
      <c r="BN48" s="2">
        <v>-3520.2396546278655</v>
      </c>
      <c r="BO48" s="2">
        <v>-3530.3459061431795</v>
      </c>
      <c r="BP48" s="2">
        <v>-3540.4811716830236</v>
      </c>
      <c r="BQ48" s="2">
        <v>-3550.6455345437234</v>
      </c>
      <c r="BR48" s="2">
        <v>-3560.8390782607403</v>
      </c>
      <c r="BS48" s="2">
        <v>-3571.0618866093573</v>
      </c>
      <c r="BT48" s="2">
        <v>-3581.3140436053673</v>
      </c>
      <c r="BU48" s="2">
        <v>-3591.5956335057654</v>
      </c>
      <c r="BV48" s="2">
        <v>-3601.9067408094384</v>
      </c>
    </row>
    <row r="49" spans="1:76" x14ac:dyDescent="0.25">
      <c r="A49" s="23" t="s">
        <v>6</v>
      </c>
      <c r="B49" s="4"/>
      <c r="C49" s="2"/>
      <c r="D49" s="2">
        <v>-6496.9546777600008</v>
      </c>
      <c r="E49" s="2"/>
      <c r="F49" s="2">
        <v>-6496.9546777600008</v>
      </c>
      <c r="G49" s="10"/>
      <c r="H49" s="2">
        <v>-6496.9546777600008</v>
      </c>
      <c r="I49" s="10"/>
      <c r="J49" s="2">
        <v>-6521.3485740604337</v>
      </c>
      <c r="K49" s="10"/>
      <c r="L49" s="2">
        <v>-6545.8125027665083</v>
      </c>
      <c r="M49" s="10">
        <f>-(136.34+123.69)</f>
        <v>-260.02999999999997</v>
      </c>
      <c r="N49" s="2">
        <v>-6570.3466649341717</v>
      </c>
      <c r="O49" s="10"/>
      <c r="P49" s="2">
        <v>-6594.9512621965732</v>
      </c>
      <c r="Q49" s="10"/>
      <c r="R49" s="2">
        <v>-6619.6264967657407</v>
      </c>
      <c r="S49" s="10">
        <v>-1938.54</v>
      </c>
      <c r="T49" s="2">
        <v>-6644.3725714342254</v>
      </c>
      <c r="U49" s="10">
        <v>-2835.46</v>
      </c>
      <c r="V49" s="2">
        <v>-6669.1896895767768</v>
      </c>
      <c r="W49" s="10">
        <v>-1616.98</v>
      </c>
      <c r="X49" s="2">
        <v>-6694.0780551520147</v>
      </c>
      <c r="Y49" s="10">
        <v>-880.84</v>
      </c>
      <c r="Z49" s="2">
        <v>-6719.0378727041043</v>
      </c>
      <c r="AA49" s="2">
        <v>-6744.0693473644315</v>
      </c>
      <c r="AB49" s="2">
        <v>-6769.1726848532962</v>
      </c>
      <c r="AC49" s="2">
        <v>-6794.3480914816046</v>
      </c>
      <c r="AD49" s="2">
        <v>-6819.5957741525526</v>
      </c>
      <c r="AE49" s="2">
        <v>-6844.9159403633403</v>
      </c>
      <c r="AF49" s="2">
        <v>-6870.3087982068701</v>
      </c>
      <c r="AG49" s="2">
        <v>-6895.774556373457</v>
      </c>
      <c r="AH49" s="2">
        <v>-6921.3134241525458</v>
      </c>
      <c r="AI49" s="2">
        <v>-6946.9256114344262</v>
      </c>
      <c r="AJ49" s="2">
        <v>-6972.6113287119679</v>
      </c>
      <c r="AK49" s="2">
        <v>-6998.37078708234</v>
      </c>
      <c r="AL49" s="2">
        <v>-7024.2041982487517</v>
      </c>
      <c r="AM49" s="2">
        <v>-7050.1117745221891</v>
      </c>
      <c r="AN49" s="2">
        <v>-7076.0937288231653</v>
      </c>
      <c r="AO49" s="2">
        <v>-7102.1502746834631</v>
      </c>
      <c r="AP49" s="2">
        <v>-7128.2816262478937</v>
      </c>
      <c r="AQ49" s="2">
        <v>-7154.4879982760594</v>
      </c>
      <c r="AR49" s="2">
        <v>-7180.7696061441111</v>
      </c>
      <c r="AS49" s="2">
        <v>-7207.1266658465283</v>
      </c>
      <c r="AT49" s="2">
        <v>-7233.5593939978844</v>
      </c>
      <c r="AU49" s="2">
        <v>-7260.0680078346304</v>
      </c>
      <c r="AV49" s="2">
        <v>-7286.6527252168871</v>
      </c>
      <c r="AW49" s="2">
        <v>-7313.3137646302202</v>
      </c>
      <c r="AX49" s="2">
        <v>-7340.0513451874558</v>
      </c>
      <c r="AY49" s="2">
        <v>-7366.8656866304646</v>
      </c>
      <c r="AZ49" s="2">
        <v>-7393.7570093319773</v>
      </c>
      <c r="BA49" s="2">
        <v>-7420.7255342973858</v>
      </c>
      <c r="BB49" s="2">
        <v>-7447.7714831665726</v>
      </c>
      <c r="BC49" s="2">
        <v>-7474.8950782157244</v>
      </c>
      <c r="BD49" s="2">
        <v>-7502.0965423591588</v>
      </c>
      <c r="BE49" s="2">
        <v>-7529.3760991511608</v>
      </c>
      <c r="BF49" s="2">
        <v>-7556.7339727878134</v>
      </c>
      <c r="BG49" s="2">
        <v>-7584.1703881088451</v>
      </c>
      <c r="BH49" s="2">
        <v>-7611.6855705994803</v>
      </c>
      <c r="BI49" s="2">
        <v>-7639.2797463922816</v>
      </c>
      <c r="BJ49" s="2">
        <v>-7666.9531422690197</v>
      </c>
      <c r="BK49" s="2">
        <v>-7694.7059856625347</v>
      </c>
      <c r="BL49" s="2">
        <v>-7722.5385046585998</v>
      </c>
      <c r="BM49" s="2">
        <v>-7750.4509279977956</v>
      </c>
      <c r="BN49" s="2">
        <v>-7778.4434850774051</v>
      </c>
      <c r="BO49" s="2">
        <v>-7806.5164059532763</v>
      </c>
      <c r="BP49" s="2">
        <v>-7834.6699213417323</v>
      </c>
      <c r="BQ49" s="2">
        <v>-7862.9042626214541</v>
      </c>
      <c r="BR49" s="2">
        <v>-7891.2196618353901</v>
      </c>
      <c r="BS49" s="2">
        <v>-7919.616351692659</v>
      </c>
      <c r="BT49" s="2">
        <v>-7948.0945655704654</v>
      </c>
      <c r="BU49" s="2">
        <v>-7976.6545375160149</v>
      </c>
      <c r="BV49" s="2">
        <v>-8005.2965022484404</v>
      </c>
    </row>
    <row r="50" spans="1:76" x14ac:dyDescent="0.25">
      <c r="A50" s="23" t="s">
        <v>26</v>
      </c>
      <c r="B50" s="4"/>
      <c r="C50" s="2"/>
      <c r="D50" s="2">
        <v>-690.37756756800002</v>
      </c>
      <c r="E50" s="2"/>
      <c r="F50" s="2">
        <v>-690.37756756800002</v>
      </c>
      <c r="G50" s="10">
        <v>-37.22</v>
      </c>
      <c r="H50" s="2">
        <v>-690.37756756800002</v>
      </c>
      <c r="I50" s="10">
        <v>-74.73</v>
      </c>
      <c r="J50" s="2">
        <v>-692.35957164241017</v>
      </c>
      <c r="K50" s="10"/>
      <c r="L50" s="2">
        <v>-694.34726584977886</v>
      </c>
      <c r="M50" s="10">
        <v>-629.34</v>
      </c>
      <c r="N50" s="2">
        <v>-696.34066652590138</v>
      </c>
      <c r="O50" s="10"/>
      <c r="P50" s="2">
        <v>-698.33979005347157</v>
      </c>
      <c r="Q50" s="10"/>
      <c r="R50" s="2">
        <v>-700.34465286221644</v>
      </c>
      <c r="S50" s="10"/>
      <c r="T50" s="2">
        <v>-702.35527142903072</v>
      </c>
      <c r="U50" s="10">
        <v>-614.35</v>
      </c>
      <c r="V50" s="2">
        <v>-704.37166227811304</v>
      </c>
      <c r="W50" s="10">
        <v>-350.35</v>
      </c>
      <c r="X50" s="2">
        <v>-706.3938419811011</v>
      </c>
      <c r="Y50" s="10"/>
      <c r="Z50" s="2">
        <v>-708.42182715720833</v>
      </c>
      <c r="AA50" s="2">
        <v>-710.45563447335996</v>
      </c>
      <c r="AB50" s="2">
        <v>-712.49528064433025</v>
      </c>
      <c r="AC50" s="2">
        <v>-714.54078243288029</v>
      </c>
      <c r="AD50" s="2">
        <v>-716.59215664989483</v>
      </c>
      <c r="AE50" s="2">
        <v>-718.64942015452141</v>
      </c>
      <c r="AF50" s="2">
        <v>-720.71258985430813</v>
      </c>
      <c r="AG50" s="2">
        <v>-722.78168270534331</v>
      </c>
      <c r="AH50" s="2">
        <v>-724.85671571239425</v>
      </c>
      <c r="AI50" s="2">
        <v>-726.93770592904707</v>
      </c>
      <c r="AJ50" s="2">
        <v>-729.02467045784726</v>
      </c>
      <c r="AK50" s="2">
        <v>-731.11762645043996</v>
      </c>
      <c r="AL50" s="2">
        <v>-733.216591107711</v>
      </c>
      <c r="AM50" s="2">
        <v>-735.32158167992782</v>
      </c>
      <c r="AN50" s="2">
        <v>-737.43261546688223</v>
      </c>
      <c r="AO50" s="2">
        <v>-739.54970981803137</v>
      </c>
      <c r="AP50" s="2">
        <v>-741.67288213264135</v>
      </c>
      <c r="AQ50" s="2">
        <v>-743.80214985992973</v>
      </c>
      <c r="AR50" s="2">
        <v>-745.93753049920906</v>
      </c>
      <c r="AS50" s="2">
        <v>-748.07904160003045</v>
      </c>
      <c r="AT50" s="2">
        <v>-750.22670076232805</v>
      </c>
      <c r="AU50" s="2">
        <v>-752.38052563656368</v>
      </c>
      <c r="AV50" s="2">
        <v>-754.54053392387198</v>
      </c>
      <c r="AW50" s="2">
        <v>-756.7067433762054</v>
      </c>
      <c r="AX50" s="2">
        <v>-758.8791717964807</v>
      </c>
      <c r="AY50" s="2">
        <v>-761.05783703872521</v>
      </c>
      <c r="AZ50" s="2">
        <v>-763.24275700822307</v>
      </c>
      <c r="BA50" s="2">
        <v>-765.4339496616625</v>
      </c>
      <c r="BB50" s="2">
        <v>-767.63143300728393</v>
      </c>
      <c r="BC50" s="2">
        <v>-769.83522510502746</v>
      </c>
      <c r="BD50" s="2">
        <v>-772.04534406668165</v>
      </c>
      <c r="BE50" s="2">
        <v>-774.26180805603167</v>
      </c>
      <c r="BF50" s="2">
        <v>-776.4846352890097</v>
      </c>
      <c r="BG50" s="2">
        <v>-778.71384403384366</v>
      </c>
      <c r="BH50" s="2">
        <v>-780.94945261120768</v>
      </c>
      <c r="BI50" s="2">
        <v>-783.19147939437278</v>
      </c>
      <c r="BJ50" s="2">
        <v>-785.43994280935783</v>
      </c>
      <c r="BK50" s="2">
        <v>-787.69486133508087</v>
      </c>
      <c r="BL50" s="2">
        <v>-789.95625350351111</v>
      </c>
      <c r="BM50" s="2">
        <v>-792.2241378998209</v>
      </c>
      <c r="BN50" s="2">
        <v>-794.49853316253905</v>
      </c>
      <c r="BO50" s="2">
        <v>-796.77945798370365</v>
      </c>
      <c r="BP50" s="2">
        <v>-799.06693110901563</v>
      </c>
      <c r="BQ50" s="2">
        <v>-801.36097133799308</v>
      </c>
      <c r="BR50" s="2">
        <v>-803.66159752412534</v>
      </c>
      <c r="BS50" s="2">
        <v>-805.96882857502851</v>
      </c>
      <c r="BT50" s="2">
        <v>-808.28268345260028</v>
      </c>
      <c r="BU50" s="2">
        <v>-810.60318117317604</v>
      </c>
      <c r="BV50" s="2">
        <v>-812.93034080768575</v>
      </c>
    </row>
    <row r="51" spans="1:76" x14ac:dyDescent="0.25">
      <c r="A51" s="23" t="s">
        <v>27</v>
      </c>
      <c r="B51" s="4"/>
      <c r="C51" s="2"/>
      <c r="D51" s="2">
        <v>-3186.3580041599998</v>
      </c>
      <c r="E51" s="2"/>
      <c r="F51" s="2">
        <v>-3186.3580041599998</v>
      </c>
      <c r="G51" s="10">
        <v>-172</v>
      </c>
      <c r="H51" s="2">
        <v>-3186.3580041599998</v>
      </c>
      <c r="I51" s="10">
        <v>-344.92</v>
      </c>
      <c r="J51" s="2">
        <v>-3195.5057152726622</v>
      </c>
      <c r="K51" s="10">
        <v>-832.15</v>
      </c>
      <c r="L51" s="2">
        <v>-3204.6796885374406</v>
      </c>
      <c r="M51" s="10">
        <v>-570.89</v>
      </c>
      <c r="N51" s="2">
        <v>-3213.8799993503139</v>
      </c>
      <c r="O51" s="10"/>
      <c r="P51" s="2">
        <v>-3223.106723323715</v>
      </c>
      <c r="Q51" s="10"/>
      <c r="R51" s="2">
        <v>-3232.3599362871523</v>
      </c>
      <c r="S51" s="10">
        <v>-1136.57</v>
      </c>
      <c r="T51" s="2">
        <v>-3241.6397142878341</v>
      </c>
      <c r="U51" s="10">
        <v>-2722.04</v>
      </c>
      <c r="V51" s="2">
        <v>-3250.9461335912911</v>
      </c>
      <c r="W51" s="10"/>
      <c r="X51" s="2">
        <v>-3260.2792706820051</v>
      </c>
      <c r="Y51" s="10"/>
      <c r="Z51" s="2">
        <v>-3269.6392022640384</v>
      </c>
      <c r="AA51" s="2">
        <v>-3279.0260052616613</v>
      </c>
      <c r="AB51" s="2">
        <v>-3288.4397568199856</v>
      </c>
      <c r="AC51" s="2">
        <v>-3297.8805343056015</v>
      </c>
      <c r="AD51" s="2">
        <v>-3307.3484153072072</v>
      </c>
      <c r="AE51" s="2">
        <v>-3316.8434776362528</v>
      </c>
      <c r="AF51" s="2">
        <v>-3326.365799327576</v>
      </c>
      <c r="AG51" s="2">
        <v>-3335.9154586400459</v>
      </c>
      <c r="AH51" s="2">
        <v>-3345.4925340572045</v>
      </c>
      <c r="AI51" s="2">
        <v>-3355.0971042879096</v>
      </c>
      <c r="AJ51" s="2">
        <v>-3364.7292482669877</v>
      </c>
      <c r="AK51" s="2">
        <v>-3374.3890451558768</v>
      </c>
      <c r="AL51" s="2">
        <v>-3384.0765743432812</v>
      </c>
      <c r="AM51" s="2">
        <v>-3393.7919154458209</v>
      </c>
      <c r="AN51" s="2">
        <v>-3403.535148308687</v>
      </c>
      <c r="AO51" s="2">
        <v>-3413.3063530062987</v>
      </c>
      <c r="AP51" s="2">
        <v>-3423.1056098429603</v>
      </c>
      <c r="AQ51" s="2">
        <v>-3432.9329993535216</v>
      </c>
      <c r="AR51" s="2">
        <v>-3442.7886023040419</v>
      </c>
      <c r="AS51" s="2">
        <v>-3452.6724996924481</v>
      </c>
      <c r="AT51" s="2">
        <v>-3462.5847727492064</v>
      </c>
      <c r="AU51" s="2">
        <v>-3472.5255029379864</v>
      </c>
      <c r="AV51" s="2">
        <v>-3482.494771956332</v>
      </c>
      <c r="AW51" s="2">
        <v>-3492.4926617363326</v>
      </c>
      <c r="AX51" s="2">
        <v>-3502.5192544452957</v>
      </c>
      <c r="AY51" s="2">
        <v>-3512.574632486424</v>
      </c>
      <c r="AZ51" s="2">
        <v>-3522.658878499491</v>
      </c>
      <c r="BA51" s="2">
        <v>-3532.7720753615195</v>
      </c>
      <c r="BB51" s="2">
        <v>-3542.9143061874643</v>
      </c>
      <c r="BC51" s="2">
        <v>-3553.0856543308964</v>
      </c>
      <c r="BD51" s="2">
        <v>-3563.2862033846845</v>
      </c>
      <c r="BE51" s="2">
        <v>-3573.5160371816846</v>
      </c>
      <c r="BF51" s="2">
        <v>-3583.7752397954296</v>
      </c>
      <c r="BG51" s="2">
        <v>-3594.0638955408172</v>
      </c>
      <c r="BH51" s="2">
        <v>-3604.3820889748049</v>
      </c>
      <c r="BI51" s="2">
        <v>-3614.7299048971054</v>
      </c>
      <c r="BJ51" s="2">
        <v>-3625.1074283508824</v>
      </c>
      <c r="BK51" s="2">
        <v>-3635.51474462345</v>
      </c>
      <c r="BL51" s="2">
        <v>-3645.9519392469742</v>
      </c>
      <c r="BM51" s="2">
        <v>-3656.4190979991736</v>
      </c>
      <c r="BN51" s="2">
        <v>-3666.9163069040264</v>
      </c>
      <c r="BO51" s="2">
        <v>-3677.4436522324781</v>
      </c>
      <c r="BP51" s="2">
        <v>-3688.0012205031494</v>
      </c>
      <c r="BQ51" s="2">
        <v>-3698.5890984830453</v>
      </c>
      <c r="BR51" s="2">
        <v>-3709.2073731882706</v>
      </c>
      <c r="BS51" s="2">
        <v>-3719.8561318847469</v>
      </c>
      <c r="BT51" s="2">
        <v>-3730.5354620889243</v>
      </c>
      <c r="BU51" s="2">
        <v>-3741.2454515685049</v>
      </c>
      <c r="BV51" s="2">
        <v>-3751.9861883431649</v>
      </c>
      <c r="BW51" s="2"/>
      <c r="BX51" s="2"/>
    </row>
    <row r="52" spans="1:76" x14ac:dyDescent="0.25">
      <c r="C52" s="2"/>
      <c r="D52" s="2"/>
      <c r="E52" s="2"/>
      <c r="F52" s="2"/>
      <c r="G52" s="10"/>
      <c r="H52" s="2"/>
      <c r="I52" s="10"/>
      <c r="J52" s="2"/>
      <c r="K52" s="10"/>
      <c r="L52" s="2"/>
      <c r="M52" s="10"/>
      <c r="N52" s="2"/>
      <c r="O52" s="1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1:76" x14ac:dyDescent="0.25">
      <c r="C53" s="2"/>
      <c r="D53" s="2"/>
      <c r="E53" s="2"/>
      <c r="F53" s="2"/>
      <c r="G53" s="10"/>
      <c r="H53" s="2"/>
      <c r="I53" s="10"/>
      <c r="J53" s="2"/>
      <c r="K53" s="10"/>
      <c r="L53" s="2"/>
      <c r="M53" s="10"/>
      <c r="N53" s="2"/>
      <c r="O53" s="1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5" spans="1:76" x14ac:dyDescent="0.25">
      <c r="A55" s="26" t="s">
        <v>41</v>
      </c>
      <c r="C55">
        <v>295</v>
      </c>
      <c r="D55" s="18">
        <v>877</v>
      </c>
      <c r="E55">
        <v>272</v>
      </c>
      <c r="F55">
        <v>880</v>
      </c>
      <c r="G55">
        <v>390</v>
      </c>
      <c r="H55">
        <v>880</v>
      </c>
      <c r="I55">
        <v>0</v>
      </c>
      <c r="J55">
        <v>882</v>
      </c>
      <c r="K55" s="11">
        <v>580</v>
      </c>
      <c r="L55">
        <v>885</v>
      </c>
      <c r="M55">
        <v>492</v>
      </c>
      <c r="N55">
        <v>818</v>
      </c>
      <c r="O55" s="11">
        <v>633</v>
      </c>
      <c r="Q55">
        <v>520</v>
      </c>
      <c r="S55" s="11">
        <v>523</v>
      </c>
      <c r="U55">
        <v>468</v>
      </c>
      <c r="W55" s="11">
        <v>299</v>
      </c>
      <c r="Y55">
        <v>750</v>
      </c>
    </row>
    <row r="56" spans="1:76" x14ac:dyDescent="0.25">
      <c r="A56" s="21"/>
    </row>
  </sheetData>
  <sortState xmlns:xlrd2="http://schemas.microsoft.com/office/spreadsheetml/2017/richdata2" ref="A19:BX33">
    <sortCondition ref="A19:A33"/>
  </sortState>
  <conditionalFormatting sqref="X1:Y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Marchiori</dc:creator>
  <cp:lastModifiedBy>luigino iori</cp:lastModifiedBy>
  <dcterms:created xsi:type="dcterms:W3CDTF">2024-09-19T18:49:57Z</dcterms:created>
  <dcterms:modified xsi:type="dcterms:W3CDTF">2025-09-22T16:29:12Z</dcterms:modified>
</cp:coreProperties>
</file>