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LL\Documents\ACTIVIDADES ENTREGADAS\"/>
    </mc:Choice>
  </mc:AlternateContent>
  <xr:revisionPtr revIDLastSave="0" documentId="8_{1DD87EFF-E47A-46F9-A8AE-410AAC786F1B}" xr6:coauthVersionLast="47" xr6:coauthVersionMax="47" xr10:uidLastSave="{00000000-0000-0000-0000-000000000000}"/>
  <bookViews>
    <workbookView xWindow="1428" yWindow="1428" windowWidth="17280" windowHeight="8880" tabRatio="854" xr2:uid="{05933A53-525E-4327-8371-03B2A403F920}"/>
  </bookViews>
  <sheets>
    <sheet name="PROGRAMADOR" sheetId="1" r:id="rId1"/>
    <sheet name="FLUJO DE EFECTIVO" sheetId="10" r:id="rId2"/>
  </sheets>
  <definedNames>
    <definedName name="_xlnm.Print_Area" localSheetId="0">PROGRAMADOR!$B$50:$E$73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1" i="1" l="1"/>
  <c r="C286" i="1" s="1"/>
  <c r="B18" i="10"/>
  <c r="E20" i="10"/>
  <c r="F20" i="10" s="1"/>
  <c r="G20" i="10" s="1"/>
  <c r="H20" i="10" s="1"/>
  <c r="I20" i="10" s="1"/>
  <c r="J20" i="10" s="1"/>
  <c r="K20" i="10" s="1"/>
  <c r="L20" i="10" s="1"/>
  <c r="M20" i="10" s="1"/>
  <c r="B22" i="10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M22" i="10" s="1"/>
  <c r="E19" i="1"/>
  <c r="C19" i="10"/>
  <c r="D19" i="10" s="1"/>
  <c r="E19" i="10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M18" i="10" s="1"/>
  <c r="B16" i="10"/>
  <c r="C16" i="10" s="1"/>
  <c r="D16" i="10" s="1"/>
  <c r="E16" i="10" s="1"/>
  <c r="F16" i="10" s="1"/>
  <c r="G16" i="10" s="1"/>
  <c r="H16" i="10" s="1"/>
  <c r="I16" i="10" s="1"/>
  <c r="J16" i="10" s="1"/>
  <c r="K16" i="10" s="1"/>
  <c r="L16" i="10" s="1"/>
  <c r="M16" i="10" s="1"/>
  <c r="C34" i="10"/>
  <c r="D34" i="10"/>
  <c r="E34" i="10"/>
  <c r="F34" i="10"/>
  <c r="G34" i="10"/>
  <c r="H34" i="10"/>
  <c r="I34" i="10"/>
  <c r="J34" i="10"/>
  <c r="K34" i="10"/>
  <c r="L34" i="10"/>
  <c r="M34" i="10"/>
  <c r="B34" i="10"/>
  <c r="C29" i="10"/>
  <c r="D29" i="10"/>
  <c r="E29" i="10"/>
  <c r="F29" i="10"/>
  <c r="G29" i="10"/>
  <c r="H29" i="10"/>
  <c r="I29" i="10"/>
  <c r="J29" i="10"/>
  <c r="K29" i="10"/>
  <c r="L29" i="10"/>
  <c r="M29" i="10"/>
  <c r="B29" i="10"/>
  <c r="D283" i="1"/>
  <c r="D284" i="1" s="1"/>
  <c r="D286" i="1" s="1"/>
  <c r="C265" i="1"/>
  <c r="E252" i="1"/>
  <c r="C233" i="1"/>
  <c r="C235" i="1" s="1"/>
  <c r="E219" i="1"/>
  <c r="E218" i="1"/>
  <c r="E217" i="1"/>
  <c r="E216" i="1"/>
  <c r="D214" i="1"/>
  <c r="D212" i="1"/>
  <c r="D211" i="1"/>
  <c r="D213" i="1" s="1"/>
  <c r="C208" i="1"/>
  <c r="C207" i="1"/>
  <c r="E194" i="1"/>
  <c r="E193" i="1"/>
  <c r="E192" i="1"/>
  <c r="E191" i="1"/>
  <c r="D189" i="1"/>
  <c r="D187" i="1"/>
  <c r="D186" i="1"/>
  <c r="D188" i="1" s="1"/>
  <c r="C183" i="1"/>
  <c r="C182" i="1"/>
  <c r="E169" i="1"/>
  <c r="E168" i="1"/>
  <c r="E167" i="1"/>
  <c r="E166" i="1"/>
  <c r="D164" i="1"/>
  <c r="D162" i="1"/>
  <c r="D161" i="1"/>
  <c r="D163" i="1" s="1"/>
  <c r="C158" i="1"/>
  <c r="C157" i="1"/>
  <c r="E144" i="1"/>
  <c r="E143" i="1"/>
  <c r="E142" i="1"/>
  <c r="E141" i="1"/>
  <c r="D139" i="1"/>
  <c r="D137" i="1"/>
  <c r="D136" i="1"/>
  <c r="D138" i="1" s="1"/>
  <c r="C133" i="1"/>
  <c r="C132" i="1"/>
  <c r="E120" i="1"/>
  <c r="E119" i="1"/>
  <c r="E118" i="1"/>
  <c r="E117" i="1"/>
  <c r="D115" i="1"/>
  <c r="D113" i="1"/>
  <c r="D112" i="1"/>
  <c r="D114" i="1" s="1"/>
  <c r="C109" i="1"/>
  <c r="C108" i="1"/>
  <c r="E95" i="1"/>
  <c r="E94" i="1"/>
  <c r="E93" i="1"/>
  <c r="E92" i="1"/>
  <c r="D90" i="1"/>
  <c r="D88" i="1"/>
  <c r="D87" i="1"/>
  <c r="C84" i="1"/>
  <c r="C83" i="1"/>
  <c r="E66" i="1"/>
  <c r="E65" i="1"/>
  <c r="E68" i="1"/>
  <c r="E67" i="1"/>
  <c r="D61" i="1"/>
  <c r="D60" i="1"/>
  <c r="D62" i="1" s="1"/>
  <c r="D63" i="1"/>
  <c r="C57" i="1"/>
  <c r="C56" i="1"/>
  <c r="F19" i="10" l="1"/>
  <c r="G19" i="10" s="1"/>
  <c r="C58" i="1"/>
  <c r="C69" i="1" s="1"/>
  <c r="E145" i="1"/>
  <c r="C159" i="1"/>
  <c r="C170" i="1" s="1"/>
  <c r="C184" i="1"/>
  <c r="C195" i="1" s="1"/>
  <c r="C85" i="1"/>
  <c r="C96" i="1" s="1"/>
  <c r="E96" i="1"/>
  <c r="E69" i="1"/>
  <c r="C110" i="1"/>
  <c r="C121" i="1" s="1"/>
  <c r="E195" i="1"/>
  <c r="C209" i="1"/>
  <c r="C220" i="1" s="1"/>
  <c r="E170" i="1"/>
  <c r="D69" i="1"/>
  <c r="D89" i="1"/>
  <c r="D96" i="1" s="1"/>
  <c r="E121" i="1"/>
  <c r="C134" i="1"/>
  <c r="C145" i="1" s="1"/>
  <c r="E220" i="1"/>
  <c r="D220" i="1"/>
  <c r="D195" i="1"/>
  <c r="D170" i="1"/>
  <c r="D145" i="1"/>
  <c r="D121" i="1"/>
  <c r="H19" i="10" l="1"/>
  <c r="C71" i="1"/>
  <c r="C172" i="1"/>
  <c r="C197" i="1"/>
  <c r="C98" i="1"/>
  <c r="C123" i="1"/>
  <c r="C222" i="1"/>
  <c r="C147" i="1"/>
  <c r="C14" i="1" l="1"/>
  <c r="I19" i="10"/>
  <c r="C19" i="1" l="1"/>
  <c r="C20" i="1" s="1"/>
  <c r="C24" i="1" s="1"/>
  <c r="C26" i="1" s="1"/>
  <c r="C28" i="1" s="1"/>
  <c r="B9" i="10" s="1"/>
  <c r="C9" i="10" s="1"/>
  <c r="B15" i="10"/>
  <c r="J19" i="10"/>
  <c r="D9" i="10" l="1"/>
  <c r="C12" i="10"/>
  <c r="C15" i="10"/>
  <c r="B24" i="10"/>
  <c r="K19" i="10"/>
  <c r="D15" i="10" l="1"/>
  <c r="E15" i="10" s="1"/>
  <c r="F15" i="10" s="1"/>
  <c r="G15" i="10" s="1"/>
  <c r="H15" i="10" s="1"/>
  <c r="I15" i="10" s="1"/>
  <c r="J15" i="10" s="1"/>
  <c r="K15" i="10" s="1"/>
  <c r="L15" i="10" s="1"/>
  <c r="M15" i="10" s="1"/>
  <c r="C24" i="10"/>
  <c r="E9" i="10"/>
  <c r="D12" i="10"/>
  <c r="L19" i="10"/>
  <c r="F9" i="10" l="1"/>
  <c r="E12" i="10"/>
  <c r="D24" i="10"/>
  <c r="M19" i="10"/>
  <c r="E24" i="10" l="1"/>
  <c r="G9" i="10"/>
  <c r="F12" i="10"/>
  <c r="B12" i="10"/>
  <c r="B36" i="10" s="1"/>
  <c r="H9" i="10" l="1"/>
  <c r="G12" i="10"/>
  <c r="F24" i="10"/>
  <c r="C6" i="10"/>
  <c r="C36" i="10" s="1"/>
  <c r="D6" i="10" s="1"/>
  <c r="D36" i="10" s="1"/>
  <c r="E6" i="10" s="1"/>
  <c r="E36" i="10" s="1"/>
  <c r="F6" i="10" s="1"/>
  <c r="F36" i="10" l="1"/>
  <c r="G6" i="10" s="1"/>
  <c r="G24" i="10"/>
  <c r="I9" i="10"/>
  <c r="H12" i="10"/>
  <c r="G36" i="10" l="1"/>
  <c r="H6" i="10" s="1"/>
  <c r="H24" i="10"/>
  <c r="J9" i="10"/>
  <c r="I12" i="10"/>
  <c r="H36" i="10" l="1"/>
  <c r="I6" i="10" s="1"/>
  <c r="I24" i="10"/>
  <c r="K9" i="10"/>
  <c r="J12" i="10"/>
  <c r="I36" i="10" l="1"/>
  <c r="J6" i="10" s="1"/>
  <c r="L9" i="10"/>
  <c r="K12" i="10"/>
  <c r="J24" i="10"/>
  <c r="J36" i="10" l="1"/>
  <c r="K6" i="10" s="1"/>
  <c r="K24" i="10"/>
  <c r="M9" i="10"/>
  <c r="M12" i="10" s="1"/>
  <c r="L12" i="10"/>
  <c r="K36" i="10" l="1"/>
  <c r="L6" i="10" s="1"/>
  <c r="M24" i="10"/>
  <c r="L24" i="10"/>
  <c r="L36" i="10" l="1"/>
  <c r="M6" i="10" s="1"/>
  <c r="M36" i="10"/>
</calcChain>
</file>

<file path=xl/sharedStrings.xml><?xml version="1.0" encoding="utf-8"?>
<sst xmlns="http://schemas.openxmlformats.org/spreadsheetml/2006/main" count="306" uniqueCount="144">
  <si>
    <t>Descripcion</t>
  </si>
  <si>
    <t>Salario</t>
  </si>
  <si>
    <t>Auxilio de Transporte</t>
  </si>
  <si>
    <t>Total a Pagar al empleado</t>
  </si>
  <si>
    <t>Nombres y apellidos del empleado</t>
  </si>
  <si>
    <t>C.C</t>
  </si>
  <si>
    <t>Cargo:Programador</t>
  </si>
  <si>
    <t>Valor</t>
  </si>
  <si>
    <t>Prestaciones sociales</t>
  </si>
  <si>
    <t>Seguridad social empleador</t>
  </si>
  <si>
    <t>NOMINA, PRESTACIONES SOCIALES Y SEGURIDAD SOCIAL</t>
  </si>
  <si>
    <t>PRESTACIONES SOCIALES</t>
  </si>
  <si>
    <t>Cesantias</t>
  </si>
  <si>
    <t>Prima de servicios</t>
  </si>
  <si>
    <t>Intereses a las cesantias</t>
  </si>
  <si>
    <t>Vacaciones</t>
  </si>
  <si>
    <t>NOMINA</t>
  </si>
  <si>
    <t>Arl</t>
  </si>
  <si>
    <t>Arl 0,522%</t>
  </si>
  <si>
    <t>Salud 4%</t>
  </si>
  <si>
    <t>Pension 4%</t>
  </si>
  <si>
    <t>SEGURIDAD SOCIAL EMPLEADOR</t>
  </si>
  <si>
    <t>Caja de Compensacion Fliar 4%</t>
  </si>
  <si>
    <t>TOTALES</t>
  </si>
  <si>
    <t>Cargo:Diseñador</t>
  </si>
  <si>
    <t>Cargo:Asesor Ventas</t>
  </si>
  <si>
    <t>Cargo:Fotografo</t>
  </si>
  <si>
    <t>Cargo:Auxiliar Fotografo</t>
  </si>
  <si>
    <t>Salud 12,5%</t>
  </si>
  <si>
    <t>Pension 16%</t>
  </si>
  <si>
    <t>PRESTACION DE SERVICIOS</t>
  </si>
  <si>
    <t xml:space="preserve"> C.C</t>
  </si>
  <si>
    <t>Cargo:Contador Publico</t>
  </si>
  <si>
    <t>GRAN TOTAL</t>
  </si>
  <si>
    <t xml:space="preserve">Nombres y apellidos: </t>
  </si>
  <si>
    <t xml:space="preserve">Total </t>
  </si>
  <si>
    <t>Cargo:Seguridad informatica</t>
  </si>
  <si>
    <t>Cargo:Gestor de proyectos</t>
  </si>
  <si>
    <t xml:space="preserve">GASTOS FIJOS </t>
  </si>
  <si>
    <t xml:space="preserve">Construya el presupuesto de venta, en el cual identifique precios de venta unitarios, la cantidad de unidades vendidas, </t>
  </si>
  <si>
    <t>los costos fijos y variables. Así mismo, defina el margen de contribución por producto</t>
  </si>
  <si>
    <t>y la venta total.</t>
  </si>
  <si>
    <t xml:space="preserve">1- </t>
  </si>
  <si>
    <t>2. Elabore el presupuesto de personal, plantee la cantidad de personal que lo apoyará en el emprendimiento,</t>
  </si>
  <si>
    <t>los salarios devengados de forma individual, el cálculo de las prestaciones sociales por cada colaborador,</t>
  </si>
  <si>
    <t>y una consolidación general.</t>
  </si>
  <si>
    <t>GASTOS FIJOS</t>
  </si>
  <si>
    <t xml:space="preserve">DESCRIPCION </t>
  </si>
  <si>
    <t>DEPRECIACION activos fijos</t>
  </si>
  <si>
    <t>GASTOS FIJOS Y VARIABLE</t>
  </si>
  <si>
    <t>GASTOS VARIABLES</t>
  </si>
  <si>
    <t>Gastos de administración</t>
  </si>
  <si>
    <t>Gastos de venta</t>
  </si>
  <si>
    <t>Gastos financieros</t>
  </si>
  <si>
    <t>TOTAL</t>
  </si>
  <si>
    <t>Gastos de fabricación / mano de obra</t>
  </si>
  <si>
    <t xml:space="preserve">COSTO TOTAL </t>
  </si>
  <si>
    <t xml:space="preserve">COSTO UNITARIO </t>
  </si>
  <si>
    <t>COSTO TOTAL</t>
  </si>
  <si>
    <t xml:space="preserve">NUMERO TOTAL DE UNIDADES PRODUCIDAS </t>
  </si>
  <si>
    <t>COSTO UNITARIO</t>
  </si>
  <si>
    <t xml:space="preserve">margen de rentabilidad </t>
  </si>
  <si>
    <t>venta total</t>
  </si>
  <si>
    <t xml:space="preserve">En vista de la complejidad y responsabilidad que se requiere en el momento del desarrollo de un producto digital </t>
  </si>
  <si>
    <t>se debe contar con el apoyo de un equipo profesional para el producto final sea confiable y garantizado, se contara con:</t>
  </si>
  <si>
    <t>1. Un profesional en desarrollo y programación</t>
  </si>
  <si>
    <t>2. Diseñador de interfaz</t>
  </si>
  <si>
    <t>3. Experto en seguridad informática</t>
  </si>
  <si>
    <t>4. Gestor de proyectos</t>
  </si>
  <si>
    <t xml:space="preserve">5. fotógrafoun </t>
  </si>
  <si>
    <t xml:space="preserve"> 6. Asesor de ventas, </t>
  </si>
  <si>
    <t>7. Auxiliar o supernumerario</t>
  </si>
  <si>
    <r>
      <t xml:space="preserve">8. Contador publico clave para el control financiero de la empresa. </t>
    </r>
    <r>
      <rPr>
        <sz val="12"/>
        <color theme="1"/>
        <rFont val="Aptos"/>
        <family val="2"/>
      </rPr>
      <t xml:space="preserve"> </t>
    </r>
  </si>
  <si>
    <t>3. Estime los activos fijos necesarios para la puesta en marcha del emprendimiento.</t>
  </si>
  <si>
    <t xml:space="preserve">DESCRIPCION  </t>
  </si>
  <si>
    <t>CANTIDAD</t>
  </si>
  <si>
    <t>VALOR UNITARIO</t>
  </si>
  <si>
    <t>COMPUTADORES</t>
  </si>
  <si>
    <t>IMPRESORAS</t>
  </si>
  <si>
    <t>ESCRITORIOS</t>
  </si>
  <si>
    <t>TELEVISOR</t>
  </si>
  <si>
    <t>TELEFONO FIJO</t>
  </si>
  <si>
    <t>SILLAS</t>
  </si>
  <si>
    <t>LICENCIAS</t>
  </si>
  <si>
    <t xml:space="preserve">SERVIDORES </t>
  </si>
  <si>
    <t xml:space="preserve">GASTOS DE CONSTITUCION </t>
  </si>
  <si>
    <t>ARTICULOS DE OFICINA</t>
  </si>
  <si>
    <t>4. Defina el capital inicial que usted como emprendedor requiere para el inicio de actividades, si este capital</t>
  </si>
  <si>
    <t>se obtiene por capital propio o de inversionistas externos, fuentes de financiamiento, subsidios, entre otros.</t>
  </si>
  <si>
    <t>5. Con la información recolectada en los puntos anteriores proceda a elaborar los diferentes estados</t>
  </si>
  <si>
    <t>financieros como lo son: el flujo de caja y el balance inicial del emprendimiento.</t>
  </si>
  <si>
    <t>Equipo de computo</t>
  </si>
  <si>
    <t>Efectivo</t>
  </si>
  <si>
    <t>Muebles y Enseres</t>
  </si>
  <si>
    <t>Capital</t>
  </si>
  <si>
    <t>BALANCE INICIAL</t>
  </si>
  <si>
    <t>Capital Inicial</t>
  </si>
  <si>
    <t>NOMBRE DE LA EMPRESA</t>
  </si>
  <si>
    <t xml:space="preserve">NIT </t>
  </si>
  <si>
    <t>Debito</t>
  </si>
  <si>
    <t>Credito</t>
  </si>
  <si>
    <t>FLUJO DE EFECTIVO</t>
  </si>
  <si>
    <t>NIT</t>
  </si>
  <si>
    <t>Saldo Inicial</t>
  </si>
  <si>
    <t>Ingresos</t>
  </si>
  <si>
    <t>Ingreso 1</t>
  </si>
  <si>
    <t>Ingreso 2</t>
  </si>
  <si>
    <t>Ingreso 3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</si>
  <si>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</si>
  <si>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</si>
  <si>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</si>
  <si>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</si>
  <si>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</si>
  <si>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</si>
  <si>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</si>
  <si>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</si>
  <si>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</si>
  <si>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</si>
  <si>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</si>
  <si>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</si>
  <si>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Total Ingresos</t>
  </si>
  <si>
    <t>Gastos</t>
  </si>
  <si>
    <t>Pago proveedores</t>
  </si>
  <si>
    <t>Pago Servicios Publicos</t>
  </si>
  <si>
    <t>Pago Impuestos</t>
  </si>
  <si>
    <t>Pago publicidad</t>
  </si>
  <si>
    <t>Alquiler</t>
  </si>
  <si>
    <t>Mantenimiento</t>
  </si>
  <si>
    <t>Total Gastos</t>
  </si>
  <si>
    <t>Pagos de Financiamiento</t>
  </si>
  <si>
    <t>Pagos prestamo 1</t>
  </si>
  <si>
    <t>Pagos prestamo 2</t>
  </si>
  <si>
    <t>Financiamiento recibido</t>
  </si>
  <si>
    <t>Prestamo 1</t>
  </si>
  <si>
    <t>Total financiamiento</t>
  </si>
  <si>
    <t>Prestamo 2</t>
  </si>
  <si>
    <t>Flujo de Caja Financiero</t>
  </si>
  <si>
    <t>Pago nomina y Seg.Social</t>
  </si>
  <si>
    <t>Depreciacion</t>
  </si>
  <si>
    <t>Pagos financieros</t>
  </si>
  <si>
    <t xml:space="preserve">Total Activos </t>
  </si>
  <si>
    <t>Pasivo+Patrimonio</t>
  </si>
  <si>
    <t>PATRIMONIO</t>
  </si>
  <si>
    <t>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</si>
</sst>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[$$-240A]\ * #,##0_-;\-[$$-240A]\ * #,##0_-;_-[$$-240A]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8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1" xfId="0" applyFont="1" applyBorder="1"/>
    <xf numFmtId="164" fontId="8" fillId="0" borderId="0" xfId="1" applyNumberFormat="1" applyFont="1"/>
    <xf numFmtId="164" fontId="7" fillId="0" borderId="0" xfId="1" applyNumberFormat="1" applyFont="1"/>
    <xf numFmtId="164" fontId="7" fillId="0" borderId="1" xfId="1" applyNumberFormat="1" applyFont="1" applyBorder="1"/>
    <xf numFmtId="0" fontId="8" fillId="0" borderId="0" xfId="0" applyFont="1"/>
    <xf numFmtId="164" fontId="8" fillId="2" borderId="0" xfId="1" applyNumberFormat="1" applyFont="1" applyFill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64" fontId="9" fillId="0" borderId="3" xfId="1" applyNumberFormat="1" applyFont="1" applyFill="1" applyBorder="1"/>
    <xf numFmtId="164" fontId="9" fillId="0" borderId="4" xfId="1" applyNumberFormat="1" applyFont="1" applyFill="1" applyBorder="1"/>
    <xf numFmtId="164" fontId="9" fillId="0" borderId="23" xfId="1" applyNumberFormat="1" applyFont="1" applyFill="1" applyBorder="1"/>
    <xf numFmtId="164" fontId="9" fillId="0" borderId="7" xfId="1" applyNumberFormat="1" applyFont="1" applyFill="1" applyBorder="1"/>
    <xf numFmtId="164" fontId="9" fillId="0" borderId="0" xfId="1" applyNumberFormat="1" applyFont="1"/>
    <xf numFmtId="0" fontId="9" fillId="0" borderId="3" xfId="0" applyFont="1" applyBorder="1"/>
    <xf numFmtId="164" fontId="9" fillId="0" borderId="2" xfId="1" applyNumberFormat="1" applyFont="1" applyFill="1" applyBorder="1"/>
    <xf numFmtId="164" fontId="10" fillId="0" borderId="1" xfId="1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164" fontId="9" fillId="0" borderId="1" xfId="1" applyNumberFormat="1" applyFont="1" applyBorder="1"/>
    <xf numFmtId="164" fontId="9" fillId="0" borderId="0" xfId="0" applyNumberFormat="1" applyFont="1"/>
    <xf numFmtId="164" fontId="10" fillId="0" borderId="1" xfId="1" applyNumberFormat="1" applyFont="1" applyBorder="1"/>
    <xf numFmtId="164" fontId="9" fillId="0" borderId="0" xfId="1" applyNumberFormat="1" applyFont="1" applyBorder="1"/>
    <xf numFmtId="0" fontId="9" fillId="0" borderId="3" xfId="0" applyFont="1" applyBorder="1" applyAlignment="1">
      <alignment horizontal="left"/>
    </xf>
    <xf numFmtId="0" fontId="9" fillId="0" borderId="7" xfId="0" applyFont="1" applyBorder="1"/>
    <xf numFmtId="0" fontId="9" fillId="0" borderId="4" xfId="0" applyFont="1" applyBorder="1"/>
    <xf numFmtId="0" fontId="10" fillId="0" borderId="8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2" xfId="0" applyFont="1" applyBorder="1"/>
    <xf numFmtId="164" fontId="9" fillId="0" borderId="13" xfId="1" applyNumberFormat="1" applyFont="1" applyBorder="1"/>
    <xf numFmtId="0" fontId="9" fillId="0" borderId="14" xfId="0" applyFont="1" applyBorder="1"/>
    <xf numFmtId="164" fontId="9" fillId="0" borderId="15" xfId="1" applyNumberFormat="1" applyFont="1" applyBorder="1"/>
    <xf numFmtId="164" fontId="9" fillId="0" borderId="16" xfId="1" applyNumberFormat="1" applyFont="1" applyBorder="1"/>
    <xf numFmtId="0" fontId="10" fillId="0" borderId="20" xfId="0" applyFont="1" applyBorder="1"/>
    <xf numFmtId="164" fontId="9" fillId="0" borderId="6" xfId="1" applyNumberFormat="1" applyFont="1" applyBorder="1"/>
    <xf numFmtId="164" fontId="9" fillId="0" borderId="27" xfId="1" applyNumberFormat="1" applyFont="1" applyBorder="1"/>
    <xf numFmtId="0" fontId="9" fillId="0" borderId="1" xfId="0" applyFont="1" applyBorder="1"/>
    <xf numFmtId="0" fontId="9" fillId="0" borderId="15" xfId="0" applyFont="1" applyBorder="1"/>
    <xf numFmtId="0" fontId="10" fillId="0" borderId="17" xfId="0" applyFont="1" applyBorder="1"/>
    <xf numFmtId="0" fontId="9" fillId="0" borderId="18" xfId="0" applyFont="1" applyBorder="1"/>
    <xf numFmtId="164" fontId="9" fillId="0" borderId="18" xfId="1" applyNumberFormat="1" applyFont="1" applyBorder="1"/>
    <xf numFmtId="164" fontId="9" fillId="0" borderId="19" xfId="1" applyNumberFormat="1" applyFont="1" applyBorder="1"/>
    <xf numFmtId="0" fontId="9" fillId="0" borderId="20" xfId="0" applyFont="1" applyBorder="1"/>
    <xf numFmtId="0" fontId="9" fillId="0" borderId="21" xfId="0" applyFont="1" applyBorder="1"/>
    <xf numFmtId="164" fontId="9" fillId="0" borderId="5" xfId="1" applyNumberFormat="1" applyFont="1" applyBorder="1"/>
    <xf numFmtId="164" fontId="9" fillId="0" borderId="22" xfId="1" applyNumberFormat="1" applyFont="1" applyBorder="1"/>
    <xf numFmtId="0" fontId="10" fillId="0" borderId="14" xfId="0" applyFont="1" applyBorder="1"/>
    <xf numFmtId="164" fontId="10" fillId="0" borderId="15" xfId="0" applyNumberFormat="1" applyFont="1" applyBorder="1"/>
    <xf numFmtId="164" fontId="10" fillId="0" borderId="16" xfId="0" applyNumberFormat="1" applyFont="1" applyBorder="1"/>
    <xf numFmtId="0" fontId="10" fillId="0" borderId="25" xfId="0" applyFont="1" applyBorder="1"/>
    <xf numFmtId="164" fontId="10" fillId="2" borderId="26" xfId="0" applyNumberFormat="1" applyFont="1" applyFill="1" applyBorder="1"/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/>
    <xf numFmtId="164" fontId="9" fillId="0" borderId="10" xfId="1" applyNumberFormat="1" applyFont="1" applyBorder="1"/>
    <xf numFmtId="164" fontId="9" fillId="0" borderId="11" xfId="1" applyNumberFormat="1" applyFont="1" applyBorder="1"/>
    <xf numFmtId="0" fontId="9" fillId="0" borderId="4" xfId="0" applyFont="1" applyBorder="1" applyAlignment="1">
      <alignment wrapText="1"/>
    </xf>
    <xf numFmtId="164" fontId="10" fillId="3" borderId="26" xfId="0" applyNumberFormat="1" applyFont="1" applyFill="1" applyBorder="1"/>
    <xf numFmtId="0" fontId="10" fillId="0" borderId="1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28" xfId="0" applyFont="1" applyBorder="1" applyAlignment="1">
      <alignment horizontal="left"/>
    </xf>
    <xf numFmtId="0" fontId="10" fillId="0" borderId="29" xfId="0" applyFont="1" applyBorder="1" applyAlignment="1">
      <alignment horizontal="center"/>
    </xf>
    <xf numFmtId="164" fontId="9" fillId="0" borderId="30" xfId="1" applyNumberFormat="1" applyFont="1" applyBorder="1"/>
    <xf numFmtId="0" fontId="9" fillId="0" borderId="28" xfId="0" applyFont="1" applyBorder="1"/>
    <xf numFmtId="164" fontId="9" fillId="5" borderId="29" xfId="1" applyNumberFormat="1" applyFont="1" applyFill="1" applyBorder="1"/>
    <xf numFmtId="0" fontId="10" fillId="0" borderId="1" xfId="0" applyFont="1" applyBorder="1"/>
    <xf numFmtId="165" fontId="9" fillId="0" borderId="1" xfId="1" applyNumberFormat="1" applyFont="1" applyBorder="1"/>
    <xf numFmtId="165" fontId="10" fillId="0" borderId="1" xfId="1" applyNumberFormat="1" applyFont="1" applyBorder="1"/>
    <xf numFmtId="0" fontId="3" fillId="4" borderId="3" xfId="0" applyFont="1" applyFill="1" applyBorder="1" applyAlignment="1">
      <alignment vertical="center"/>
    </xf>
    <xf numFmtId="0" fontId="10" fillId="4" borderId="32" xfId="0" applyFont="1" applyFill="1" applyBorder="1"/>
    <xf numFmtId="0" fontId="10" fillId="4" borderId="7" xfId="0" applyFont="1" applyFill="1" applyBorder="1"/>
    <xf numFmtId="0" fontId="10" fillId="4" borderId="31" xfId="0" applyFont="1" applyFill="1" applyBorder="1"/>
    <xf numFmtId="0" fontId="9" fillId="0" borderId="34" xfId="0" applyFont="1" applyBorder="1"/>
    <xf numFmtId="0" fontId="9" fillId="0" borderId="35" xfId="0" applyFont="1" applyBorder="1"/>
    <xf numFmtId="165" fontId="9" fillId="0" borderId="0" xfId="1" applyNumberFormat="1" applyFont="1" applyBorder="1"/>
    <xf numFmtId="165" fontId="10" fillId="0" borderId="0" xfId="1" applyNumberFormat="1" applyFont="1" applyBorder="1"/>
    <xf numFmtId="0" fontId="9" fillId="0" borderId="3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164" fontId="9" fillId="0" borderId="3" xfId="1" applyNumberFormat="1" applyFont="1" applyFill="1" applyBorder="1" applyAlignment="1">
      <alignment horizontal="center"/>
    </xf>
    <xf numFmtId="164" fontId="9" fillId="0" borderId="4" xfId="1" applyNumberFormat="1" applyFont="1" applyFill="1" applyBorder="1" applyAlignment="1">
      <alignment horizontal="center"/>
    </xf>
    <xf numFmtId="164" fontId="10" fillId="0" borderId="3" xfId="1" applyNumberFormat="1" applyFont="1" applyBorder="1" applyAlignment="1">
      <alignment horizontal="center"/>
    </xf>
    <xf numFmtId="164" fontId="10" fillId="0" borderId="4" xfId="1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CE29-424D-476D-A94C-6CE9E61D4651}">
  <sheetPr>
    <tabColor rgb="FFFFFF00"/>
  </sheetPr>
  <dimension ref="A7:G286"/>
  <sheetViews>
    <sheetView showGridLines="0" tabSelected="1" zoomScale="80" zoomScaleNormal="80" workbookViewId="0">
      <selection activeCell="B3" sqref="B3"/>
    </sheetView>
  </sheetViews>
  <sheetFormatPr baseColWidth="10" defaultColWidth="11.44140625" defaultRowHeight="15" x14ac:dyDescent="0.25"/>
  <cols>
    <col min="1" max="1" width="11.44140625" style="18"/>
    <col min="2" max="2" width="40" style="18" customWidth="1"/>
    <col min="3" max="3" width="19.33203125" style="18" customWidth="1"/>
    <col min="4" max="4" width="22.33203125" style="18" customWidth="1"/>
    <col min="5" max="5" width="21.6640625" style="18" customWidth="1"/>
    <col min="6" max="6" width="10.44140625" style="18" customWidth="1"/>
    <col min="7" max="7" width="8.109375" style="18" customWidth="1"/>
    <col min="8" max="16384" width="11.44140625" style="18"/>
  </cols>
  <sheetData>
    <row r="7" spans="1:7" x14ac:dyDescent="0.25">
      <c r="A7" s="17" t="s">
        <v>42</v>
      </c>
      <c r="B7" s="18" t="s">
        <v>39</v>
      </c>
    </row>
    <row r="8" spans="1:7" ht="15.6" x14ac:dyDescent="0.25">
      <c r="B8" s="1" t="s">
        <v>40</v>
      </c>
    </row>
    <row r="9" spans="1:7" ht="15.6" x14ac:dyDescent="0.25">
      <c r="B9" s="1" t="s">
        <v>41</v>
      </c>
    </row>
    <row r="10" spans="1:7" ht="15.6" x14ac:dyDescent="0.25">
      <c r="B10" s="1"/>
    </row>
    <row r="11" spans="1:7" ht="15.6" x14ac:dyDescent="0.25">
      <c r="B11" s="1" t="s">
        <v>46</v>
      </c>
    </row>
    <row r="12" spans="1:7" ht="15.6" x14ac:dyDescent="0.3">
      <c r="C12" s="19" t="s">
        <v>49</v>
      </c>
      <c r="D12" s="19"/>
    </row>
    <row r="13" spans="1:7" s="19" customFormat="1" ht="15.6" x14ac:dyDescent="0.3">
      <c r="B13" s="87" t="s">
        <v>47</v>
      </c>
      <c r="C13" s="88" t="s">
        <v>38</v>
      </c>
      <c r="D13" s="89"/>
      <c r="E13" s="88" t="s">
        <v>50</v>
      </c>
      <c r="F13" s="90"/>
    </row>
    <row r="14" spans="1:7" ht="15.6" x14ac:dyDescent="0.25">
      <c r="B14" s="2" t="s">
        <v>55</v>
      </c>
      <c r="C14" s="98">
        <f>+C71+C98+C123+C172+C197+C222+C147+C235</f>
        <v>23205851</v>
      </c>
      <c r="D14" s="99"/>
      <c r="E14" s="20"/>
      <c r="F14" s="21"/>
    </row>
    <row r="15" spans="1:7" ht="15.6" x14ac:dyDescent="0.25">
      <c r="B15" s="4" t="s">
        <v>51</v>
      </c>
      <c r="C15" s="22"/>
      <c r="D15" s="23"/>
      <c r="E15" s="98">
        <v>2842214</v>
      </c>
      <c r="F15" s="99"/>
      <c r="G15" s="24"/>
    </row>
    <row r="16" spans="1:7" x14ac:dyDescent="0.25">
      <c r="B16" s="25" t="s">
        <v>52</v>
      </c>
      <c r="C16" s="22"/>
      <c r="D16" s="26"/>
      <c r="E16" s="98">
        <v>162000</v>
      </c>
      <c r="F16" s="99"/>
    </row>
    <row r="17" spans="2:7" x14ac:dyDescent="0.25">
      <c r="B17" s="25" t="s">
        <v>53</v>
      </c>
      <c r="C17" s="20"/>
      <c r="D17" s="23">
        <v>742000</v>
      </c>
      <c r="E17" s="20"/>
      <c r="F17" s="21"/>
    </row>
    <row r="18" spans="2:7" ht="15.6" x14ac:dyDescent="0.25">
      <c r="B18" s="4" t="s">
        <v>48</v>
      </c>
      <c r="C18" s="22"/>
      <c r="D18" s="26">
        <v>299000</v>
      </c>
      <c r="E18" s="20"/>
      <c r="F18" s="21"/>
    </row>
    <row r="19" spans="2:7" ht="15.6" x14ac:dyDescent="0.3">
      <c r="B19" s="5" t="s">
        <v>54</v>
      </c>
      <c r="C19" s="100">
        <f>+C14+D17+D18</f>
        <v>24246851</v>
      </c>
      <c r="D19" s="101"/>
      <c r="E19" s="100">
        <f>+E15+E16</f>
        <v>3004214</v>
      </c>
      <c r="F19" s="101"/>
    </row>
    <row r="20" spans="2:7" ht="15.6" x14ac:dyDescent="0.3">
      <c r="B20" s="5" t="s">
        <v>56</v>
      </c>
      <c r="C20" s="27">
        <f>+C19+E19</f>
        <v>27251065</v>
      </c>
      <c r="D20" s="28"/>
      <c r="E20" s="28"/>
      <c r="F20" s="28"/>
      <c r="G20" s="6"/>
    </row>
    <row r="21" spans="2:7" ht="15.6" x14ac:dyDescent="0.3">
      <c r="B21" s="6"/>
      <c r="C21" s="28"/>
      <c r="D21" s="28"/>
      <c r="E21" s="28"/>
      <c r="F21" s="28"/>
      <c r="G21" s="6"/>
    </row>
    <row r="22" spans="2:7" ht="15.6" x14ac:dyDescent="0.3">
      <c r="B22" s="6"/>
      <c r="C22" s="28"/>
      <c r="D22" s="28"/>
      <c r="E22" s="28"/>
      <c r="F22" s="28"/>
    </row>
    <row r="23" spans="2:7" ht="15.6" x14ac:dyDescent="0.3">
      <c r="B23" s="19" t="s">
        <v>57</v>
      </c>
      <c r="E23" s="28"/>
      <c r="F23" s="28"/>
    </row>
    <row r="24" spans="2:7" ht="15.6" x14ac:dyDescent="0.3">
      <c r="B24" s="2" t="s">
        <v>58</v>
      </c>
      <c r="C24" s="29">
        <f>+C20</f>
        <v>27251065</v>
      </c>
      <c r="D24" s="28"/>
      <c r="E24" s="28"/>
      <c r="F24" s="28"/>
    </row>
    <row r="25" spans="2:7" ht="15.6" x14ac:dyDescent="0.3">
      <c r="B25" s="2" t="s">
        <v>59</v>
      </c>
      <c r="C25" s="29">
        <v>6</v>
      </c>
      <c r="D25" s="28"/>
      <c r="E25" s="28"/>
      <c r="F25" s="28"/>
    </row>
    <row r="26" spans="2:7" ht="15.6" x14ac:dyDescent="0.3">
      <c r="B26" s="3" t="s">
        <v>60</v>
      </c>
      <c r="C26" s="27">
        <f>+C24/C25</f>
        <v>4541844.166666667</v>
      </c>
      <c r="D26" s="28"/>
      <c r="E26" s="28"/>
      <c r="F26" s="28"/>
    </row>
    <row r="27" spans="2:7" ht="15.6" x14ac:dyDescent="0.25">
      <c r="B27" s="2" t="s">
        <v>61</v>
      </c>
      <c r="C27" s="30">
        <v>1000000</v>
      </c>
      <c r="E27" s="31"/>
    </row>
    <row r="28" spans="2:7" ht="15.6" x14ac:dyDescent="0.3">
      <c r="B28" s="3" t="s">
        <v>62</v>
      </c>
      <c r="C28" s="32">
        <f>+C26+C27</f>
        <v>5541844.166666667</v>
      </c>
    </row>
    <row r="29" spans="2:7" ht="15.6" x14ac:dyDescent="0.25">
      <c r="B29" s="1"/>
      <c r="C29" s="33"/>
    </row>
    <row r="30" spans="2:7" ht="15.6" x14ac:dyDescent="0.25">
      <c r="B30" s="1"/>
      <c r="C30" s="33"/>
    </row>
    <row r="31" spans="2:7" ht="15.6" x14ac:dyDescent="0.25">
      <c r="B31" s="1"/>
    </row>
    <row r="32" spans="2:7" ht="15.6" x14ac:dyDescent="0.25">
      <c r="B32" s="1" t="s">
        <v>43</v>
      </c>
    </row>
    <row r="33" spans="2:2" ht="15.6" x14ac:dyDescent="0.25">
      <c r="B33" s="1" t="s">
        <v>44</v>
      </c>
    </row>
    <row r="34" spans="2:2" ht="15.6" x14ac:dyDescent="0.25">
      <c r="B34" s="1" t="s">
        <v>45</v>
      </c>
    </row>
    <row r="35" spans="2:2" ht="15.6" x14ac:dyDescent="0.25">
      <c r="B35" s="1"/>
    </row>
    <row r="36" spans="2:2" ht="15.6" x14ac:dyDescent="0.3">
      <c r="B36" s="7" t="s">
        <v>63</v>
      </c>
    </row>
    <row r="37" spans="2:2" ht="15.6" x14ac:dyDescent="0.3">
      <c r="B37" s="7" t="s">
        <v>64</v>
      </c>
    </row>
    <row r="38" spans="2:2" ht="15.6" x14ac:dyDescent="0.25">
      <c r="B38" s="1"/>
    </row>
    <row r="39" spans="2:2" ht="15.6" x14ac:dyDescent="0.3">
      <c r="B39" s="8" t="s">
        <v>65</v>
      </c>
    </row>
    <row r="40" spans="2:2" ht="15.6" x14ac:dyDescent="0.3">
      <c r="B40" s="8" t="s">
        <v>66</v>
      </c>
    </row>
    <row r="41" spans="2:2" ht="15.6" x14ac:dyDescent="0.3">
      <c r="B41" s="8" t="s">
        <v>67</v>
      </c>
    </row>
    <row r="42" spans="2:2" ht="15.6" x14ac:dyDescent="0.3">
      <c r="B42" s="8" t="s">
        <v>68</v>
      </c>
    </row>
    <row r="43" spans="2:2" ht="15.6" x14ac:dyDescent="0.3">
      <c r="B43" s="8" t="s">
        <v>69</v>
      </c>
    </row>
    <row r="44" spans="2:2" ht="15.6" x14ac:dyDescent="0.3">
      <c r="B44" s="8" t="s">
        <v>70</v>
      </c>
    </row>
    <row r="45" spans="2:2" ht="15.6" x14ac:dyDescent="0.3">
      <c r="B45" s="8" t="s">
        <v>71</v>
      </c>
    </row>
    <row r="46" spans="2:2" ht="15.6" x14ac:dyDescent="0.25">
      <c r="B46" s="6" t="s">
        <v>72</v>
      </c>
    </row>
    <row r="47" spans="2:2" ht="15.6" x14ac:dyDescent="0.3">
      <c r="B47" s="8"/>
    </row>
    <row r="48" spans="2:2" ht="15.6" x14ac:dyDescent="0.25">
      <c r="B48" s="1"/>
    </row>
    <row r="49" spans="2:5" ht="15.6" x14ac:dyDescent="0.25">
      <c r="B49" s="1"/>
    </row>
    <row r="50" spans="2:5" ht="15.6" x14ac:dyDescent="0.3">
      <c r="B50" s="97" t="s">
        <v>10</v>
      </c>
      <c r="C50" s="97"/>
      <c r="D50" s="97"/>
      <c r="E50" s="97"/>
    </row>
    <row r="51" spans="2:5" x14ac:dyDescent="0.25">
      <c r="B51" s="95" t="s">
        <v>4</v>
      </c>
      <c r="C51" s="96"/>
      <c r="D51" s="35" t="s">
        <v>5</v>
      </c>
      <c r="E51" s="36" t="s">
        <v>6</v>
      </c>
    </row>
    <row r="52" spans="2:5" s="39" customFormat="1" ht="30.75" customHeight="1" thickBot="1" x14ac:dyDescent="0.35">
      <c r="B52" s="37" t="s">
        <v>0</v>
      </c>
      <c r="C52" s="37" t="s">
        <v>7</v>
      </c>
      <c r="D52" s="38" t="s">
        <v>8</v>
      </c>
      <c r="E52" s="37" t="s">
        <v>9</v>
      </c>
    </row>
    <row r="53" spans="2:5" s="43" customFormat="1" ht="15.75" customHeight="1" x14ac:dyDescent="0.3">
      <c r="B53" s="40" t="s">
        <v>16</v>
      </c>
      <c r="C53" s="41"/>
      <c r="D53" s="41"/>
      <c r="E53" s="42"/>
    </row>
    <row r="54" spans="2:5" ht="15.75" customHeight="1" x14ac:dyDescent="0.25">
      <c r="B54" s="44" t="s">
        <v>1</v>
      </c>
      <c r="C54" s="30">
        <v>2500000</v>
      </c>
      <c r="D54" s="30"/>
      <c r="E54" s="45"/>
    </row>
    <row r="55" spans="2:5" ht="15.75" customHeight="1" x14ac:dyDescent="0.25">
      <c r="B55" s="44" t="s">
        <v>2</v>
      </c>
      <c r="C55" s="30">
        <v>162000</v>
      </c>
      <c r="D55" s="30"/>
      <c r="E55" s="45"/>
    </row>
    <row r="56" spans="2:5" x14ac:dyDescent="0.25">
      <c r="B56" s="44" t="s">
        <v>19</v>
      </c>
      <c r="C56" s="30">
        <f>+C54*4%</f>
        <v>100000</v>
      </c>
      <c r="D56" s="30"/>
      <c r="E56" s="45"/>
    </row>
    <row r="57" spans="2:5" x14ac:dyDescent="0.25">
      <c r="B57" s="44" t="s">
        <v>20</v>
      </c>
      <c r="C57" s="30">
        <f>+C54*4%</f>
        <v>100000</v>
      </c>
      <c r="D57" s="30"/>
      <c r="E57" s="45"/>
    </row>
    <row r="58" spans="2:5" ht="15.6" thickBot="1" x14ac:dyDescent="0.3">
      <c r="B58" s="46" t="s">
        <v>3</v>
      </c>
      <c r="C58" s="47">
        <f>+C54+C55-C56-C57</f>
        <v>2462000</v>
      </c>
      <c r="D58" s="47"/>
      <c r="E58" s="48"/>
    </row>
    <row r="59" spans="2:5" ht="15.6" x14ac:dyDescent="0.3">
      <c r="B59" s="49" t="s">
        <v>11</v>
      </c>
      <c r="C59" s="50"/>
      <c r="D59" s="50"/>
      <c r="E59" s="51"/>
    </row>
    <row r="60" spans="2:5" x14ac:dyDescent="0.25">
      <c r="B60" s="44" t="s">
        <v>12</v>
      </c>
      <c r="C60" s="52"/>
      <c r="D60" s="30">
        <f>+(((C54+C55)*30)/360)</f>
        <v>221833.33333333334</v>
      </c>
      <c r="E60" s="45"/>
    </row>
    <row r="61" spans="2:5" x14ac:dyDescent="0.25">
      <c r="B61" s="44" t="s">
        <v>13</v>
      </c>
      <c r="C61" s="52"/>
      <c r="D61" s="30">
        <f>+(((C54+C55)*30)/360)</f>
        <v>221833.33333333334</v>
      </c>
      <c r="E61" s="45"/>
    </row>
    <row r="62" spans="2:5" x14ac:dyDescent="0.25">
      <c r="B62" s="44" t="s">
        <v>14</v>
      </c>
      <c r="C62" s="52"/>
      <c r="D62" s="30">
        <f>+(((D60+C55)*30*0.12)/360)</f>
        <v>3838.3333333333339</v>
      </c>
      <c r="E62" s="45"/>
    </row>
    <row r="63" spans="2:5" ht="15.6" thickBot="1" x14ac:dyDescent="0.3">
      <c r="B63" s="46" t="s">
        <v>15</v>
      </c>
      <c r="C63" s="53"/>
      <c r="D63" s="47">
        <f>+((C54*30)/720)</f>
        <v>104166.66666666667</v>
      </c>
      <c r="E63" s="48"/>
    </row>
    <row r="64" spans="2:5" ht="15.6" x14ac:dyDescent="0.3">
      <c r="B64" s="54" t="s">
        <v>21</v>
      </c>
      <c r="C64" s="55"/>
      <c r="D64" s="56"/>
      <c r="E64" s="57"/>
    </row>
    <row r="65" spans="2:5" x14ac:dyDescent="0.25">
      <c r="B65" s="58" t="s">
        <v>28</v>
      </c>
      <c r="C65" s="50"/>
      <c r="D65" s="50"/>
      <c r="E65" s="45">
        <f>+C54*12.5%</f>
        <v>312500</v>
      </c>
    </row>
    <row r="66" spans="2:5" x14ac:dyDescent="0.25">
      <c r="B66" s="44" t="s">
        <v>29</v>
      </c>
      <c r="C66" s="30"/>
      <c r="D66" s="30"/>
      <c r="E66" s="45">
        <f>+C54*16%</f>
        <v>400000</v>
      </c>
    </row>
    <row r="67" spans="2:5" x14ac:dyDescent="0.25">
      <c r="B67" s="44" t="s">
        <v>18</v>
      </c>
      <c r="C67" s="30"/>
      <c r="D67" s="30"/>
      <c r="E67" s="45">
        <f>+C54*0.522%</f>
        <v>13050</v>
      </c>
    </row>
    <row r="68" spans="2:5" x14ac:dyDescent="0.25">
      <c r="B68" s="59" t="s">
        <v>22</v>
      </c>
      <c r="C68" s="60"/>
      <c r="D68" s="60"/>
      <c r="E68" s="61">
        <f>+C54*4%</f>
        <v>100000</v>
      </c>
    </row>
    <row r="69" spans="2:5" s="19" customFormat="1" ht="16.2" thickBot="1" x14ac:dyDescent="0.35">
      <c r="B69" s="62" t="s">
        <v>23</v>
      </c>
      <c r="C69" s="63">
        <f>+C58</f>
        <v>2462000</v>
      </c>
      <c r="D69" s="63">
        <f t="shared" ref="D69" si="0">SUM(D54:D68)</f>
        <v>551671.66666666663</v>
      </c>
      <c r="E69" s="64">
        <f>SUM(E54:E68)</f>
        <v>825550</v>
      </c>
    </row>
    <row r="70" spans="2:5" ht="15.6" thickBot="1" x14ac:dyDescent="0.3"/>
    <row r="71" spans="2:5" ht="16.2" thickBot="1" x14ac:dyDescent="0.35">
      <c r="B71" s="65" t="s">
        <v>33</v>
      </c>
      <c r="C71" s="66">
        <f>+C69+D69+E69</f>
        <v>3839221.6666666665</v>
      </c>
    </row>
    <row r="77" spans="2:5" ht="15.6" x14ac:dyDescent="0.3">
      <c r="B77" s="97" t="s">
        <v>10</v>
      </c>
      <c r="C77" s="97"/>
      <c r="D77" s="97"/>
      <c r="E77" s="97"/>
    </row>
    <row r="78" spans="2:5" x14ac:dyDescent="0.25">
      <c r="B78" s="95" t="s">
        <v>4</v>
      </c>
      <c r="C78" s="96"/>
      <c r="D78" s="35" t="s">
        <v>5</v>
      </c>
      <c r="E78" s="36" t="s">
        <v>24</v>
      </c>
    </row>
    <row r="79" spans="2:5" ht="31.8" thickBot="1" x14ac:dyDescent="0.3">
      <c r="B79" s="67" t="s">
        <v>0</v>
      </c>
      <c r="C79" s="67" t="s">
        <v>7</v>
      </c>
      <c r="D79" s="68" t="s">
        <v>8</v>
      </c>
      <c r="E79" s="67" t="s">
        <v>9</v>
      </c>
    </row>
    <row r="80" spans="2:5" ht="15.6" x14ac:dyDescent="0.3">
      <c r="B80" s="40" t="s">
        <v>16</v>
      </c>
      <c r="C80" s="41"/>
      <c r="D80" s="41"/>
      <c r="E80" s="42"/>
    </row>
    <row r="81" spans="2:5" x14ac:dyDescent="0.25">
      <c r="B81" s="44" t="s">
        <v>1</v>
      </c>
      <c r="C81" s="30">
        <v>2500000</v>
      </c>
      <c r="D81" s="30"/>
      <c r="E81" s="45"/>
    </row>
    <row r="82" spans="2:5" x14ac:dyDescent="0.25">
      <c r="B82" s="44" t="s">
        <v>2</v>
      </c>
      <c r="C82" s="30">
        <v>162000</v>
      </c>
      <c r="D82" s="30"/>
      <c r="E82" s="45"/>
    </row>
    <row r="83" spans="2:5" x14ac:dyDescent="0.25">
      <c r="B83" s="44" t="s">
        <v>19</v>
      </c>
      <c r="C83" s="30">
        <f>+C81*4%</f>
        <v>100000</v>
      </c>
      <c r="D83" s="30"/>
      <c r="E83" s="45"/>
    </row>
    <row r="84" spans="2:5" x14ac:dyDescent="0.25">
      <c r="B84" s="44" t="s">
        <v>20</v>
      </c>
      <c r="C84" s="30">
        <f>+C81*4%</f>
        <v>100000</v>
      </c>
      <c r="D84" s="30"/>
      <c r="E84" s="45"/>
    </row>
    <row r="85" spans="2:5" ht="15.6" thickBot="1" x14ac:dyDescent="0.3">
      <c r="B85" s="46" t="s">
        <v>3</v>
      </c>
      <c r="C85" s="47">
        <f>+C81+C82-C83-C84</f>
        <v>2462000</v>
      </c>
      <c r="D85" s="47"/>
      <c r="E85" s="48"/>
    </row>
    <row r="86" spans="2:5" ht="15.6" x14ac:dyDescent="0.3">
      <c r="B86" s="69" t="s">
        <v>11</v>
      </c>
      <c r="C86" s="70"/>
      <c r="D86" s="70"/>
      <c r="E86" s="71"/>
    </row>
    <row r="87" spans="2:5" x14ac:dyDescent="0.25">
      <c r="B87" s="44" t="s">
        <v>12</v>
      </c>
      <c r="C87" s="52"/>
      <c r="D87" s="30">
        <f>+(((C81+C82)*30)/360)</f>
        <v>221833.33333333334</v>
      </c>
      <c r="E87" s="45"/>
    </row>
    <row r="88" spans="2:5" x14ac:dyDescent="0.25">
      <c r="B88" s="44" t="s">
        <v>13</v>
      </c>
      <c r="C88" s="52"/>
      <c r="D88" s="30">
        <f>+(((C81+C82)*30)/360)</f>
        <v>221833.33333333334</v>
      </c>
      <c r="E88" s="45"/>
    </row>
    <row r="89" spans="2:5" x14ac:dyDescent="0.25">
      <c r="B89" s="44" t="s">
        <v>14</v>
      </c>
      <c r="C89" s="52"/>
      <c r="D89" s="30">
        <f>+(((D87+C82)*30*0.12)/360)</f>
        <v>3838.3333333333339</v>
      </c>
      <c r="E89" s="45"/>
    </row>
    <row r="90" spans="2:5" ht="15.6" thickBot="1" x14ac:dyDescent="0.3">
      <c r="B90" s="46" t="s">
        <v>15</v>
      </c>
      <c r="C90" s="53"/>
      <c r="D90" s="47">
        <f>+((C81*30)/720)</f>
        <v>104166.66666666667</v>
      </c>
      <c r="E90" s="48"/>
    </row>
    <row r="91" spans="2:5" ht="15.6" x14ac:dyDescent="0.3">
      <c r="B91" s="54" t="s">
        <v>21</v>
      </c>
      <c r="C91" s="55"/>
      <c r="D91" s="56"/>
      <c r="E91" s="57"/>
    </row>
    <row r="92" spans="2:5" x14ac:dyDescent="0.25">
      <c r="B92" s="58" t="s">
        <v>28</v>
      </c>
      <c r="C92" s="50"/>
      <c r="D92" s="50"/>
      <c r="E92" s="45">
        <f>+C81*12.5%</f>
        <v>312500</v>
      </c>
    </row>
    <row r="93" spans="2:5" x14ac:dyDescent="0.25">
      <c r="B93" s="44" t="s">
        <v>29</v>
      </c>
      <c r="C93" s="30"/>
      <c r="D93" s="30"/>
      <c r="E93" s="45">
        <f>+C81*16%</f>
        <v>400000</v>
      </c>
    </row>
    <row r="94" spans="2:5" x14ac:dyDescent="0.25">
      <c r="B94" s="44" t="s">
        <v>18</v>
      </c>
      <c r="C94" s="30"/>
      <c r="D94" s="30"/>
      <c r="E94" s="45">
        <f>+C81*0.522%</f>
        <v>13050</v>
      </c>
    </row>
    <row r="95" spans="2:5" x14ac:dyDescent="0.25">
      <c r="B95" s="59" t="s">
        <v>22</v>
      </c>
      <c r="C95" s="60"/>
      <c r="D95" s="60"/>
      <c r="E95" s="61">
        <f>+C81*4%</f>
        <v>100000</v>
      </c>
    </row>
    <row r="96" spans="2:5" ht="16.2" thickBot="1" x14ac:dyDescent="0.35">
      <c r="B96" s="62" t="s">
        <v>23</v>
      </c>
      <c r="C96" s="63">
        <f>+C85</f>
        <v>2462000</v>
      </c>
      <c r="D96" s="63">
        <f t="shared" ref="D96:E96" si="1">SUM(D81:D95)</f>
        <v>551671.66666666663</v>
      </c>
      <c r="E96" s="64">
        <f t="shared" si="1"/>
        <v>825550</v>
      </c>
    </row>
    <row r="97" spans="2:5" ht="15.6" thickBot="1" x14ac:dyDescent="0.3"/>
    <row r="98" spans="2:5" ht="16.2" thickBot="1" x14ac:dyDescent="0.35">
      <c r="B98" s="65" t="s">
        <v>33</v>
      </c>
      <c r="C98" s="66">
        <f>+C96+D96+E96</f>
        <v>3839221.6666666665</v>
      </c>
    </row>
    <row r="102" spans="2:5" ht="15.6" x14ac:dyDescent="0.3">
      <c r="B102" s="97" t="s">
        <v>10</v>
      </c>
      <c r="C102" s="97"/>
      <c r="D102" s="97"/>
      <c r="E102" s="97"/>
    </row>
    <row r="103" spans="2:5" ht="30" x14ac:dyDescent="0.25">
      <c r="B103" s="95" t="s">
        <v>4</v>
      </c>
      <c r="C103" s="96"/>
      <c r="D103" s="35" t="s">
        <v>5</v>
      </c>
      <c r="E103" s="72" t="s">
        <v>37</v>
      </c>
    </row>
    <row r="104" spans="2:5" ht="31.8" thickBot="1" x14ac:dyDescent="0.35">
      <c r="B104" s="37" t="s">
        <v>0</v>
      </c>
      <c r="C104" s="37" t="s">
        <v>7</v>
      </c>
      <c r="D104" s="38" t="s">
        <v>8</v>
      </c>
      <c r="E104" s="37" t="s">
        <v>9</v>
      </c>
    </row>
    <row r="105" spans="2:5" ht="15.6" x14ac:dyDescent="0.3">
      <c r="B105" s="40" t="s">
        <v>16</v>
      </c>
      <c r="C105" s="41"/>
      <c r="D105" s="41"/>
      <c r="E105" s="42"/>
    </row>
    <row r="106" spans="2:5" x14ac:dyDescent="0.25">
      <c r="B106" s="44" t="s">
        <v>1</v>
      </c>
      <c r="C106" s="30">
        <v>2500000</v>
      </c>
      <c r="D106" s="30"/>
      <c r="E106" s="45"/>
    </row>
    <row r="107" spans="2:5" x14ac:dyDescent="0.25">
      <c r="B107" s="44" t="s">
        <v>2</v>
      </c>
      <c r="C107" s="30">
        <v>162000</v>
      </c>
      <c r="D107" s="30"/>
      <c r="E107" s="45"/>
    </row>
    <row r="108" spans="2:5" x14ac:dyDescent="0.25">
      <c r="B108" s="44" t="s">
        <v>19</v>
      </c>
      <c r="C108" s="30">
        <f>+C106*4%</f>
        <v>100000</v>
      </c>
      <c r="D108" s="30"/>
      <c r="E108" s="45"/>
    </row>
    <row r="109" spans="2:5" x14ac:dyDescent="0.25">
      <c r="B109" s="44" t="s">
        <v>20</v>
      </c>
      <c r="C109" s="30">
        <f>+C106*4%</f>
        <v>100000</v>
      </c>
      <c r="D109" s="30"/>
      <c r="E109" s="45"/>
    </row>
    <row r="110" spans="2:5" ht="15.6" thickBot="1" x14ac:dyDescent="0.3">
      <c r="B110" s="46" t="s">
        <v>3</v>
      </c>
      <c r="C110" s="47">
        <f>+C106+C107-C108-C109</f>
        <v>2462000</v>
      </c>
      <c r="D110" s="47"/>
      <c r="E110" s="48"/>
    </row>
    <row r="111" spans="2:5" ht="15.6" x14ac:dyDescent="0.3">
      <c r="B111" s="69" t="s">
        <v>11</v>
      </c>
      <c r="C111" s="70"/>
      <c r="D111" s="70"/>
      <c r="E111" s="71"/>
    </row>
    <row r="112" spans="2:5" x14ac:dyDescent="0.25">
      <c r="B112" s="44" t="s">
        <v>12</v>
      </c>
      <c r="C112" s="52"/>
      <c r="D112" s="30">
        <f>+(((C106+C107)*30)/360)</f>
        <v>221833.33333333334</v>
      </c>
      <c r="E112" s="45"/>
    </row>
    <row r="113" spans="2:5" x14ac:dyDescent="0.25">
      <c r="B113" s="44" t="s">
        <v>13</v>
      </c>
      <c r="C113" s="52"/>
      <c r="D113" s="30">
        <f>+(((C106+C107)*30)/360)</f>
        <v>221833.33333333334</v>
      </c>
      <c r="E113" s="45"/>
    </row>
    <row r="114" spans="2:5" x14ac:dyDescent="0.25">
      <c r="B114" s="44" t="s">
        <v>14</v>
      </c>
      <c r="C114" s="52"/>
      <c r="D114" s="30">
        <f>+(((D112+C107)*30*0.12)/360)</f>
        <v>3838.3333333333339</v>
      </c>
      <c r="E114" s="45"/>
    </row>
    <row r="115" spans="2:5" ht="15.6" thickBot="1" x14ac:dyDescent="0.3">
      <c r="B115" s="46" t="s">
        <v>15</v>
      </c>
      <c r="C115" s="53"/>
      <c r="D115" s="47">
        <f>+((C106*30)/720)</f>
        <v>104166.66666666667</v>
      </c>
      <c r="E115" s="48"/>
    </row>
    <row r="116" spans="2:5" ht="15.6" x14ac:dyDescent="0.3">
      <c r="B116" s="54" t="s">
        <v>21</v>
      </c>
      <c r="C116" s="55"/>
      <c r="D116" s="56"/>
      <c r="E116" s="57"/>
    </row>
    <row r="117" spans="2:5" x14ac:dyDescent="0.25">
      <c r="B117" s="58" t="s">
        <v>28</v>
      </c>
      <c r="C117" s="50"/>
      <c r="D117" s="50"/>
      <c r="E117" s="45">
        <f>+C106*12.5%</f>
        <v>312500</v>
      </c>
    </row>
    <row r="118" spans="2:5" x14ac:dyDescent="0.25">
      <c r="B118" s="44" t="s">
        <v>29</v>
      </c>
      <c r="C118" s="30"/>
      <c r="D118" s="30"/>
      <c r="E118" s="45">
        <f>+C106*16%</f>
        <v>400000</v>
      </c>
    </row>
    <row r="119" spans="2:5" x14ac:dyDescent="0.25">
      <c r="B119" s="44" t="s">
        <v>18</v>
      </c>
      <c r="C119" s="30"/>
      <c r="D119" s="30"/>
      <c r="E119" s="45">
        <f>+C106*0.522%</f>
        <v>13050</v>
      </c>
    </row>
    <row r="120" spans="2:5" x14ac:dyDescent="0.25">
      <c r="B120" s="59" t="s">
        <v>22</v>
      </c>
      <c r="C120" s="60"/>
      <c r="D120" s="60"/>
      <c r="E120" s="61">
        <f>+C106*4%</f>
        <v>100000</v>
      </c>
    </row>
    <row r="121" spans="2:5" ht="16.2" thickBot="1" x14ac:dyDescent="0.35">
      <c r="B121" s="62" t="s">
        <v>23</v>
      </c>
      <c r="C121" s="63">
        <f>+C110</f>
        <v>2462000</v>
      </c>
      <c r="D121" s="63">
        <f t="shared" ref="D121:E121" si="2">SUM(D106:D120)</f>
        <v>551671.66666666663</v>
      </c>
      <c r="E121" s="64">
        <f t="shared" si="2"/>
        <v>825550</v>
      </c>
    </row>
    <row r="122" spans="2:5" ht="15.6" thickBot="1" x14ac:dyDescent="0.3"/>
    <row r="123" spans="2:5" ht="16.2" thickBot="1" x14ac:dyDescent="0.35">
      <c r="B123" s="65" t="s">
        <v>33</v>
      </c>
      <c r="C123" s="66">
        <f>+C121+D121+E121</f>
        <v>3839221.6666666665</v>
      </c>
    </row>
    <row r="126" spans="2:5" ht="15.6" x14ac:dyDescent="0.3">
      <c r="B126" s="97" t="s">
        <v>10</v>
      </c>
      <c r="C126" s="97"/>
      <c r="D126" s="97"/>
      <c r="E126" s="97"/>
    </row>
    <row r="127" spans="2:5" ht="30" x14ac:dyDescent="0.25">
      <c r="B127" s="95" t="s">
        <v>4</v>
      </c>
      <c r="C127" s="96"/>
      <c r="D127" s="35" t="s">
        <v>5</v>
      </c>
      <c r="E127" s="72" t="s">
        <v>36</v>
      </c>
    </row>
    <row r="128" spans="2:5" ht="31.8" thickBot="1" x14ac:dyDescent="0.35">
      <c r="B128" s="37" t="s">
        <v>0</v>
      </c>
      <c r="C128" s="37" t="s">
        <v>7</v>
      </c>
      <c r="D128" s="38" t="s">
        <v>8</v>
      </c>
      <c r="E128" s="37" t="s">
        <v>9</v>
      </c>
    </row>
    <row r="129" spans="2:5" ht="15.6" x14ac:dyDescent="0.3">
      <c r="B129" s="40" t="s">
        <v>16</v>
      </c>
      <c r="C129" s="41"/>
      <c r="D129" s="41"/>
      <c r="E129" s="42"/>
    </row>
    <row r="130" spans="2:5" x14ac:dyDescent="0.25">
      <c r="B130" s="44" t="s">
        <v>1</v>
      </c>
      <c r="C130" s="30">
        <v>2500000</v>
      </c>
      <c r="D130" s="30"/>
      <c r="E130" s="45"/>
    </row>
    <row r="131" spans="2:5" x14ac:dyDescent="0.25">
      <c r="B131" s="44" t="s">
        <v>2</v>
      </c>
      <c r="C131" s="30">
        <v>162000</v>
      </c>
      <c r="D131" s="30"/>
      <c r="E131" s="45"/>
    </row>
    <row r="132" spans="2:5" x14ac:dyDescent="0.25">
      <c r="B132" s="44" t="s">
        <v>19</v>
      </c>
      <c r="C132" s="30">
        <f>+C130*4%</f>
        <v>100000</v>
      </c>
      <c r="D132" s="30"/>
      <c r="E132" s="45"/>
    </row>
    <row r="133" spans="2:5" x14ac:dyDescent="0.25">
      <c r="B133" s="44" t="s">
        <v>20</v>
      </c>
      <c r="C133" s="30">
        <f>+C130*4%</f>
        <v>100000</v>
      </c>
      <c r="D133" s="30"/>
      <c r="E133" s="45"/>
    </row>
    <row r="134" spans="2:5" ht="15.6" thickBot="1" x14ac:dyDescent="0.3">
      <c r="B134" s="46" t="s">
        <v>3</v>
      </c>
      <c r="C134" s="47">
        <f>+C130+C131-C132-C133</f>
        <v>2462000</v>
      </c>
      <c r="D134" s="47"/>
      <c r="E134" s="48"/>
    </row>
    <row r="135" spans="2:5" ht="15.6" x14ac:dyDescent="0.3">
      <c r="B135" s="69" t="s">
        <v>11</v>
      </c>
      <c r="C135" s="70"/>
      <c r="D135" s="70"/>
      <c r="E135" s="71"/>
    </row>
    <row r="136" spans="2:5" x14ac:dyDescent="0.25">
      <c r="B136" s="44" t="s">
        <v>12</v>
      </c>
      <c r="C136" s="52"/>
      <c r="D136" s="30">
        <f>+(((C130+C131)*30)/360)</f>
        <v>221833.33333333334</v>
      </c>
      <c r="E136" s="45"/>
    </row>
    <row r="137" spans="2:5" x14ac:dyDescent="0.25">
      <c r="B137" s="44" t="s">
        <v>13</v>
      </c>
      <c r="C137" s="52"/>
      <c r="D137" s="30">
        <f>+(((C130+C131)*30)/360)</f>
        <v>221833.33333333334</v>
      </c>
      <c r="E137" s="45"/>
    </row>
    <row r="138" spans="2:5" x14ac:dyDescent="0.25">
      <c r="B138" s="44" t="s">
        <v>14</v>
      </c>
      <c r="C138" s="52"/>
      <c r="D138" s="30">
        <f>+(((D136+C131)*30*0.12)/360)</f>
        <v>3838.3333333333339</v>
      </c>
      <c r="E138" s="45"/>
    </row>
    <row r="139" spans="2:5" ht="15.6" thickBot="1" x14ac:dyDescent="0.3">
      <c r="B139" s="46" t="s">
        <v>15</v>
      </c>
      <c r="C139" s="53"/>
      <c r="D139" s="47">
        <f>+((C130*30)/720)</f>
        <v>104166.66666666667</v>
      </c>
      <c r="E139" s="48"/>
    </row>
    <row r="140" spans="2:5" ht="15.6" x14ac:dyDescent="0.3">
      <c r="B140" s="54" t="s">
        <v>21</v>
      </c>
      <c r="C140" s="55"/>
      <c r="D140" s="56"/>
      <c r="E140" s="57"/>
    </row>
    <row r="141" spans="2:5" x14ac:dyDescent="0.25">
      <c r="B141" s="58" t="s">
        <v>28</v>
      </c>
      <c r="C141" s="50"/>
      <c r="D141" s="50"/>
      <c r="E141" s="45">
        <f>+C130*12.5%</f>
        <v>312500</v>
      </c>
    </row>
    <row r="142" spans="2:5" x14ac:dyDescent="0.25">
      <c r="B142" s="44" t="s">
        <v>29</v>
      </c>
      <c r="C142" s="30"/>
      <c r="D142" s="30"/>
      <c r="E142" s="45">
        <f>+C130*16%</f>
        <v>400000</v>
      </c>
    </row>
    <row r="143" spans="2:5" x14ac:dyDescent="0.25">
      <c r="B143" s="44" t="s">
        <v>18</v>
      </c>
      <c r="C143" s="30"/>
      <c r="D143" s="30"/>
      <c r="E143" s="45">
        <f>+C130*0.522%</f>
        <v>13050</v>
      </c>
    </row>
    <row r="144" spans="2:5" x14ac:dyDescent="0.25">
      <c r="B144" s="59" t="s">
        <v>22</v>
      </c>
      <c r="C144" s="60"/>
      <c r="D144" s="60"/>
      <c r="E144" s="61">
        <f>+C130*4%</f>
        <v>100000</v>
      </c>
    </row>
    <row r="145" spans="2:5" ht="16.2" thickBot="1" x14ac:dyDescent="0.35">
      <c r="B145" s="62" t="s">
        <v>23</v>
      </c>
      <c r="C145" s="63">
        <f>+C134</f>
        <v>2462000</v>
      </c>
      <c r="D145" s="63">
        <f t="shared" ref="D145:E145" si="3">SUM(D130:D144)</f>
        <v>551671.66666666663</v>
      </c>
      <c r="E145" s="64">
        <f t="shared" si="3"/>
        <v>825550</v>
      </c>
    </row>
    <row r="146" spans="2:5" ht="15.6" thickBot="1" x14ac:dyDescent="0.3"/>
    <row r="147" spans="2:5" ht="16.2" thickBot="1" x14ac:dyDescent="0.35">
      <c r="B147" s="65" t="s">
        <v>33</v>
      </c>
      <c r="C147" s="66">
        <f>+C145+D145+E145</f>
        <v>3839221.6666666665</v>
      </c>
    </row>
    <row r="151" spans="2:5" ht="15.6" x14ac:dyDescent="0.3">
      <c r="B151" s="97" t="s">
        <v>10</v>
      </c>
      <c r="C151" s="97"/>
      <c r="D151" s="97"/>
      <c r="E151" s="97"/>
    </row>
    <row r="152" spans="2:5" x14ac:dyDescent="0.25">
      <c r="B152" s="95" t="s">
        <v>4</v>
      </c>
      <c r="C152" s="96"/>
      <c r="D152" s="35" t="s">
        <v>5</v>
      </c>
      <c r="E152" s="36" t="s">
        <v>26</v>
      </c>
    </row>
    <row r="153" spans="2:5" ht="31.8" thickBot="1" x14ac:dyDescent="0.35">
      <c r="B153" s="37" t="s">
        <v>0</v>
      </c>
      <c r="C153" s="37" t="s">
        <v>7</v>
      </c>
      <c r="D153" s="38" t="s">
        <v>8</v>
      </c>
      <c r="E153" s="37" t="s">
        <v>9</v>
      </c>
    </row>
    <row r="154" spans="2:5" ht="15.6" x14ac:dyDescent="0.3">
      <c r="B154" s="40" t="s">
        <v>16</v>
      </c>
      <c r="C154" s="41"/>
      <c r="D154" s="41"/>
      <c r="E154" s="42"/>
    </row>
    <row r="155" spans="2:5" x14ac:dyDescent="0.25">
      <c r="B155" s="44" t="s">
        <v>1</v>
      </c>
      <c r="C155" s="30">
        <v>1500000</v>
      </c>
      <c r="D155" s="30"/>
      <c r="E155" s="45"/>
    </row>
    <row r="156" spans="2:5" x14ac:dyDescent="0.25">
      <c r="B156" s="44" t="s">
        <v>2</v>
      </c>
      <c r="C156" s="30">
        <v>162000</v>
      </c>
      <c r="D156" s="30"/>
      <c r="E156" s="45"/>
    </row>
    <row r="157" spans="2:5" x14ac:dyDescent="0.25">
      <c r="B157" s="44" t="s">
        <v>19</v>
      </c>
      <c r="C157" s="30">
        <f>+C155*4%</f>
        <v>60000</v>
      </c>
      <c r="D157" s="30"/>
      <c r="E157" s="45"/>
    </row>
    <row r="158" spans="2:5" x14ac:dyDescent="0.25">
      <c r="B158" s="44" t="s">
        <v>20</v>
      </c>
      <c r="C158" s="30">
        <f>+C155*4%</f>
        <v>60000</v>
      </c>
      <c r="D158" s="30"/>
      <c r="E158" s="45"/>
    </row>
    <row r="159" spans="2:5" ht="15.6" thickBot="1" x14ac:dyDescent="0.3">
      <c r="B159" s="46" t="s">
        <v>3</v>
      </c>
      <c r="C159" s="47">
        <f>+C155+C156-C157-C158</f>
        <v>1542000</v>
      </c>
      <c r="D159" s="47"/>
      <c r="E159" s="48"/>
    </row>
    <row r="160" spans="2:5" ht="15.6" x14ac:dyDescent="0.3">
      <c r="B160" s="69" t="s">
        <v>11</v>
      </c>
      <c r="C160" s="70"/>
      <c r="D160" s="70"/>
      <c r="E160" s="71"/>
    </row>
    <row r="161" spans="2:5" x14ac:dyDescent="0.25">
      <c r="B161" s="44" t="s">
        <v>12</v>
      </c>
      <c r="C161" s="52"/>
      <c r="D161" s="30">
        <f>+(((C155+C156)*30)/360)</f>
        <v>138500</v>
      </c>
      <c r="E161" s="45"/>
    </row>
    <row r="162" spans="2:5" x14ac:dyDescent="0.25">
      <c r="B162" s="44" t="s">
        <v>13</v>
      </c>
      <c r="C162" s="52"/>
      <c r="D162" s="30">
        <f>+(((C155+C156)*30)/360)</f>
        <v>138500</v>
      </c>
      <c r="E162" s="45"/>
    </row>
    <row r="163" spans="2:5" x14ac:dyDescent="0.25">
      <c r="B163" s="44" t="s">
        <v>14</v>
      </c>
      <c r="C163" s="52"/>
      <c r="D163" s="30">
        <f>+(((D161+C156)*30*0.12)/360)</f>
        <v>3005</v>
      </c>
      <c r="E163" s="45"/>
    </row>
    <row r="164" spans="2:5" ht="15.6" thickBot="1" x14ac:dyDescent="0.3">
      <c r="B164" s="46" t="s">
        <v>15</v>
      </c>
      <c r="C164" s="53"/>
      <c r="D164" s="47">
        <f>+((C155*30)/720)</f>
        <v>62500</v>
      </c>
      <c r="E164" s="48"/>
    </row>
    <row r="165" spans="2:5" ht="15.6" x14ac:dyDescent="0.3">
      <c r="B165" s="54" t="s">
        <v>21</v>
      </c>
      <c r="C165" s="55"/>
      <c r="D165" s="56"/>
      <c r="E165" s="57"/>
    </row>
    <row r="166" spans="2:5" x14ac:dyDescent="0.25">
      <c r="B166" s="58" t="s">
        <v>28</v>
      </c>
      <c r="C166" s="50"/>
      <c r="D166" s="50"/>
      <c r="E166" s="45">
        <f>+C155*12.5%</f>
        <v>187500</v>
      </c>
    </row>
    <row r="167" spans="2:5" x14ac:dyDescent="0.25">
      <c r="B167" s="44" t="s">
        <v>29</v>
      </c>
      <c r="C167" s="30"/>
      <c r="D167" s="30"/>
      <c r="E167" s="45">
        <f>+C155*16%</f>
        <v>240000</v>
      </c>
    </row>
    <row r="168" spans="2:5" x14ac:dyDescent="0.25">
      <c r="B168" s="44" t="s">
        <v>18</v>
      </c>
      <c r="C168" s="30"/>
      <c r="D168" s="30"/>
      <c r="E168" s="45">
        <f>+C155*0.522%</f>
        <v>7830</v>
      </c>
    </row>
    <row r="169" spans="2:5" x14ac:dyDescent="0.25">
      <c r="B169" s="59" t="s">
        <v>22</v>
      </c>
      <c r="C169" s="60"/>
      <c r="D169" s="60"/>
      <c r="E169" s="61">
        <f>+C155*4%</f>
        <v>60000</v>
      </c>
    </row>
    <row r="170" spans="2:5" ht="16.2" thickBot="1" x14ac:dyDescent="0.35">
      <c r="B170" s="62" t="s">
        <v>23</v>
      </c>
      <c r="C170" s="63">
        <f>+C159</f>
        <v>1542000</v>
      </c>
      <c r="D170" s="63">
        <f t="shared" ref="D170:E170" si="4">SUM(D155:D169)</f>
        <v>342505</v>
      </c>
      <c r="E170" s="64">
        <f t="shared" si="4"/>
        <v>495330</v>
      </c>
    </row>
    <row r="171" spans="2:5" ht="15.6" thickBot="1" x14ac:dyDescent="0.3"/>
    <row r="172" spans="2:5" ht="16.2" thickBot="1" x14ac:dyDescent="0.35">
      <c r="B172" s="65" t="s">
        <v>33</v>
      </c>
      <c r="C172" s="73">
        <f>+C170+D170+E170</f>
        <v>2379835</v>
      </c>
    </row>
    <row r="176" spans="2:5" ht="15.6" x14ac:dyDescent="0.3">
      <c r="B176" s="109" t="s">
        <v>10</v>
      </c>
      <c r="C176" s="109"/>
      <c r="D176" s="109"/>
      <c r="E176" s="109"/>
    </row>
    <row r="177" spans="2:5" ht="30" x14ac:dyDescent="0.25">
      <c r="B177" s="95" t="s">
        <v>4</v>
      </c>
      <c r="C177" s="96"/>
      <c r="D177" s="35" t="s">
        <v>5</v>
      </c>
      <c r="E177" s="72" t="s">
        <v>27</v>
      </c>
    </row>
    <row r="178" spans="2:5" ht="31.8" thickBot="1" x14ac:dyDescent="0.35">
      <c r="B178" s="37" t="s">
        <v>0</v>
      </c>
      <c r="C178" s="37" t="s">
        <v>7</v>
      </c>
      <c r="D178" s="38" t="s">
        <v>8</v>
      </c>
      <c r="E178" s="37" t="s">
        <v>9</v>
      </c>
    </row>
    <row r="179" spans="2:5" ht="15.6" x14ac:dyDescent="0.3">
      <c r="B179" s="40" t="s">
        <v>16</v>
      </c>
      <c r="C179" s="41"/>
      <c r="D179" s="41"/>
      <c r="E179" s="42"/>
    </row>
    <row r="180" spans="2:5" x14ac:dyDescent="0.25">
      <c r="B180" s="44" t="s">
        <v>1</v>
      </c>
      <c r="C180" s="30">
        <v>1300000</v>
      </c>
      <c r="D180" s="30"/>
      <c r="E180" s="45"/>
    </row>
    <row r="181" spans="2:5" x14ac:dyDescent="0.25">
      <c r="B181" s="44" t="s">
        <v>2</v>
      </c>
      <c r="C181" s="30">
        <v>162000</v>
      </c>
      <c r="D181" s="30"/>
      <c r="E181" s="45"/>
    </row>
    <row r="182" spans="2:5" x14ac:dyDescent="0.25">
      <c r="B182" s="44" t="s">
        <v>19</v>
      </c>
      <c r="C182" s="30">
        <f>+C180*4%</f>
        <v>52000</v>
      </c>
      <c r="D182" s="30"/>
      <c r="E182" s="45"/>
    </row>
    <row r="183" spans="2:5" x14ac:dyDescent="0.25">
      <c r="B183" s="44" t="s">
        <v>20</v>
      </c>
      <c r="C183" s="30">
        <f>+C180*4%</f>
        <v>52000</v>
      </c>
      <c r="D183" s="30"/>
      <c r="E183" s="45"/>
    </row>
    <row r="184" spans="2:5" ht="15.6" thickBot="1" x14ac:dyDescent="0.3">
      <c r="B184" s="46" t="s">
        <v>3</v>
      </c>
      <c r="C184" s="47">
        <f>+C180+C181-C182-C183</f>
        <v>1358000</v>
      </c>
      <c r="D184" s="47"/>
      <c r="E184" s="48"/>
    </row>
    <row r="185" spans="2:5" ht="15.6" x14ac:dyDescent="0.3">
      <c r="B185" s="69" t="s">
        <v>11</v>
      </c>
      <c r="C185" s="70"/>
      <c r="D185" s="70"/>
      <c r="E185" s="71"/>
    </row>
    <row r="186" spans="2:5" x14ac:dyDescent="0.25">
      <c r="B186" s="44" t="s">
        <v>12</v>
      </c>
      <c r="C186" s="52"/>
      <c r="D186" s="30">
        <f>+(((C180+C181)*30)/360)</f>
        <v>121833.33333333333</v>
      </c>
      <c r="E186" s="45"/>
    </row>
    <row r="187" spans="2:5" x14ac:dyDescent="0.25">
      <c r="B187" s="44" t="s">
        <v>13</v>
      </c>
      <c r="C187" s="52"/>
      <c r="D187" s="30">
        <f>+(((C180+C181)*30)/360)</f>
        <v>121833.33333333333</v>
      </c>
      <c r="E187" s="45"/>
    </row>
    <row r="188" spans="2:5" x14ac:dyDescent="0.25">
      <c r="B188" s="44" t="s">
        <v>14</v>
      </c>
      <c r="C188" s="52"/>
      <c r="D188" s="30">
        <f>+(((D186+C181)*30*0.12)/360)</f>
        <v>2838.3333333333335</v>
      </c>
      <c r="E188" s="45"/>
    </row>
    <row r="189" spans="2:5" ht="15.6" thickBot="1" x14ac:dyDescent="0.3">
      <c r="B189" s="46" t="s">
        <v>15</v>
      </c>
      <c r="C189" s="53"/>
      <c r="D189" s="47">
        <f>+((C180*30)/720)</f>
        <v>54166.666666666664</v>
      </c>
      <c r="E189" s="48"/>
    </row>
    <row r="190" spans="2:5" ht="15.6" x14ac:dyDescent="0.3">
      <c r="B190" s="54" t="s">
        <v>21</v>
      </c>
      <c r="C190" s="55"/>
      <c r="D190" s="56"/>
      <c r="E190" s="57"/>
    </row>
    <row r="191" spans="2:5" x14ac:dyDescent="0.25">
      <c r="B191" s="58" t="s">
        <v>28</v>
      </c>
      <c r="C191" s="50"/>
      <c r="D191" s="50"/>
      <c r="E191" s="45">
        <f>+C180*12.5%</f>
        <v>162500</v>
      </c>
    </row>
    <row r="192" spans="2:5" x14ac:dyDescent="0.25">
      <c r="B192" s="44" t="s">
        <v>29</v>
      </c>
      <c r="C192" s="30"/>
      <c r="D192" s="30"/>
      <c r="E192" s="45">
        <f>+C180*16%</f>
        <v>208000</v>
      </c>
    </row>
    <row r="193" spans="2:6" x14ac:dyDescent="0.25">
      <c r="B193" s="44" t="s">
        <v>18</v>
      </c>
      <c r="C193" s="30"/>
      <c r="D193" s="30"/>
      <c r="E193" s="45">
        <f>+C180*0.522%</f>
        <v>6786</v>
      </c>
    </row>
    <row r="194" spans="2:6" x14ac:dyDescent="0.25">
      <c r="B194" s="59" t="s">
        <v>22</v>
      </c>
      <c r="C194" s="60"/>
      <c r="D194" s="60"/>
      <c r="E194" s="61">
        <f>+C180*4%</f>
        <v>52000</v>
      </c>
    </row>
    <row r="195" spans="2:6" ht="16.2" thickBot="1" x14ac:dyDescent="0.35">
      <c r="B195" s="62" t="s">
        <v>23</v>
      </c>
      <c r="C195" s="63">
        <f>+C184</f>
        <v>1358000</v>
      </c>
      <c r="D195" s="63">
        <f t="shared" ref="D195:E195" si="5">SUM(D180:D194)</f>
        <v>300671.66666666669</v>
      </c>
      <c r="E195" s="64">
        <f t="shared" si="5"/>
        <v>429286</v>
      </c>
    </row>
    <row r="196" spans="2:6" ht="15.6" thickBot="1" x14ac:dyDescent="0.3"/>
    <row r="197" spans="2:6" ht="16.2" thickBot="1" x14ac:dyDescent="0.35">
      <c r="B197" s="65" t="s">
        <v>33</v>
      </c>
      <c r="C197" s="73">
        <f>+C195+D195+E195</f>
        <v>2087957.6666666667</v>
      </c>
    </row>
    <row r="201" spans="2:6" ht="15.6" x14ac:dyDescent="0.3">
      <c r="B201" s="97" t="s">
        <v>10</v>
      </c>
      <c r="C201" s="97"/>
      <c r="D201" s="97"/>
      <c r="E201" s="97"/>
    </row>
    <row r="202" spans="2:6" x14ac:dyDescent="0.25">
      <c r="B202" s="95" t="s">
        <v>4</v>
      </c>
      <c r="C202" s="96"/>
      <c r="D202" s="35" t="s">
        <v>5</v>
      </c>
      <c r="E202" s="36" t="s">
        <v>25</v>
      </c>
    </row>
    <row r="203" spans="2:6" ht="31.8" thickBot="1" x14ac:dyDescent="0.35">
      <c r="B203" s="37" t="s">
        <v>0</v>
      </c>
      <c r="C203" s="37" t="s">
        <v>7</v>
      </c>
      <c r="D203" s="38" t="s">
        <v>8</v>
      </c>
      <c r="E203" s="37" t="s">
        <v>9</v>
      </c>
      <c r="F203" s="39"/>
    </row>
    <row r="204" spans="2:6" ht="15.6" x14ac:dyDescent="0.3">
      <c r="B204" s="40" t="s">
        <v>16</v>
      </c>
      <c r="C204" s="41"/>
      <c r="D204" s="41"/>
      <c r="E204" s="42"/>
      <c r="F204" s="43"/>
    </row>
    <row r="205" spans="2:6" x14ac:dyDescent="0.25">
      <c r="B205" s="44" t="s">
        <v>1</v>
      </c>
      <c r="C205" s="30">
        <v>1300000</v>
      </c>
      <c r="D205" s="30"/>
      <c r="E205" s="45"/>
    </row>
    <row r="206" spans="2:6" x14ac:dyDescent="0.25">
      <c r="B206" s="44" t="s">
        <v>2</v>
      </c>
      <c r="C206" s="30">
        <v>162000</v>
      </c>
      <c r="D206" s="30"/>
      <c r="E206" s="45"/>
    </row>
    <row r="207" spans="2:6" x14ac:dyDescent="0.25">
      <c r="B207" s="44" t="s">
        <v>19</v>
      </c>
      <c r="C207" s="30">
        <f>+C205*4%</f>
        <v>52000</v>
      </c>
      <c r="D207" s="30"/>
      <c r="E207" s="45"/>
    </row>
    <row r="208" spans="2:6" x14ac:dyDescent="0.25">
      <c r="B208" s="44" t="s">
        <v>20</v>
      </c>
      <c r="C208" s="30">
        <f>+C205*4%</f>
        <v>52000</v>
      </c>
      <c r="D208" s="30"/>
      <c r="E208" s="45"/>
    </row>
    <row r="209" spans="2:6" ht="15.6" thickBot="1" x14ac:dyDescent="0.3">
      <c r="B209" s="46" t="s">
        <v>3</v>
      </c>
      <c r="C209" s="47">
        <f>+C205+C206-C207-C208</f>
        <v>1358000</v>
      </c>
      <c r="D209" s="47"/>
      <c r="E209" s="48"/>
    </row>
    <row r="210" spans="2:6" ht="15.6" x14ac:dyDescent="0.3">
      <c r="B210" s="69" t="s">
        <v>11</v>
      </c>
      <c r="C210" s="70"/>
      <c r="D210" s="70"/>
      <c r="E210" s="71"/>
    </row>
    <row r="211" spans="2:6" x14ac:dyDescent="0.25">
      <c r="B211" s="44" t="s">
        <v>12</v>
      </c>
      <c r="C211" s="52"/>
      <c r="D211" s="30">
        <f>+(((C205+C206)*30)/360)</f>
        <v>121833.33333333333</v>
      </c>
      <c r="E211" s="45"/>
    </row>
    <row r="212" spans="2:6" x14ac:dyDescent="0.25">
      <c r="B212" s="44" t="s">
        <v>13</v>
      </c>
      <c r="C212" s="52"/>
      <c r="D212" s="30">
        <f>+(((C205+C206)*30)/360)</f>
        <v>121833.33333333333</v>
      </c>
      <c r="E212" s="45"/>
    </row>
    <row r="213" spans="2:6" x14ac:dyDescent="0.25">
      <c r="B213" s="44" t="s">
        <v>14</v>
      </c>
      <c r="C213" s="52"/>
      <c r="D213" s="30">
        <f>+(((D211+C206)*30*0.12)/360)</f>
        <v>2838.3333333333335</v>
      </c>
      <c r="E213" s="45"/>
    </row>
    <row r="214" spans="2:6" ht="15.6" thickBot="1" x14ac:dyDescent="0.3">
      <c r="B214" s="46" t="s">
        <v>15</v>
      </c>
      <c r="C214" s="53"/>
      <c r="D214" s="47">
        <f>+((C205*30)/720)</f>
        <v>54166.666666666664</v>
      </c>
      <c r="E214" s="48"/>
    </row>
    <row r="215" spans="2:6" ht="15.6" x14ac:dyDescent="0.3">
      <c r="B215" s="54" t="s">
        <v>21</v>
      </c>
      <c r="C215" s="55"/>
      <c r="D215" s="56"/>
      <c r="E215" s="57"/>
    </row>
    <row r="216" spans="2:6" x14ac:dyDescent="0.25">
      <c r="B216" s="58" t="s">
        <v>28</v>
      </c>
      <c r="C216" s="50"/>
      <c r="D216" s="50"/>
      <c r="E216" s="45">
        <f>+C205*12.5%</f>
        <v>162500</v>
      </c>
    </row>
    <row r="217" spans="2:6" x14ac:dyDescent="0.25">
      <c r="B217" s="44" t="s">
        <v>29</v>
      </c>
      <c r="C217" s="30"/>
      <c r="D217" s="30"/>
      <c r="E217" s="45">
        <f>+C205*16%</f>
        <v>208000</v>
      </c>
    </row>
    <row r="218" spans="2:6" x14ac:dyDescent="0.25">
      <c r="B218" s="44" t="s">
        <v>18</v>
      </c>
      <c r="C218" s="30"/>
      <c r="D218" s="30"/>
      <c r="E218" s="45">
        <f>+C205*0.522%</f>
        <v>6786</v>
      </c>
    </row>
    <row r="219" spans="2:6" x14ac:dyDescent="0.25">
      <c r="B219" s="59" t="s">
        <v>22</v>
      </c>
      <c r="C219" s="60"/>
      <c r="D219" s="60"/>
      <c r="E219" s="61">
        <f>+C205*4%</f>
        <v>52000</v>
      </c>
    </row>
    <row r="220" spans="2:6" ht="16.2" thickBot="1" x14ac:dyDescent="0.35">
      <c r="B220" s="62" t="s">
        <v>23</v>
      </c>
      <c r="C220" s="63">
        <f>+C209</f>
        <v>1358000</v>
      </c>
      <c r="D220" s="63">
        <f t="shared" ref="D220:E220" si="6">SUM(D205:D219)</f>
        <v>300671.66666666669</v>
      </c>
      <c r="E220" s="64">
        <f t="shared" si="6"/>
        <v>429286</v>
      </c>
      <c r="F220" s="19"/>
    </row>
    <row r="221" spans="2:6" ht="15.6" thickBot="1" x14ac:dyDescent="0.3"/>
    <row r="222" spans="2:6" ht="16.2" thickBot="1" x14ac:dyDescent="0.35">
      <c r="B222" s="65" t="s">
        <v>33</v>
      </c>
      <c r="C222" s="73">
        <f>+C220+D220+E220</f>
        <v>2087957.6666666667</v>
      </c>
    </row>
    <row r="225" spans="2:3" ht="15.6" x14ac:dyDescent="0.3">
      <c r="B225" s="97" t="s">
        <v>30</v>
      </c>
      <c r="C225" s="97"/>
    </row>
    <row r="226" spans="2:3" x14ac:dyDescent="0.25">
      <c r="B226" s="95" t="s">
        <v>34</v>
      </c>
      <c r="C226" s="108"/>
    </row>
    <row r="227" spans="2:3" x14ac:dyDescent="0.25">
      <c r="B227" s="34" t="s">
        <v>31</v>
      </c>
      <c r="C227" s="75"/>
    </row>
    <row r="228" spans="2:3" x14ac:dyDescent="0.25">
      <c r="B228" s="76" t="s">
        <v>32</v>
      </c>
      <c r="C228" s="77"/>
    </row>
    <row r="229" spans="2:3" ht="16.2" thickBot="1" x14ac:dyDescent="0.35">
      <c r="B229" s="78" t="s">
        <v>0</v>
      </c>
      <c r="C229" s="78" t="s">
        <v>7</v>
      </c>
    </row>
    <row r="230" spans="2:3" ht="16.2" thickBot="1" x14ac:dyDescent="0.35">
      <c r="B230" s="79" t="s">
        <v>16</v>
      </c>
      <c r="C230" s="80"/>
    </row>
    <row r="231" spans="2:3" x14ac:dyDescent="0.25">
      <c r="B231" s="58" t="s">
        <v>1</v>
      </c>
      <c r="C231" s="51">
        <v>1300000</v>
      </c>
    </row>
    <row r="232" spans="2:3" x14ac:dyDescent="0.25">
      <c r="B232" s="44" t="s">
        <v>2</v>
      </c>
      <c r="C232" s="45">
        <v>0</v>
      </c>
    </row>
    <row r="233" spans="2:3" x14ac:dyDescent="0.25">
      <c r="B233" s="44" t="s">
        <v>17</v>
      </c>
      <c r="C233" s="45">
        <f>+C231*0.522%</f>
        <v>6786</v>
      </c>
    </row>
    <row r="234" spans="2:3" ht="15.6" thickBot="1" x14ac:dyDescent="0.3">
      <c r="B234" s="59"/>
      <c r="C234" s="81">
        <v>0</v>
      </c>
    </row>
    <row r="235" spans="2:3" ht="15.6" thickBot="1" x14ac:dyDescent="0.3">
      <c r="B235" s="82" t="s">
        <v>35</v>
      </c>
      <c r="C235" s="83">
        <f>+C231+C232-C233-C234</f>
        <v>1293214</v>
      </c>
    </row>
    <row r="239" spans="2:3" ht="15.6" x14ac:dyDescent="0.25">
      <c r="B239" s="1" t="s">
        <v>73</v>
      </c>
    </row>
    <row r="241" spans="2:5" ht="15.6" x14ac:dyDescent="0.3">
      <c r="B241" s="84" t="s">
        <v>74</v>
      </c>
      <c r="C241" s="84" t="s">
        <v>75</v>
      </c>
      <c r="D241" s="84" t="s">
        <v>76</v>
      </c>
      <c r="E241" s="84" t="s">
        <v>54</v>
      </c>
    </row>
    <row r="242" spans="2:5" x14ac:dyDescent="0.25">
      <c r="B242" s="52" t="s">
        <v>77</v>
      </c>
      <c r="C242" s="52">
        <v>6</v>
      </c>
      <c r="D242" s="30">
        <v>2199000</v>
      </c>
      <c r="E242" s="30">
        <v>13194000</v>
      </c>
    </row>
    <row r="243" spans="2:5" x14ac:dyDescent="0.25">
      <c r="B243" s="52" t="s">
        <v>78</v>
      </c>
      <c r="C243" s="52">
        <v>2</v>
      </c>
      <c r="D243" s="30">
        <v>1848900</v>
      </c>
      <c r="E243" s="30">
        <v>3697800</v>
      </c>
    </row>
    <row r="244" spans="2:5" x14ac:dyDescent="0.25">
      <c r="B244" s="52" t="s">
        <v>79</v>
      </c>
      <c r="C244" s="52">
        <v>6</v>
      </c>
      <c r="D244" s="30">
        <v>449900</v>
      </c>
      <c r="E244" s="30">
        <v>2699400</v>
      </c>
    </row>
    <row r="245" spans="2:5" x14ac:dyDescent="0.25">
      <c r="B245" s="52" t="s">
        <v>80</v>
      </c>
      <c r="C245" s="52">
        <v>1</v>
      </c>
      <c r="D245" s="30">
        <v>3599000</v>
      </c>
      <c r="E245" s="30">
        <v>3599000</v>
      </c>
    </row>
    <row r="246" spans="2:5" x14ac:dyDescent="0.25">
      <c r="B246" s="52" t="s">
        <v>81</v>
      </c>
      <c r="C246" s="52">
        <v>1</v>
      </c>
      <c r="D246" s="30">
        <v>127900</v>
      </c>
      <c r="E246" s="30">
        <v>127900</v>
      </c>
    </row>
    <row r="247" spans="2:5" x14ac:dyDescent="0.25">
      <c r="B247" s="52" t="s">
        <v>82</v>
      </c>
      <c r="C247" s="52">
        <v>8</v>
      </c>
      <c r="D247" s="30">
        <v>249900</v>
      </c>
      <c r="E247" s="30">
        <v>1999200</v>
      </c>
    </row>
    <row r="248" spans="2:5" x14ac:dyDescent="0.25">
      <c r="B248" s="52" t="s">
        <v>85</v>
      </c>
      <c r="C248" s="52">
        <v>1</v>
      </c>
      <c r="D248" s="30">
        <v>102200</v>
      </c>
      <c r="E248" s="30">
        <v>102200</v>
      </c>
    </row>
    <row r="249" spans="2:5" x14ac:dyDescent="0.25">
      <c r="B249" s="52" t="s">
        <v>86</v>
      </c>
      <c r="C249" s="52">
        <v>1</v>
      </c>
      <c r="D249" s="52">
        <v>350000</v>
      </c>
      <c r="E249" s="52">
        <v>350000</v>
      </c>
    </row>
    <row r="250" spans="2:5" x14ac:dyDescent="0.25">
      <c r="B250" s="52" t="s">
        <v>83</v>
      </c>
      <c r="C250" s="52">
        <v>1</v>
      </c>
      <c r="D250" s="30">
        <v>120000</v>
      </c>
      <c r="E250" s="30">
        <v>350000</v>
      </c>
    </row>
    <row r="251" spans="2:5" x14ac:dyDescent="0.25">
      <c r="B251" s="52" t="s">
        <v>84</v>
      </c>
      <c r="C251" s="52">
        <v>2</v>
      </c>
      <c r="D251" s="30">
        <v>98000</v>
      </c>
      <c r="E251" s="30">
        <v>402000</v>
      </c>
    </row>
    <row r="252" spans="2:5" ht="15.6" x14ac:dyDescent="0.3">
      <c r="B252" s="84" t="s">
        <v>54</v>
      </c>
      <c r="C252" s="52"/>
      <c r="D252" s="30"/>
      <c r="E252" s="32">
        <f>SUM(E242:E251)</f>
        <v>26521500</v>
      </c>
    </row>
    <row r="255" spans="2:5" ht="15.6" x14ac:dyDescent="0.25">
      <c r="B255" s="1" t="s">
        <v>87</v>
      </c>
    </row>
    <row r="256" spans="2:5" ht="15.6" x14ac:dyDescent="0.25">
      <c r="B256" s="1" t="s">
        <v>88</v>
      </c>
    </row>
    <row r="260" spans="2:4" ht="15.6" x14ac:dyDescent="0.3">
      <c r="B260" s="84" t="s">
        <v>96</v>
      </c>
      <c r="C260" s="52"/>
    </row>
    <row r="261" spans="2:4" x14ac:dyDescent="0.25">
      <c r="B261" s="52" t="s">
        <v>94</v>
      </c>
      <c r="C261" s="85">
        <v>5000000</v>
      </c>
      <c r="D261" s="93"/>
    </row>
    <row r="262" spans="2:4" x14ac:dyDescent="0.25">
      <c r="B262" s="52"/>
      <c r="C262" s="85"/>
      <c r="D262" s="93"/>
    </row>
    <row r="263" spans="2:4" x14ac:dyDescent="0.25">
      <c r="B263" s="52"/>
      <c r="C263" s="85"/>
      <c r="D263" s="93"/>
    </row>
    <row r="264" spans="2:4" x14ac:dyDescent="0.25">
      <c r="B264" s="52"/>
      <c r="C264" s="85"/>
      <c r="D264" s="93"/>
    </row>
    <row r="265" spans="2:4" s="19" customFormat="1" ht="15.6" x14ac:dyDescent="0.3">
      <c r="B265" s="84" t="s">
        <v>54</v>
      </c>
      <c r="C265" s="86">
        <f>SUM(C261:C264)</f>
        <v>5000000</v>
      </c>
      <c r="D265" s="94"/>
    </row>
    <row r="269" spans="2:4" ht="15.6" x14ac:dyDescent="0.25">
      <c r="B269" s="1" t="s">
        <v>89</v>
      </c>
    </row>
    <row r="270" spans="2:4" ht="15.6" x14ac:dyDescent="0.25">
      <c r="B270" s="1" t="s">
        <v>90</v>
      </c>
    </row>
    <row r="273" spans="2:4" x14ac:dyDescent="0.25">
      <c r="B273" s="105" t="s">
        <v>97</v>
      </c>
      <c r="C273" s="106"/>
      <c r="D273" s="107"/>
    </row>
    <row r="274" spans="2:4" x14ac:dyDescent="0.25">
      <c r="B274" s="102" t="s">
        <v>98</v>
      </c>
      <c r="C274" s="103"/>
      <c r="D274" s="104"/>
    </row>
    <row r="275" spans="2:4" x14ac:dyDescent="0.25">
      <c r="B275" s="91"/>
      <c r="D275" s="92"/>
    </row>
    <row r="276" spans="2:4" ht="15.6" x14ac:dyDescent="0.3">
      <c r="B276" s="84" t="s">
        <v>95</v>
      </c>
      <c r="C276" s="74" t="s">
        <v>99</v>
      </c>
      <c r="D276" s="74" t="s">
        <v>100</v>
      </c>
    </row>
    <row r="277" spans="2:4" ht="15.6" x14ac:dyDescent="0.3">
      <c r="B277" s="84" t="s">
        <v>143</v>
      </c>
      <c r="C277" s="74"/>
      <c r="D277" s="74"/>
    </row>
    <row r="278" spans="2:4" x14ac:dyDescent="0.25">
      <c r="B278" s="52" t="s">
        <v>92</v>
      </c>
      <c r="C278" s="85">
        <v>1800000</v>
      </c>
      <c r="D278" s="85"/>
    </row>
    <row r="279" spans="2:4" x14ac:dyDescent="0.25">
      <c r="B279" s="52" t="s">
        <v>91</v>
      </c>
      <c r="C279" s="85">
        <v>2000000</v>
      </c>
      <c r="D279" s="85"/>
    </row>
    <row r="280" spans="2:4" s="19" customFormat="1" ht="15.6" x14ac:dyDescent="0.3">
      <c r="B280" s="52" t="s">
        <v>93</v>
      </c>
      <c r="C280" s="85">
        <v>1200000</v>
      </c>
      <c r="D280" s="85"/>
    </row>
    <row r="281" spans="2:4" ht="15.6" x14ac:dyDescent="0.3">
      <c r="B281" s="84" t="s">
        <v>140</v>
      </c>
      <c r="C281" s="86">
        <f>SUM(C278:C280)</f>
        <v>5000000</v>
      </c>
      <c r="D281" s="86"/>
    </row>
    <row r="282" spans="2:4" ht="15.6" x14ac:dyDescent="0.3">
      <c r="B282" s="84" t="s">
        <v>142</v>
      </c>
      <c r="C282" s="85"/>
      <c r="D282" s="85"/>
    </row>
    <row r="283" spans="2:4" s="19" customFormat="1" ht="15.6" x14ac:dyDescent="0.3">
      <c r="B283" s="52" t="s">
        <v>94</v>
      </c>
      <c r="C283" s="85"/>
      <c r="D283" s="85">
        <f>+C278+C279+C280</f>
        <v>5000000</v>
      </c>
    </row>
    <row r="284" spans="2:4" ht="15.6" x14ac:dyDescent="0.3">
      <c r="B284" s="84" t="s">
        <v>141</v>
      </c>
      <c r="C284" s="86"/>
      <c r="D284" s="86">
        <f>+D283</f>
        <v>5000000</v>
      </c>
    </row>
    <row r="285" spans="2:4" x14ac:dyDescent="0.25">
      <c r="B285" s="52"/>
      <c r="C285" s="85"/>
      <c r="D285" s="85"/>
    </row>
    <row r="286" spans="2:4" ht="15.6" x14ac:dyDescent="0.3">
      <c r="B286" s="84" t="s">
        <v>54</v>
      </c>
      <c r="C286" s="86">
        <f>+C281</f>
        <v>5000000</v>
      </c>
      <c r="D286" s="86">
        <f>+D284</f>
        <v>5000000</v>
      </c>
    </row>
  </sheetData>
  <mergeCells count="23">
    <mergeCell ref="B274:D274"/>
    <mergeCell ref="B273:D273"/>
    <mergeCell ref="B226:C226"/>
    <mergeCell ref="B102:E102"/>
    <mergeCell ref="B103:C103"/>
    <mergeCell ref="B126:E126"/>
    <mergeCell ref="B127:C127"/>
    <mergeCell ref="B151:E151"/>
    <mergeCell ref="B152:C152"/>
    <mergeCell ref="B176:E176"/>
    <mergeCell ref="B177:C177"/>
    <mergeCell ref="B201:E201"/>
    <mergeCell ref="B202:C202"/>
    <mergeCell ref="B225:C225"/>
    <mergeCell ref="C14:D14"/>
    <mergeCell ref="E15:F15"/>
    <mergeCell ref="E16:F16"/>
    <mergeCell ref="E19:F19"/>
    <mergeCell ref="C19:D19"/>
    <mergeCell ref="B50:E50"/>
    <mergeCell ref="B51:C51"/>
    <mergeCell ref="B77:E77"/>
    <mergeCell ref="B78:C78"/>
  </mergeCells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4132-5B1D-4E0C-87D6-F5DC9AD569CE}">
  <sheetPr>
    <tabColor rgb="FFC00000"/>
  </sheetPr>
  <dimension ref="A1:M43"/>
  <sheetViews>
    <sheetView showGridLines="0" workbookViewId="0">
      <selection activeCell="P16" sqref="P16"/>
    </sheetView>
  </sheetViews>
  <sheetFormatPr baseColWidth="10" defaultColWidth="20.6640625" defaultRowHeight="11.4" x14ac:dyDescent="0.2"/>
  <cols>
    <col min="1" max="1" width="22.44140625" style="9" customWidth="1"/>
    <col min="2" max="4" width="10.109375" style="15" customWidth="1"/>
    <col min="5" max="5" width="11.88671875" style="15" customWidth="1"/>
    <col min="6" max="6" width="11.6640625" style="15" customWidth="1"/>
    <col min="7" max="7" width="11.5546875" style="15" customWidth="1"/>
    <col min="8" max="13" width="12" style="15" customWidth="1"/>
    <col min="14" max="16384" width="20.6640625" style="9"/>
  </cols>
  <sheetData>
    <row r="1" spans="1:13" ht="12" x14ac:dyDescent="0.25">
      <c r="A1" s="110" t="s">
        <v>101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2" x14ac:dyDescent="0.25">
      <c r="A2" s="110" t="s">
        <v>97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ht="12" x14ac:dyDescent="0.25">
      <c r="A3" s="110" t="s">
        <v>102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5" spans="1:13" s="10" customFormat="1" ht="12" x14ac:dyDescent="0.25">
      <c r="B5" s="11" t="s">
        <v>108</v>
      </c>
      <c r="C5" s="11" t="s">
        <v>109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</row>
    <row r="6" spans="1:13" ht="12" x14ac:dyDescent="0.2">
      <c r="A6" s="9" t="s">
        <v>103</v>
      </c>
      <c r="B6" s="12">
        <v>0</v>
      </c>
      <c r="C6" s="12">
        <f>+B36</f>
        <v>6000000</v>
      </c>
      <c r="D6" s="12">
        <f t="shared" ref="D6:M6" si="0">+C36</f>
        <v>15291666.5</v>
      </c>
      <c r="E6" s="12">
        <f t="shared" si="0"/>
        <v>28142433.75</v>
      </c>
      <c r="F6" s="12">
        <f t="shared" si="0"/>
        <v>42573437.380999997</v>
      </c>
      <c r="G6" s="12">
        <f t="shared" si="0"/>
        <v>58749944.72646001</v>
      </c>
      <c r="H6" s="12">
        <f t="shared" si="0"/>
        <v>76854000.180907622</v>
      </c>
      <c r="I6" s="12">
        <f t="shared" si="0"/>
        <v>97086114.989768073</v>
      </c>
      <c r="J6" s="12">
        <f t="shared" si="0"/>
        <v>119667126.63102016</v>
      </c>
      <c r="K6" s="12">
        <f t="shared" si="0"/>
        <v>144840244.7797755</v>
      </c>
      <c r="L6" s="12">
        <f t="shared" si="0"/>
        <v>172873302.5476779</v>
      </c>
      <c r="M6" s="12">
        <f t="shared" si="0"/>
        <v>204061233.55998832</v>
      </c>
    </row>
    <row r="7" spans="1:13" ht="12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s="10" customFormat="1" ht="12" x14ac:dyDescent="0.25">
      <c r="A8" s="10" t="s">
        <v>104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12" x14ac:dyDescent="0.2">
      <c r="A9" s="9" t="s">
        <v>105</v>
      </c>
      <c r="B9" s="12">
        <f>+PROGRAMADOR!C28*6</f>
        <v>33251065</v>
      </c>
      <c r="C9" s="12">
        <f>+((B9*10%)+B9)</f>
        <v>36576171.5</v>
      </c>
      <c r="D9" s="12">
        <f t="shared" ref="D9:M9" si="1">+((C9*10%)+C9)</f>
        <v>40233788.649999999</v>
      </c>
      <c r="E9" s="12">
        <f t="shared" si="1"/>
        <v>44257167.515000001</v>
      </c>
      <c r="F9" s="12">
        <f t="shared" si="1"/>
        <v>48682884.266500004</v>
      </c>
      <c r="G9" s="12">
        <f t="shared" si="1"/>
        <v>53551172.693150006</v>
      </c>
      <c r="H9" s="12">
        <f t="shared" si="1"/>
        <v>58906289.962465003</v>
      </c>
      <c r="I9" s="12">
        <f t="shared" si="1"/>
        <v>64796918.958711505</v>
      </c>
      <c r="J9" s="12">
        <f t="shared" si="1"/>
        <v>71276610.854582652</v>
      </c>
      <c r="K9" s="12">
        <f t="shared" si="1"/>
        <v>78404271.940040916</v>
      </c>
      <c r="L9" s="12">
        <f t="shared" si="1"/>
        <v>86244699.134045005</v>
      </c>
      <c r="M9" s="12">
        <f t="shared" si="1"/>
        <v>94869169.047449499</v>
      </c>
    </row>
    <row r="10" spans="1:13" ht="12" x14ac:dyDescent="0.2">
      <c r="A10" s="9" t="s">
        <v>106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</row>
    <row r="11" spans="1:13" ht="12" x14ac:dyDescent="0.2">
      <c r="A11" s="9" t="s">
        <v>107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</row>
    <row r="12" spans="1:13" s="10" customFormat="1" ht="12" x14ac:dyDescent="0.25">
      <c r="A12" s="10" t="s">
        <v>120</v>
      </c>
      <c r="B12" s="14">
        <f>+B9+B10+B11</f>
        <v>33251065</v>
      </c>
      <c r="C12" s="14">
        <f t="shared" ref="C12:M12" si="2">+C9+C10+C11</f>
        <v>36576171.5</v>
      </c>
      <c r="D12" s="14">
        <f t="shared" si="2"/>
        <v>40233788.649999999</v>
      </c>
      <c r="E12" s="14">
        <f t="shared" si="2"/>
        <v>44257167.515000001</v>
      </c>
      <c r="F12" s="14">
        <f t="shared" si="2"/>
        <v>48682884.266500004</v>
      </c>
      <c r="G12" s="14">
        <f t="shared" si="2"/>
        <v>53551172.693150006</v>
      </c>
      <c r="H12" s="14">
        <f t="shared" si="2"/>
        <v>58906289.962465003</v>
      </c>
      <c r="I12" s="14">
        <f t="shared" si="2"/>
        <v>64796918.958711505</v>
      </c>
      <c r="J12" s="14">
        <f t="shared" si="2"/>
        <v>71276610.854582652</v>
      </c>
      <c r="K12" s="14">
        <f t="shared" si="2"/>
        <v>78404271.940040916</v>
      </c>
      <c r="L12" s="14">
        <f t="shared" si="2"/>
        <v>86244699.134045005</v>
      </c>
      <c r="M12" s="14">
        <f t="shared" si="2"/>
        <v>94869169.047449499</v>
      </c>
    </row>
    <row r="13" spans="1:13" ht="12" x14ac:dyDescent="0.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s="10" customFormat="1" ht="12" x14ac:dyDescent="0.25">
      <c r="A14" s="10" t="s">
        <v>121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12" x14ac:dyDescent="0.2">
      <c r="A15" s="9" t="s">
        <v>137</v>
      </c>
      <c r="B15" s="16">
        <f>+PROGRAMADOR!C14</f>
        <v>23205851</v>
      </c>
      <c r="C15" s="12">
        <f>+B15</f>
        <v>23205851</v>
      </c>
      <c r="D15" s="12">
        <f t="shared" ref="D15" si="3">+C15</f>
        <v>23205851</v>
      </c>
      <c r="E15" s="12">
        <f>+((D15*10%)+D15)</f>
        <v>25526436.100000001</v>
      </c>
      <c r="F15" s="12">
        <f t="shared" ref="F15:M15" si="4">+((E15*10%)+E15)</f>
        <v>28079079.710000001</v>
      </c>
      <c r="G15" s="12">
        <f t="shared" si="4"/>
        <v>30886987.681000002</v>
      </c>
      <c r="H15" s="12">
        <f t="shared" si="4"/>
        <v>33975686.449100003</v>
      </c>
      <c r="I15" s="12">
        <f t="shared" si="4"/>
        <v>37373255.094010003</v>
      </c>
      <c r="J15" s="12">
        <f t="shared" si="4"/>
        <v>41110580.603411004</v>
      </c>
      <c r="K15" s="12">
        <f t="shared" si="4"/>
        <v>45221638.663752101</v>
      </c>
      <c r="L15" s="12">
        <f t="shared" si="4"/>
        <v>49743802.530127309</v>
      </c>
      <c r="M15" s="12">
        <f t="shared" si="4"/>
        <v>54718182.783140041</v>
      </c>
    </row>
    <row r="16" spans="1:13" ht="12" x14ac:dyDescent="0.2">
      <c r="A16" s="9" t="s">
        <v>138</v>
      </c>
      <c r="B16" s="16">
        <f>+PROGRAMADOR!D18</f>
        <v>299000</v>
      </c>
      <c r="C16" s="12">
        <f>+((B16*6%)+B16)</f>
        <v>316940</v>
      </c>
      <c r="D16" s="12">
        <f t="shared" ref="D16:M16" si="5">+((C16*6%)+C16)</f>
        <v>335956.4</v>
      </c>
      <c r="E16" s="12">
        <f t="shared" si="5"/>
        <v>356113.78400000004</v>
      </c>
      <c r="F16" s="12">
        <f t="shared" si="5"/>
        <v>377480.61104000005</v>
      </c>
      <c r="G16" s="12">
        <f t="shared" si="5"/>
        <v>400129.44770240004</v>
      </c>
      <c r="H16" s="12">
        <f t="shared" si="5"/>
        <v>424137.21456454403</v>
      </c>
      <c r="I16" s="12">
        <f t="shared" si="5"/>
        <v>449585.44743841665</v>
      </c>
      <c r="J16" s="12">
        <f t="shared" si="5"/>
        <v>476560.57428472163</v>
      </c>
      <c r="K16" s="12">
        <f t="shared" si="5"/>
        <v>505154.20874180493</v>
      </c>
      <c r="L16" s="12">
        <f t="shared" si="5"/>
        <v>535463.46126631321</v>
      </c>
      <c r="M16" s="12">
        <f t="shared" si="5"/>
        <v>567591.26894229196</v>
      </c>
    </row>
    <row r="17" spans="1:13" ht="12" x14ac:dyDescent="0.2">
      <c r="A17" s="9" t="s">
        <v>122</v>
      </c>
      <c r="B17" s="16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</row>
    <row r="18" spans="1:13" ht="12" x14ac:dyDescent="0.2">
      <c r="A18" s="9" t="s">
        <v>123</v>
      </c>
      <c r="B18" s="16">
        <f>90000+60000+130000+1000000</f>
        <v>1280000</v>
      </c>
      <c r="C18" s="12">
        <f t="shared" ref="C18" si="6">90000+60000+130000+1000000</f>
        <v>1280000</v>
      </c>
      <c r="D18" s="12">
        <f>+((C18*5%)+C18)</f>
        <v>1344000</v>
      </c>
      <c r="E18" s="12">
        <f t="shared" ref="E18:M18" si="7">+((D18*5%)+D18)</f>
        <v>1411200</v>
      </c>
      <c r="F18" s="12">
        <f t="shared" si="7"/>
        <v>1481760</v>
      </c>
      <c r="G18" s="12">
        <f t="shared" si="7"/>
        <v>1555848</v>
      </c>
      <c r="H18" s="12">
        <f t="shared" si="7"/>
        <v>1633640.4</v>
      </c>
      <c r="I18" s="12">
        <f t="shared" si="7"/>
        <v>1715322.42</v>
      </c>
      <c r="J18" s="12">
        <f t="shared" si="7"/>
        <v>1801088.541</v>
      </c>
      <c r="K18" s="12">
        <f t="shared" si="7"/>
        <v>1891142.96805</v>
      </c>
      <c r="L18" s="12">
        <f t="shared" si="7"/>
        <v>1985700.1164525</v>
      </c>
      <c r="M18" s="12">
        <f t="shared" si="7"/>
        <v>2084985.122275125</v>
      </c>
    </row>
    <row r="19" spans="1:13" ht="12" x14ac:dyDescent="0.2">
      <c r="A19" s="9" t="s">
        <v>124</v>
      </c>
      <c r="B19" s="16">
        <v>310000</v>
      </c>
      <c r="C19" s="12">
        <f>+((310000*5%)+B19)</f>
        <v>325500</v>
      </c>
      <c r="D19" s="12">
        <f t="shared" ref="D19:M19" si="8">+((310000*5%)+C19)</f>
        <v>341000</v>
      </c>
      <c r="E19" s="12">
        <f t="shared" si="8"/>
        <v>356500</v>
      </c>
      <c r="F19" s="12">
        <f t="shared" si="8"/>
        <v>372000</v>
      </c>
      <c r="G19" s="12">
        <f t="shared" si="8"/>
        <v>387500</v>
      </c>
      <c r="H19" s="12">
        <f t="shared" si="8"/>
        <v>403000</v>
      </c>
      <c r="I19" s="12">
        <f t="shared" si="8"/>
        <v>418500</v>
      </c>
      <c r="J19" s="12">
        <f t="shared" si="8"/>
        <v>434000</v>
      </c>
      <c r="K19" s="12">
        <f t="shared" si="8"/>
        <v>449500</v>
      </c>
      <c r="L19" s="12">
        <f t="shared" si="8"/>
        <v>465000</v>
      </c>
      <c r="M19" s="12">
        <f t="shared" si="8"/>
        <v>480500</v>
      </c>
    </row>
    <row r="20" spans="1:13" ht="12" x14ac:dyDescent="0.2">
      <c r="A20" s="9" t="s">
        <v>125</v>
      </c>
      <c r="B20" s="16">
        <v>162000</v>
      </c>
      <c r="C20" s="12">
        <v>162000</v>
      </c>
      <c r="D20" s="12">
        <v>162000</v>
      </c>
      <c r="E20" s="12">
        <f>+((D20*3%)+D20)</f>
        <v>166860</v>
      </c>
      <c r="F20" s="12">
        <f t="shared" ref="F20:M20" si="9">+((E20*3%)+E20)</f>
        <v>171865.8</v>
      </c>
      <c r="G20" s="12">
        <f t="shared" si="9"/>
        <v>177021.77399999998</v>
      </c>
      <c r="H20" s="12">
        <f t="shared" si="9"/>
        <v>182332.42721999998</v>
      </c>
      <c r="I20" s="12">
        <f t="shared" si="9"/>
        <v>187802.40003659998</v>
      </c>
      <c r="J20" s="12">
        <f t="shared" si="9"/>
        <v>193436.47203769797</v>
      </c>
      <c r="K20" s="12">
        <f t="shared" si="9"/>
        <v>199239.56619882892</v>
      </c>
      <c r="L20" s="12">
        <f t="shared" si="9"/>
        <v>205216.75318479378</v>
      </c>
      <c r="M20" s="12">
        <f t="shared" si="9"/>
        <v>211373.25578033758</v>
      </c>
    </row>
    <row r="21" spans="1:13" ht="12" x14ac:dyDescent="0.2">
      <c r="A21" s="9" t="s">
        <v>126</v>
      </c>
      <c r="B21" s="16">
        <v>900000</v>
      </c>
      <c r="C21" s="12">
        <v>900000</v>
      </c>
      <c r="D21" s="12">
        <v>900000</v>
      </c>
      <c r="E21" s="12">
        <v>900000</v>
      </c>
      <c r="F21" s="12">
        <v>900000</v>
      </c>
      <c r="G21" s="12">
        <v>900000</v>
      </c>
      <c r="H21" s="12">
        <v>900000</v>
      </c>
      <c r="I21" s="12">
        <v>900000</v>
      </c>
      <c r="J21" s="12">
        <v>900000</v>
      </c>
      <c r="K21" s="12">
        <v>900000</v>
      </c>
      <c r="L21" s="12">
        <v>900000</v>
      </c>
      <c r="M21" s="12">
        <v>900000</v>
      </c>
    </row>
    <row r="22" spans="1:13" ht="12" x14ac:dyDescent="0.2">
      <c r="A22" s="9" t="s">
        <v>139</v>
      </c>
      <c r="B22" s="16">
        <f>+PROGRAMADOR!D17</f>
        <v>742000</v>
      </c>
      <c r="C22" s="12">
        <f>+B22</f>
        <v>742000</v>
      </c>
      <c r="D22" s="12">
        <f>+C22</f>
        <v>742000</v>
      </c>
      <c r="E22" s="12">
        <f>+((D22*2%)+D22)</f>
        <v>756840</v>
      </c>
      <c r="F22" s="12">
        <f t="shared" ref="F22:M22" si="10">+((E22*2%)+E22)</f>
        <v>771976.8</v>
      </c>
      <c r="G22" s="12">
        <f t="shared" si="10"/>
        <v>787416.33600000001</v>
      </c>
      <c r="H22" s="12">
        <f t="shared" si="10"/>
        <v>803164.66272000002</v>
      </c>
      <c r="I22" s="12">
        <f t="shared" si="10"/>
        <v>819227.95597440004</v>
      </c>
      <c r="J22" s="12">
        <f t="shared" si="10"/>
        <v>835612.51509388804</v>
      </c>
      <c r="K22" s="12">
        <f t="shared" si="10"/>
        <v>852324.76539576577</v>
      </c>
      <c r="L22" s="12">
        <f t="shared" si="10"/>
        <v>869371.26070368104</v>
      </c>
      <c r="M22" s="12">
        <f t="shared" si="10"/>
        <v>886758.68591775466</v>
      </c>
    </row>
    <row r="23" spans="1:13" ht="12" x14ac:dyDescent="0.2">
      <c r="A23" s="9" t="s">
        <v>127</v>
      </c>
      <c r="B23" s="16">
        <v>352214</v>
      </c>
      <c r="C23" s="12">
        <v>352214</v>
      </c>
      <c r="D23" s="12">
        <v>352214</v>
      </c>
      <c r="E23" s="12">
        <v>352214</v>
      </c>
      <c r="F23" s="12">
        <v>352214</v>
      </c>
      <c r="G23" s="12">
        <v>352214</v>
      </c>
      <c r="H23" s="12">
        <v>352214</v>
      </c>
      <c r="I23" s="12">
        <v>352214</v>
      </c>
      <c r="J23" s="12">
        <v>352214</v>
      </c>
      <c r="K23" s="12">
        <v>352214</v>
      </c>
      <c r="L23" s="12">
        <v>352214</v>
      </c>
      <c r="M23" s="12">
        <v>352214</v>
      </c>
    </row>
    <row r="24" spans="1:13" s="10" customFormat="1" ht="12" x14ac:dyDescent="0.25">
      <c r="A24" s="10" t="s">
        <v>128</v>
      </c>
      <c r="B24" s="14">
        <f>+B15+B17+B18+B19+B20+B21+B23+B16+B22</f>
        <v>27251065</v>
      </c>
      <c r="C24" s="14">
        <f t="shared" ref="C24:M24" si="11">+C15+C17+C18+C19+C20+C21+C23+C16+C22</f>
        <v>27284505</v>
      </c>
      <c r="D24" s="14">
        <f t="shared" si="11"/>
        <v>27383021.399999999</v>
      </c>
      <c r="E24" s="14">
        <f t="shared" si="11"/>
        <v>29826163.884000003</v>
      </c>
      <c r="F24" s="14">
        <f t="shared" si="11"/>
        <v>32506376.921040002</v>
      </c>
      <c r="G24" s="14">
        <f t="shared" si="11"/>
        <v>35447117.238702402</v>
      </c>
      <c r="H24" s="14">
        <f t="shared" si="11"/>
        <v>38674175.153604552</v>
      </c>
      <c r="I24" s="14">
        <f t="shared" si="11"/>
        <v>42215907.317459427</v>
      </c>
      <c r="J24" s="14">
        <f t="shared" si="11"/>
        <v>46103492.705827311</v>
      </c>
      <c r="K24" s="14">
        <f t="shared" si="11"/>
        <v>50371214.172138505</v>
      </c>
      <c r="L24" s="14">
        <f t="shared" si="11"/>
        <v>55056768.121734604</v>
      </c>
      <c r="M24" s="14">
        <f t="shared" si="11"/>
        <v>60201605.116055548</v>
      </c>
    </row>
    <row r="25" spans="1:13" ht="12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s="10" customFormat="1" ht="12" x14ac:dyDescent="0.25">
      <c r="A26" s="10" t="s">
        <v>132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2" x14ac:dyDescent="0.2">
      <c r="A27" s="9" t="s">
        <v>133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</row>
    <row r="28" spans="1:13" ht="12" x14ac:dyDescent="0.2">
      <c r="A28" s="9" t="s">
        <v>135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</row>
    <row r="29" spans="1:13" ht="12" x14ac:dyDescent="0.2">
      <c r="A29" s="9" t="s">
        <v>134</v>
      </c>
      <c r="B29" s="14">
        <f>+B27+B28</f>
        <v>0</v>
      </c>
      <c r="C29" s="14">
        <f t="shared" ref="C29:M29" si="12">+C27+C28</f>
        <v>0</v>
      </c>
      <c r="D29" s="14">
        <f t="shared" si="12"/>
        <v>0</v>
      </c>
      <c r="E29" s="14">
        <f t="shared" si="12"/>
        <v>0</v>
      </c>
      <c r="F29" s="14">
        <f t="shared" si="12"/>
        <v>0</v>
      </c>
      <c r="G29" s="14">
        <f t="shared" si="12"/>
        <v>0</v>
      </c>
      <c r="H29" s="14">
        <f t="shared" si="12"/>
        <v>0</v>
      </c>
      <c r="I29" s="14">
        <f t="shared" si="12"/>
        <v>0</v>
      </c>
      <c r="J29" s="14">
        <f t="shared" si="12"/>
        <v>0</v>
      </c>
      <c r="K29" s="14">
        <f t="shared" si="12"/>
        <v>0</v>
      </c>
      <c r="L29" s="14">
        <f t="shared" si="12"/>
        <v>0</v>
      </c>
      <c r="M29" s="14">
        <f t="shared" si="12"/>
        <v>0</v>
      </c>
    </row>
    <row r="30" spans="1:13" ht="12" x14ac:dyDescent="0.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s="10" customFormat="1" ht="12" x14ac:dyDescent="0.25">
      <c r="A31" s="10" t="s">
        <v>129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ht="12" x14ac:dyDescent="0.2">
      <c r="A32" s="9" t="s">
        <v>130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</row>
    <row r="33" spans="1:13" ht="12" x14ac:dyDescent="0.2">
      <c r="A33" s="9" t="s">
        <v>131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</row>
    <row r="34" spans="1:13" ht="12" x14ac:dyDescent="0.2">
      <c r="A34" s="9" t="s">
        <v>134</v>
      </c>
      <c r="B34" s="14">
        <f>+B32+B33</f>
        <v>0</v>
      </c>
      <c r="C34" s="14">
        <f t="shared" ref="C34:M34" si="13">+C32+C33</f>
        <v>0</v>
      </c>
      <c r="D34" s="14">
        <f t="shared" si="13"/>
        <v>0</v>
      </c>
      <c r="E34" s="14">
        <f t="shared" si="13"/>
        <v>0</v>
      </c>
      <c r="F34" s="14">
        <f t="shared" si="13"/>
        <v>0</v>
      </c>
      <c r="G34" s="14">
        <f t="shared" si="13"/>
        <v>0</v>
      </c>
      <c r="H34" s="14">
        <f t="shared" si="13"/>
        <v>0</v>
      </c>
      <c r="I34" s="14">
        <f t="shared" si="13"/>
        <v>0</v>
      </c>
      <c r="J34" s="14">
        <f t="shared" si="13"/>
        <v>0</v>
      </c>
      <c r="K34" s="14">
        <f t="shared" si="13"/>
        <v>0</v>
      </c>
      <c r="L34" s="14">
        <f t="shared" si="13"/>
        <v>0</v>
      </c>
      <c r="M34" s="14">
        <f t="shared" si="13"/>
        <v>0</v>
      </c>
    </row>
    <row r="35" spans="1:13" ht="12" x14ac:dyDescent="0.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s="10" customFormat="1" ht="12" x14ac:dyDescent="0.25">
      <c r="A36" s="10" t="s">
        <v>136</v>
      </c>
      <c r="B36" s="13">
        <f>+B6+B12-B24+B29-B34</f>
        <v>6000000</v>
      </c>
      <c r="C36" s="13">
        <f t="shared" ref="C36:M36" si="14">+C6+C12-C24+C29-C34</f>
        <v>15291666.5</v>
      </c>
      <c r="D36" s="13">
        <f t="shared" si="14"/>
        <v>28142433.75</v>
      </c>
      <c r="E36" s="13">
        <f t="shared" si="14"/>
        <v>42573437.380999997</v>
      </c>
      <c r="F36" s="13">
        <f t="shared" si="14"/>
        <v>58749944.72646001</v>
      </c>
      <c r="G36" s="13">
        <f t="shared" si="14"/>
        <v>76854000.180907622</v>
      </c>
      <c r="H36" s="13">
        <f t="shared" si="14"/>
        <v>97086114.989768073</v>
      </c>
      <c r="I36" s="13">
        <f t="shared" si="14"/>
        <v>119667126.63102016</v>
      </c>
      <c r="J36" s="13">
        <f t="shared" si="14"/>
        <v>144840244.7797755</v>
      </c>
      <c r="K36" s="13">
        <f t="shared" si="14"/>
        <v>172873302.5476779</v>
      </c>
      <c r="L36" s="13">
        <f t="shared" si="14"/>
        <v>204061233.55998832</v>
      </c>
      <c r="M36" s="13">
        <f t="shared" si="14"/>
        <v>238728797.4913823</v>
      </c>
    </row>
    <row r="37" spans="1:13" ht="12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</sheetData>
  <mergeCells count="3">
    <mergeCell ref="A1:M1"/>
    <mergeCell ref="A2:M2"/>
    <mergeCell ref="A3:M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PROGRAMADOR</vt:lpstr>
      <vt:lpstr>FLUJO DE EFECTIVO</vt:lpstr>
      <vt:lpstr>PROGRAMADOR!Área_de_impresión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Ibarra</dc:creator>
  <cp:lastModifiedBy>DELL</cp:lastModifiedBy>
  <cp:lastPrinted>2024-03-18T00:17:28Z</cp:lastPrinted>
  <dcterms:created xsi:type="dcterms:W3CDTF">2024-03-17T18:11:25Z</dcterms:created>
  <dcterms:modified xsi:type="dcterms:W3CDTF">2024-04-26T23:23:31Z</dcterms:modified>
</cp:coreProperties>
</file>