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MLP\BAM\210309-BAM\Data\ent\"/>
    </mc:Choice>
  </mc:AlternateContent>
  <bookViews>
    <workbookView xWindow="12600" yWindow="225" windowWidth="12645" windowHeight="11640" firstSheet="1" activeTab="2"/>
  </bookViews>
  <sheets>
    <sheet name="Carga_datos" sheetId="21" r:id="rId1"/>
    <sheet name="Data" sheetId="1" r:id="rId2"/>
    <sheet name="MdBAM_year2" sheetId="30" r:id="rId3"/>
    <sheet name="definitions" sheetId="3" r:id="rId4"/>
    <sheet name="Matching" sheetId="29" r:id="rId5"/>
    <sheet name="MdBAM_year1" sheetId="2" r:id="rId6"/>
    <sheet name="MdBAM_year3" sheetId="31" r:id="rId7"/>
    <sheet name="MdBAM_year4" sheetId="32" r:id="rId8"/>
    <sheet name="MdBAM_year5" sheetId="33" r:id="rId9"/>
    <sheet name="MdBAM_year6" sheetId="34" r:id="rId10"/>
    <sheet name="MdBAM_year7" sheetId="35" r:id="rId11"/>
    <sheet name="MdBAM_year8" sheetId="36" r:id="rId12"/>
    <sheet name="MdBAM_year9" sheetId="37" r:id="rId13"/>
    <sheet name="MdBAM_year10" sheetId="38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F113" i="1" l="1"/>
  <c r="T28" i="30" l="1"/>
  <c r="K28" i="30"/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M368" i="1" l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U19" i="29" l="1"/>
  <c r="W35" i="33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K33" i="30"/>
  <c r="J11" i="30"/>
  <c r="J14" i="31"/>
  <c r="AG14" i="31" s="1"/>
  <c r="N29" i="31"/>
  <c r="N33" i="31" s="1"/>
  <c r="N35" i="31" s="1"/>
  <c r="K20" i="29" s="1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0" l="1"/>
  <c r="I19" i="29" s="1"/>
  <c r="V33" i="30"/>
  <c r="AG33" i="33"/>
  <c r="L35" i="31"/>
  <c r="I20" i="29" s="1"/>
  <c r="AG22" i="31"/>
  <c r="AG26" i="30"/>
  <c r="Z32" i="30"/>
  <c r="Z33" i="30" s="1"/>
  <c r="AG11" i="30"/>
  <c r="K35" i="30" s="1"/>
  <c r="H19" i="29" s="1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A35" i="2"/>
  <c r="X18" i="29" s="1"/>
  <c r="AG33" i="30" l="1"/>
  <c r="AG25" i="3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<sst xmlns="http://schemas.openxmlformats.org/spreadsheetml/2006/main" count="2670" uniqueCount="678">
  <si>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</si>
  <si>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</si>
  <si>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</si>
  <si>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</si>
  <si>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</si>
  <si>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</si>
  <si>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</si>
  <si>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</si>
  <si>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</si>
  <si>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</si>
  <si>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</si>
  <si>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</si>
  <si>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</si>
  <si>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</si>
  <si>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</si>
  <si>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</si>
  <si>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</si>
  <si>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</si>
  <si>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</si>
  <si>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</si>
  <si>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</si>
  <si>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</si>
  <si>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</si>
  <si>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</si>
  <si>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</si>
  <si>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</si>
  <si>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</si>
  <si>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</si>
  <si>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</si>
  <si>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</si>
  <si>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</si>
  <si>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</si>
  <si>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</si>
  <si>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</si>
  <si>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</si>
  <si>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</si>
  <si>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</si>
  <si>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</si>
  <si>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</si>
  <si>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</si>
  <si>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</si>
  <si>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</si>
  <si>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</si>
  <si>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</si>
  <si>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</si>
  <si>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</si>
  <si>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</si>
  <si>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</si>
  <si>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</si>
  <si>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</si>
  <si>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</si>
  <si>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</si>
  <si>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</si>
  <si>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</si>
  <si>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</si>
  <si>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</si>
  <si>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</si>
  <si>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</si>
  <si>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</si>
  <si>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</si>
  <si>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</si>
  <si>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</si>
  <si>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</si>
  <si>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</si>
  <si>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</si>
  <si>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</si>
  <si>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</si>
  <si>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</si>
  <si>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</si>
  <si>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</si>
  <si>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</si>
  <si>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</si>
  <si>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</si>
  <si>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</si>
  <si>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</si>
  <si>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</si>
  <si>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</si>
  <si>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</si>
  <si>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</si>
  <si>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</si>
  <si>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</si>
  <si>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</si>
  <si>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</si>
  <si>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</si>
  <si>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</si>
  <si>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</si>
  <si>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</si>
  <si>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</si>
  <si>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</si>
  <si>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</si>
  <si>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</si>
  <si>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</si>
  <si>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</si>
  <si>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</si>
  <si>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</si>
  <si>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</si>
  <si>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</si>
  <si>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</si>
  <si>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</si>
  <si>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</si>
  <si>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</si>
  <si>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</si>
  <si>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</si>
  <si>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</si>
  <si>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</si>
  <si>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</si>
  <si>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</si>
  <si>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</si>
  <si>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</si>
  <si>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</si>
  <si>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</si>
  <si>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</si>
  <si>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</si>
  <si>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</si>
  <si>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</si>
  <si>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</si>
  <si>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</si>
  <si>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</si>
  <si>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</si>
  <si>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</si>
  <si>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</si>
  <si>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</si>
  <si>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</si>
  <si>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</si>
  <si>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</si>
  <si>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</si>
  <si>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</si>
  <si>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</si>
  <si>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</si>
  <si>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</si>
  <si>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</si>
  <si>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</si>
  <si>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</si>
  <si>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</si>
  <si>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</si>
  <si>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</si>
  <si>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</si>
  <si>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</si>
  <si>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</si>
  <si>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</si>
  <si>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</si>
  <si>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</si>
  <si>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</si>
  <si>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</si>
  <si>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</si>
  <si>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</si>
  <si>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</si>
  <si>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</si>
  <si>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</si>
  <si>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</si>
  <si>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</si>
  <si>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</si>
  <si>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</si>
  <si>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</si>
  <si>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</si>
  <si>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</si>
  <si>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</si>
  <si>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</si>
  <si>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</si>
  <si>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</si>
  <si>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</si>
  <si>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</si>
  <si>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</si>
  <si>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</si>
  <si>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</si>
  <si>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</si>
  <si>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</si>
  <si>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</si>
  <si>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</si>
  <si>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</si>
  <si>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</si>
  <si>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</si>
  <si>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</si>
  <si>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</si>
  <si>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</si>
  <si>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</si>
  <si>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</si>
  <si>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</si>
  <si>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</si>
  <si>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</si>
  <si>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</si>
  <si>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</si>
  <si>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</si>
  <si>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</si>
  <si>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</si>
  <si>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</si>
  <si>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</si>
  <si>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</si>
  <si>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</si>
  <si>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</si>
  <si>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</si>
  <si>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</si>
  <si>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</si>
  <si>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</si>
  <si>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</si>
  <si>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</si>
  <si>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</si>
  <si>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</si>
  <si>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</si>
  <si>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</si>
  <si>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</si>
  <si>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</si>
  <si>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</si>
  <si>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</si>
  <si>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</si>
  <si>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</si>
  <si>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</si>
  <si>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</si>
  <si>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</si>
  <si>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</si>
  <si>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</si>
  <si>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</si>
  <si>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</si>
  <si>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</si>
  <si>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</si>
  <si>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</si>
  <si>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</si>
  <si>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</si>
  <si>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</si>
  <si>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</si>
  <si>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</si>
  <si>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</si>
  <si>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</si>
  <si>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</si>
  <si>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</si>
  <si>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</si>
  <si>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</si>
  <si>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</si>
  <si>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</si>
  <si>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</si>
  <si>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</si>
  <si>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</si>
  <si>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</si>
  <si>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</si>
  <si>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</si>
  <si>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</si>
  <si>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</si>
  <si>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</si>
  <si>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</si>
  <si>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</si>
  <si>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</si>
  <si>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</si>
  <si>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</si>
  <si>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</si>
  <si>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</si>
  <si>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</si>
  <si>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</si>
  <si>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</si>
  <si>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</si>
  <si>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</si>
  <si>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</si>
  <si>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</si>
  <si>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</si>
  <si>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</si>
  <si>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</si>
  <si>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</si>
  <si>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</si>
  <si>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</si>
  <si>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</si>
  <si>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</si>
  <si>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</si>
  <si>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</si>
  <si>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</si>
  <si>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</si>
  <si>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</si>
  <si>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</si>
  <si>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</si>
  <si>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</si>
  <si>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</si>
  <si>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</si>
  <si>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</si>
  <si>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</si>
  <si>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</si>
  <si>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</si>
  <si>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</si>
  <si>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</si>
  <si>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</si>
  <si>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</si>
  <si>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</si>
  <si>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</si>
  <si>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</si>
  <si>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</si>
  <si>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</si>
  <si>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</si>
  <si>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</si>
  <si>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</si>
  <si>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</si>
  <si>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</si>
  <si>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</si>
  <si>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</si>
  <si>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</si>
  <si>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</si>
  <si>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</si>
  <si>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</si>
  <si>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</si>
  <si>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</si>
  <si>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</si>
  <si>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</si>
  <si>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</si>
  <si>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</si>
  <si>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</si>
  <si>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</si>
  <si>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</si>
  <si>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</si>
  <si>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</si>
  <si>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</si>
  <si>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</si>
  <si>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</si>
  <si>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</si>
  <si>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</si>
  <si>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</si>
  <si>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</si>
  <si>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</si>
  <si>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</si>
  <si>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</si>
  <si>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</si>
  <si>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</si>
  <si>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</si>
  <si>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</si>
  <si>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</si>
  <si>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</si>
  <si>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</si>
  <si>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</si>
  <si>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</si>
  <si>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</si>
  <si>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</si>
  <si>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</si>
  <si>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</si>
  <si>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</si>
  <si>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</si>
  <si>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</si>
  <si>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</si>
  <si>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</si>
  <si>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</si>
  <si>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</si>
  <si>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</si>
  <si>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</si>
  <si>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</si>
  <si>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</si>
  <si>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</si>
  <si>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</si>
  <si>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</si>
  <si>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</si>
  <si>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</si>
  <si>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</si>
  <si>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</si>
  <si>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</si>
  <si>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</si>
  <si>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</si>
  <si>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</si>
  <si>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</si>
  <si>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</si>
  <si>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</si>
  <si>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</si>
  <si>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</si>
  <si>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</si>
  <si>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</si>
  <si>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</si>
  <si>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</si>
  <si>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</si>
  <si>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</si>
  <si>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</si>
  <si>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</si>
  <si>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</si>
  <si>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</si>
  <si>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</si>
  <si>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</si>
  <si>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</si>
  <si>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</si>
  <si>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</si>
  <si>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</si>
  <si>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</si>
  <si>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</si>
  <si>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</si>
  <si>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</si>
  <si>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</si>
  <si>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</si>
  <si>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</si>
  <si>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</si>
  <si>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</si>
  <si>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</si>
  <si>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</si>
  <si>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</si>
  <si>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</si>
  <si>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</si>
  <si>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</si>
  <si>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</si>
  <si>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</si>
  <si>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</si>
  <si>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</si>
  <si>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</si>
  <si>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</si>
  <si>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</si>
  <si>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</si>
  <si>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</si>
  <si>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</si>
  <si>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</si>
  <si>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</si>
  <si>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</si>
  <si>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</si>
  <si>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</si>
  <si>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</si>
  <si>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</si>
  <si>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</si>
  <si>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</si>
  <si>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</si>
  <si>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</si>
  <si>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</si>
  <si>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</si>
  <si>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</si>
  <si>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</si>
  <si>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</si>
  <si>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</si>
  <si>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</si>
  <si>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</si>
  <si>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</si>
  <si>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</si>
  <si>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</si>
  <si>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</si>
  <si>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</si>
  <si>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</si>
  <si>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</si>
  <si>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</si>
  <si>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</si>
  <si>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</si>
  <si>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</si>
  <si>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</si>
  <si>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</si>
  <si>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</si>
  <si>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</si>
  <si>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</si>
  <si>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</si>
  <si>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</si>
  <si>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</si>
  <si>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</si>
  <si>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</si>
  <si>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</si>
  <si>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</si>
  <si>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</si>
  <si>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</si>
  <si>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</si>
  <si>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</si>
  <si>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</si>
  <si>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</si>
  <si>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</si>
  <si>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</si>
  <si>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</si>
  <si>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</si>
  <si>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</si>
  <si>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</si>
  <si>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</si>
  <si>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</si>
  <si>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</si>
  <si>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</si>
  <si>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</si>
  <si>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</si>
  <si>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</si>
  <si>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</si>
  <si>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</si>
  <si>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</si>
  <si>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</si>
  <si>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</si>
  <si>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</si>
  <si>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</si>
  <si>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</si>
  <si>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</si>
  <si>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</si>
  <si>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</si>
  <si>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</si>
  <si>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</si>
  <si>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</si>
  <si>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</si>
  <si>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</si>
  <si>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</si>
  <si>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</si>
  <si>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</si>
  <si>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</si>
  <si>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</si>
  <si>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</si>
  <si>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</si>
  <si>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</si>
  <si>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</si>
  <si>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</si>
  <si>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</si>
  <si>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</si>
  <si>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</si>
  <si>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</si>
  <si>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</si>
  <si>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</si>
  <si>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</si>
  <si>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</si>
  <si>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</si>
  <si>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</si>
  <si>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</si>
  <si>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</si>
  <si>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</si>
  <si>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</si>
  <si>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</si>
  <si>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</si>
  <si>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</si>
  <si>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</si>
  <si>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</si>
  <si>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</si>
  <si>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</si>
  <si>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</si>
  <si>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</si>
  <si>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</si>
  <si>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</si>
  <si>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</si>
  <si>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</si>
  <si>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</si>
  <si>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</si>
  <si>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</si>
  <si>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</si>
  <si>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</si>
  <si>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</si>
  <si>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</si>
  <si>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</si>
  <si>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</si>
  <si>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</si>
  <si>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</si>
  <si>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</si>
  <si>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</si>
  <si>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</si>
  <si>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</si>
  <si>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</si>
  <si>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</si>
  <si>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</si>
  <si>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</si>
  <si>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</si>
  <si>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</si>
  <si>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</si>
  <si>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</si>
  <si>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</si>
  <si>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</si>
  <si>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</si>
  <si>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</si>
  <si>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</si>
  <si>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</si>
  <si>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</si>
  <si>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</si>
  <si>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</si>
  <si>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</si>
  <si>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</si>
  <si>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</si>
  <si>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</si>
  <si>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</si>
  <si>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</si>
  <si>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</si>
  <si>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</si>
  <si>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</si>
  <si>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</si>
  <si>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</si>
  <si>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</si>
  <si>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</si>
  <si>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</si>
  <si>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</si>
  <si>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</si>
  <si>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</si>
  <si>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</si>
  <si>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</si>
  <si>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</si>
  <si>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</si>
  <si>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</si>
  <si>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</si>
  <si>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</si>
  <si>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</si>
  <si>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</si>
  <si>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</si>
  <si>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</si>
  <si>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</si>
  <si>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</si>
  <si>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</si>
  <si>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</si>
  <si>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</si>
  <si>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</si>
  <si>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</si>
  <si>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</si>
  <si>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</si>
  <si>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</si>
  <si>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</si>
  <si>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</si>
  <si>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</si>
  <si>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</si>
  <si>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</si>
  <si>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</si>
  <si>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</si>
  <si>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</si>
  <si>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</si>
  <si>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</si>
  <si>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</si>
  <si>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</si>
  <si>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</si>
  <si>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</si>
  <si>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</si>
  <si>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</si>
  <si>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</si>
  <si>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</si>
  <si>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</si>
  <si>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</si>
  <si>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</si>
  <si>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</si>
  <si>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</si>
  <si>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</si>
  <si>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</si>
  <si>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</si>
  <si>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</si>
  <si>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</si>
  <si>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</si>
  <si>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</si>
  <si>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</si>
  <si>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</si>
  <si>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</si>
  <si>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</si>
  <si>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</si>
  <si>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</si>
  <si>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</si>
  <si>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</si>
  <si>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</si>
  <si>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</si>
  <si>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</si>
  <si>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</si>
  <si>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</si>
  <si>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</si>
  <si>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</si>
  <si>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</si>
  <si>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</si>
  <si>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</si>
  <si>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</si>
  <si>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</si>
  <si>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</si>
  <si>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</si>
  <si>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</si>
  <si>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</si>
  <si>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</si>
  <si>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</si>
  <si>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</si>
  <si>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</si>
  <si>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</si>
  <si>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</si>
  <si>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</si>
  <si>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</si>
  <si>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</si>
  <si>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</si>
  <si>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</si>
  <si>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</si>
  <si>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</si>
  <si>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</si>
  <si>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Households, non-financial &amp; financial companies</t>
  </si>
  <si>
    <t>Households, non-financial &amp; financlal companies</t>
  </si>
  <si>
    <t>9.4</t>
  </si>
  <si>
    <t>4.1.2</t>
  </si>
  <si>
    <t>12.1</t>
  </si>
  <si>
    <t>14.1</t>
  </si>
  <si>
    <t>Cost of sold merchandises &amp; Intermediate comsumption</t>
  </si>
  <si>
    <t>1.1.0</t>
  </si>
  <si>
    <t>11.1.0</t>
  </si>
  <si>
    <t>12.1.0</t>
  </si>
  <si>
    <t>13.1.0</t>
  </si>
  <si>
    <t>15.1.0</t>
  </si>
  <si>
    <t>16.1.0</t>
  </si>
  <si>
    <t>2.1.0</t>
  </si>
  <si>
    <t>3.1.0</t>
  </si>
  <si>
    <t>4.2.0</t>
  </si>
  <si>
    <t>4.3.0</t>
  </si>
  <si>
    <t>5.1.0</t>
  </si>
  <si>
    <t>6.1.0</t>
  </si>
  <si>
    <t>7.1.0</t>
  </si>
  <si>
    <t>8.1.0</t>
  </si>
  <si>
    <t>8.2.0</t>
  </si>
  <si>
    <t>8.3.0</t>
  </si>
  <si>
    <t>9.1.0</t>
  </si>
  <si>
    <t>9.2.0</t>
  </si>
  <si>
    <t>9.3.0</t>
  </si>
  <si>
    <t>10.1.0</t>
  </si>
  <si>
    <t>10.2.0</t>
  </si>
  <si>
    <t>1.2.3</t>
  </si>
  <si>
    <t>14.1.0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</si>
</sst>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7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3" fontId="5" fillId="17" borderId="5" xfId="0" applyNumberFormat="1" applyFont="1" applyFill="1" applyBorder="1" applyAlignment="1">
      <alignment horizontal="right" vertical="center"/>
    </xf>
    <xf numFmtId="3" fontId="6" fillId="17" borderId="5" xfId="0" applyNumberFormat="1" applyFont="1" applyFill="1" applyBorder="1" applyAlignment="1">
      <alignment horizontal="right" vertical="center"/>
    </xf>
    <xf numFmtId="3" fontId="6" fillId="17" borderId="0" xfId="2" applyNumberFormat="1" applyFont="1" applyFill="1" applyAlignment="1">
      <alignment vertical="center"/>
    </xf>
    <xf numFmtId="1" fontId="2" fillId="15" borderId="3" xfId="0" applyNumberFormat="1" applyFont="1" applyFill="1" applyBorder="1" applyAlignment="1" applyProtection="1">
      <alignment horizontal="left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0" xfId="0" applyFont="1" applyAlignment="1" applyProtection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3" fontId="8" fillId="8" borderId="0" xfId="2" applyNumberFormat="1" applyFont="1" applyFill="1" applyAlignment="1">
      <alignment horizontal="right" vertical="center"/>
    </xf>
    <xf numFmtId="0" fontId="5" fillId="8" borderId="0" xfId="0" applyFont="1" applyFill="1" applyAlignment="1">
      <alignment vertical="center"/>
    </xf>
    <xf numFmtId="3" fontId="6" fillId="9" borderId="20" xfId="0" applyNumberFormat="1" applyFont="1" applyFill="1" applyBorder="1" applyAlignment="1">
      <alignment horizontal="right" vertical="center"/>
    </xf>
    <xf numFmtId="3" fontId="5" fillId="9" borderId="8" xfId="0" applyNumberFormat="1" applyFont="1" applyFill="1" applyBorder="1" applyAlignment="1">
      <alignment horizontal="right" vertical="center"/>
    </xf>
    <xf numFmtId="0" fontId="6" fillId="9" borderId="0" xfId="2" applyFont="1" applyFill="1" applyAlignment="1">
      <alignment vertical="center"/>
    </xf>
    <xf numFmtId="3" fontId="5" fillId="9" borderId="5" xfId="2" applyNumberFormat="1" applyFont="1" applyFill="1" applyBorder="1" applyAlignment="1">
      <alignment horizontal="right" vertical="center"/>
    </xf>
    <xf numFmtId="3" fontId="5" fillId="9" borderId="22" xfId="0" applyNumberFormat="1" applyFont="1" applyFill="1" applyBorder="1" applyAlignment="1">
      <alignment horizontal="right" vertical="center"/>
    </xf>
    <xf numFmtId="3" fontId="6" fillId="9" borderId="11" xfId="0" applyNumberFormat="1" applyFont="1" applyFill="1" applyBorder="1" applyAlignment="1">
      <alignment horizontal="right" vertical="center"/>
    </xf>
    <xf numFmtId="3" fontId="5" fillId="9" borderId="0" xfId="2" applyNumberFormat="1" applyFont="1" applyFill="1" applyAlignment="1">
      <alignment horizontal="right" vertical="center"/>
    </xf>
    <xf numFmtId="4" fontId="8" fillId="9" borderId="0" xfId="2" applyNumberFormat="1" applyFont="1" applyFill="1" applyAlignment="1">
      <alignment horizontal="right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49" workbookViewId="0">
      <selection activeCell="E63" sqref="E63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57374.635679999999</v>
      </c>
      <c r="E2" s="332">
        <v>65130.635280000002</v>
      </c>
      <c r="F2" s="332">
        <v>69703.282000000007</v>
      </c>
      <c r="G2" s="332">
        <v>72648.040999999997</v>
      </c>
      <c r="H2" s="332">
        <v>73783.432000000001</v>
      </c>
      <c r="I2" s="332">
        <v>78167.804999999993</v>
      </c>
      <c r="J2" s="332">
        <v>92200.244999999995</v>
      </c>
      <c r="K2" s="332">
        <v>99303.092999999993</v>
      </c>
      <c r="L2" s="332">
        <v>100391.463</v>
      </c>
      <c r="M2" s="332">
        <v>94113.82</v>
      </c>
      <c r="N2" s="332">
        <v>88453.145999999993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96.130719999999997</v>
      </c>
      <c r="E3" s="332">
        <v>92.070620000000005</v>
      </c>
      <c r="F3" s="332">
        <v>64.866</v>
      </c>
      <c r="G3" s="332">
        <v>153.34700000000001</v>
      </c>
      <c r="H3" s="332">
        <v>138.71799999999999</v>
      </c>
      <c r="I3" s="332">
        <v>297.26499999999999</v>
      </c>
      <c r="J3" s="332">
        <v>226.43199999999999</v>
      </c>
      <c r="K3" s="332">
        <v>205.27699999999999</v>
      </c>
      <c r="L3" s="332">
        <v>176.941</v>
      </c>
      <c r="M3" s="332">
        <v>182.74</v>
      </c>
      <c r="N3" s="332">
        <v>145.84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57268.805760000003</v>
      </c>
      <c r="E4" s="332">
        <v>64198.044520000003</v>
      </c>
      <c r="F4" s="332">
        <v>67004.712</v>
      </c>
      <c r="G4" s="332">
        <v>70794.648000000001</v>
      </c>
      <c r="H4" s="332">
        <v>70045.483999999997</v>
      </c>
      <c r="I4" s="332">
        <v>68886.202999999994</v>
      </c>
      <c r="J4" s="332">
        <v>76132.525999999998</v>
      </c>
      <c r="K4" s="332">
        <v>84265.834000000003</v>
      </c>
      <c r="L4" s="332">
        <v>85188.842999999993</v>
      </c>
      <c r="M4" s="332">
        <v>82635.625</v>
      </c>
      <c r="N4" s="332">
        <v>78473.051000000007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3">
        <v>0</v>
      </c>
      <c r="M6" s="333">
        <v>0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9.6991999999999994</v>
      </c>
      <c r="E7" s="332">
        <v>39.699199999999998</v>
      </c>
      <c r="F7" s="332">
        <v>10.935</v>
      </c>
      <c r="G7" s="332">
        <v>10.935</v>
      </c>
      <c r="H7" s="332">
        <v>2171.9850000000001</v>
      </c>
      <c r="I7" s="332">
        <v>7567.0280000000002</v>
      </c>
      <c r="J7" s="332">
        <v>13456.644</v>
      </c>
      <c r="K7" s="332">
        <v>12875.571</v>
      </c>
      <c r="L7" s="332">
        <v>10877.58</v>
      </c>
      <c r="M7" s="332">
        <v>8108.4059999999999</v>
      </c>
      <c r="N7" s="332">
        <v>6311.6760000000004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2">
        <v>800.82093999999995</v>
      </c>
      <c r="F8" s="332">
        <v>2622.7689999999998</v>
      </c>
      <c r="G8" s="332">
        <v>1689.1110000000001</v>
      </c>
      <c r="H8" s="332">
        <v>1427.2449999999999</v>
      </c>
      <c r="I8" s="332">
        <v>1417.309</v>
      </c>
      <c r="J8" s="332">
        <v>2384.643</v>
      </c>
      <c r="K8" s="332">
        <v>1956.4110000000001</v>
      </c>
      <c r="L8" s="332">
        <v>4148.0990000000002</v>
      </c>
      <c r="M8" s="332">
        <v>3187.049</v>
      </c>
      <c r="N8" s="332">
        <v>3522.5790000000002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23283.099969999999</v>
      </c>
      <c r="E10" s="332">
        <v>19027.617289999998</v>
      </c>
      <c r="F10" s="332">
        <v>20082.201000000001</v>
      </c>
      <c r="G10" s="332">
        <v>16744.784</v>
      </c>
      <c r="H10" s="332">
        <v>17651.239000000001</v>
      </c>
      <c r="I10" s="332">
        <v>36577.815000000002</v>
      </c>
      <c r="J10" s="332">
        <v>35481.709000000003</v>
      </c>
      <c r="K10" s="332">
        <v>40328.981</v>
      </c>
      <c r="L10" s="332">
        <v>38753.353000000003</v>
      </c>
      <c r="M10" s="332">
        <v>42028.182999999997</v>
      </c>
      <c r="N10" s="332">
        <v>47192.760999999999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628.84208000000001</v>
      </c>
      <c r="E12" s="332">
        <v>507.76866999999999</v>
      </c>
      <c r="F12" s="332">
        <v>549.29600000000005</v>
      </c>
      <c r="G12" s="332">
        <v>450.53300000000002</v>
      </c>
      <c r="H12" s="332">
        <v>529.05499999999995</v>
      </c>
      <c r="I12" s="332">
        <v>845.79</v>
      </c>
      <c r="J12" s="332">
        <v>947.42700000000002</v>
      </c>
      <c r="K12" s="332">
        <v>962.03700000000003</v>
      </c>
      <c r="L12" s="332">
        <v>991.38900000000001</v>
      </c>
      <c r="M12" s="332">
        <v>907.16499999999996</v>
      </c>
      <c r="N12" s="332">
        <v>867.08600000000001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357.03259000000003</v>
      </c>
      <c r="E13" s="332">
        <v>198.31879000000001</v>
      </c>
      <c r="F13" s="332">
        <v>151.33260999999999</v>
      </c>
      <c r="G13" s="332">
        <v>125.869</v>
      </c>
      <c r="H13" s="332">
        <v>137.94200000000001</v>
      </c>
      <c r="I13" s="332">
        <v>216.13800000000001</v>
      </c>
      <c r="J13" s="332">
        <v>183.63900000000001</v>
      </c>
      <c r="K13" s="332">
        <v>174.44200000000001</v>
      </c>
      <c r="L13" s="332">
        <v>168.346</v>
      </c>
      <c r="M13" s="332">
        <v>50.564999999999998</v>
      </c>
      <c r="N13" s="332">
        <v>48.261000000000003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268.80948999999998</v>
      </c>
      <c r="E14" s="332">
        <v>306.44988000000001</v>
      </c>
      <c r="F14" s="332">
        <v>394.65638000000001</v>
      </c>
      <c r="G14" s="332">
        <v>321.35700000000003</v>
      </c>
      <c r="H14" s="332">
        <v>293.38799999999998</v>
      </c>
      <c r="I14" s="332">
        <v>624.34500000000003</v>
      </c>
      <c r="J14" s="332">
        <v>732.80799999999999</v>
      </c>
      <c r="K14" s="332">
        <v>784.59500000000003</v>
      </c>
      <c r="L14" s="332">
        <v>820.04300000000001</v>
      </c>
      <c r="M14" s="332">
        <v>853.6</v>
      </c>
      <c r="N14" s="332">
        <v>815.82500000000005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>
        <v>3</v>
      </c>
      <c r="E18" s="332">
        <v>3</v>
      </c>
      <c r="F18" s="332">
        <v>3.30701</v>
      </c>
      <c r="G18" s="332">
        <v>3.3069999999999999</v>
      </c>
      <c r="H18" s="332">
        <v>97.724999999999994</v>
      </c>
      <c r="I18" s="332">
        <v>5.3070000000000004</v>
      </c>
      <c r="J18" s="332">
        <v>30.98</v>
      </c>
      <c r="K18" s="332">
        <v>3</v>
      </c>
      <c r="L18" s="332">
        <v>3</v>
      </c>
      <c r="M18" s="332">
        <v>3</v>
      </c>
      <c r="N18" s="332">
        <v>3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8771.7307799999999</v>
      </c>
      <c r="E19" s="332">
        <v>11283.92028</v>
      </c>
      <c r="F19" s="332">
        <v>12094.334999999999</v>
      </c>
      <c r="G19" s="332">
        <v>9654.1080000000002</v>
      </c>
      <c r="H19" s="332">
        <v>10980.444</v>
      </c>
      <c r="I19" s="332">
        <v>22012.15</v>
      </c>
      <c r="J19" s="332">
        <v>20222.155999999999</v>
      </c>
      <c r="K19" s="332">
        <v>18668.761999999999</v>
      </c>
      <c r="L19" s="332">
        <v>22767.924999999999</v>
      </c>
      <c r="M19" s="332">
        <v>27714.591</v>
      </c>
      <c r="N19" s="332">
        <v>29739.577000000001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7528.1125599999996</v>
      </c>
      <c r="E20" s="332">
        <v>4481.8975200000004</v>
      </c>
      <c r="F20" s="332">
        <v>6089.527</v>
      </c>
      <c r="G20" s="332">
        <v>4033.8150000000001</v>
      </c>
      <c r="H20" s="332">
        <v>4183.7780000000002</v>
      </c>
      <c r="I20" s="332">
        <v>6638.4610000000002</v>
      </c>
      <c r="J20" s="332">
        <v>5066.7430000000004</v>
      </c>
      <c r="K20" s="332">
        <v>11513.634</v>
      </c>
      <c r="L20" s="332">
        <v>879.61300000000006</v>
      </c>
      <c r="M20" s="332">
        <v>7897.9610000000002</v>
      </c>
      <c r="N20" s="332">
        <v>8175.2020000000002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4004.8501500000002</v>
      </c>
      <c r="E21" s="332">
        <v>95.423029999999997</v>
      </c>
      <c r="F21" s="332">
        <v>47.594999999999999</v>
      </c>
      <c r="G21" s="332">
        <v>47.692</v>
      </c>
      <c r="H21" s="332">
        <v>18.949000000000002</v>
      </c>
      <c r="I21" s="332">
        <v>718.25400000000002</v>
      </c>
      <c r="J21" s="332">
        <v>1162.7429999999999</v>
      </c>
      <c r="K21" s="332">
        <v>1612.8030000000001</v>
      </c>
      <c r="L21" s="332">
        <v>2092.4450000000002</v>
      </c>
      <c r="M21" s="332">
        <v>1434.7840000000001</v>
      </c>
      <c r="N21" s="332">
        <v>556.572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156.41855000000001</v>
      </c>
      <c r="E22" s="332">
        <v>149.62995000000001</v>
      </c>
      <c r="F22" s="332">
        <v>146.511</v>
      </c>
      <c r="G22" s="332">
        <v>319.61</v>
      </c>
      <c r="H22" s="332">
        <v>1098.2260000000001</v>
      </c>
      <c r="I22" s="332">
        <v>3421.0810000000001</v>
      </c>
      <c r="J22" s="332">
        <v>3063.0070000000001</v>
      </c>
      <c r="K22" s="332">
        <v>2917.998</v>
      </c>
      <c r="L22" s="332">
        <v>2538.3510000000001</v>
      </c>
      <c r="M22" s="332">
        <v>1818.98</v>
      </c>
      <c r="N22" s="332">
        <v>6008.915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2193.1458499999999</v>
      </c>
      <c r="E23" s="332">
        <v>2508.97784</v>
      </c>
      <c r="F23" s="332">
        <v>1154.9369999999999</v>
      </c>
      <c r="G23" s="332">
        <v>2239.0259999999998</v>
      </c>
      <c r="H23" s="332">
        <v>840.78700000000003</v>
      </c>
      <c r="I23" s="332">
        <v>2942.0790000000002</v>
      </c>
      <c r="J23" s="332">
        <v>5019.6329999999998</v>
      </c>
      <c r="K23" s="332">
        <v>4653.7470000000003</v>
      </c>
      <c r="L23" s="332">
        <v>9483.6299999999992</v>
      </c>
      <c r="M23" s="332">
        <v>2254.7020000000002</v>
      </c>
      <c r="N23" s="332">
        <v>1845.4090000000001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80657.735650000002</v>
      </c>
      <c r="E24" s="332">
        <v>84158.252569999997</v>
      </c>
      <c r="F24" s="332">
        <v>89785.482999999993</v>
      </c>
      <c r="G24" s="332">
        <v>89392.824999999997</v>
      </c>
      <c r="H24" s="332">
        <v>91434.671000000002</v>
      </c>
      <c r="I24" s="332">
        <v>114745.62</v>
      </c>
      <c r="J24" s="332">
        <v>127681.954</v>
      </c>
      <c r="K24" s="332">
        <v>139632.07399999999</v>
      </c>
      <c r="L24" s="332">
        <v>139144.81599999999</v>
      </c>
      <c r="M24" s="332">
        <v>136142.003</v>
      </c>
      <c r="N24" s="332">
        <v>135645.90700000001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62629.744019999998</v>
      </c>
      <c r="E25" s="332">
        <v>64411.640149999999</v>
      </c>
      <c r="F25" s="332">
        <v>66741.562999999995</v>
      </c>
      <c r="G25" s="332">
        <v>65915.407000000007</v>
      </c>
      <c r="H25" s="332">
        <v>65612.22</v>
      </c>
      <c r="I25" s="332">
        <v>66503.078999999998</v>
      </c>
      <c r="J25" s="332">
        <v>68437.41</v>
      </c>
      <c r="K25" s="332">
        <v>70590.937000000005</v>
      </c>
      <c r="L25" s="332">
        <v>78379.691000000006</v>
      </c>
      <c r="M25" s="332">
        <v>92897.543999999994</v>
      </c>
      <c r="N25" s="332">
        <v>93600.516000000003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62407.491529999999</v>
      </c>
      <c r="E26" s="332">
        <v>64244.186139999998</v>
      </c>
      <c r="F26" s="332">
        <v>66532.659</v>
      </c>
      <c r="G26" s="332">
        <v>65751.514999999999</v>
      </c>
      <c r="H26" s="332">
        <v>65436.337</v>
      </c>
      <c r="I26" s="332">
        <v>66344.354000000007</v>
      </c>
      <c r="J26" s="332">
        <v>68290.899999999994</v>
      </c>
      <c r="K26" s="332">
        <v>70478.508000000002</v>
      </c>
      <c r="L26" s="332">
        <v>78282.668999999994</v>
      </c>
      <c r="M26" s="332">
        <v>91938.43</v>
      </c>
      <c r="N26" s="332">
        <v>93463.31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319.67189999999999</v>
      </c>
      <c r="E27" s="332">
        <v>319.67189999999999</v>
      </c>
      <c r="F27" s="332">
        <v>319.67200000000003</v>
      </c>
      <c r="G27" s="332">
        <v>319.67200000000003</v>
      </c>
      <c r="H27" s="332">
        <v>319.67200000000003</v>
      </c>
      <c r="I27" s="332">
        <v>319.67200000000003</v>
      </c>
      <c r="J27" s="332">
        <v>319.67200000000003</v>
      </c>
      <c r="K27" s="332">
        <v>319.67189999999999</v>
      </c>
      <c r="L27" s="332">
        <v>358.01600000000002</v>
      </c>
      <c r="M27" s="332">
        <v>358.01569999999998</v>
      </c>
      <c r="N27" s="332">
        <v>358.01569999999998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7615.1823199999999</v>
      </c>
      <c r="E28" s="332">
        <v>7615.1823199999999</v>
      </c>
      <c r="F28" s="332">
        <v>7615.1819999999998</v>
      </c>
      <c r="G28" s="332">
        <v>7615.1819999999998</v>
      </c>
      <c r="H28" s="332">
        <v>7615.1819999999998</v>
      </c>
      <c r="I28" s="332">
        <v>7615.1819999999998</v>
      </c>
      <c r="J28" s="332">
        <v>7615.1819999999998</v>
      </c>
      <c r="K28" s="332">
        <v>7615.1819999999998</v>
      </c>
      <c r="L28" s="332">
        <v>7615.1819999999998</v>
      </c>
      <c r="M28" s="332">
        <v>7615.1823000000004</v>
      </c>
      <c r="N28" s="332">
        <v>7615.1819999999998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53588.206559999999</v>
      </c>
      <c r="E29" s="332">
        <v>54472.637309999998</v>
      </c>
      <c r="F29" s="332">
        <v>56309.332000000002</v>
      </c>
      <c r="G29" s="332">
        <v>58597.805</v>
      </c>
      <c r="H29" s="332">
        <v>58597.805</v>
      </c>
      <c r="I29" s="332">
        <v>58597.805</v>
      </c>
      <c r="J29" s="332">
        <v>59505.822</v>
      </c>
      <c r="K29" s="332">
        <v>61452.366099999999</v>
      </c>
      <c r="L29" s="332">
        <v>66386.001999999993</v>
      </c>
      <c r="M29" s="332">
        <v>71405.792000000001</v>
      </c>
      <c r="N29" s="332">
        <v>85061.556299999997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3">
        <v>0</v>
      </c>
      <c r="H31" s="332">
        <v>-781.14400000000001</v>
      </c>
      <c r="I31" s="332">
        <v>-1096.3219999999999</v>
      </c>
      <c r="J31" s="332">
        <v>-1096.3219999999999</v>
      </c>
      <c r="K31" s="332">
        <v>-1096.3219999999999</v>
      </c>
      <c r="L31" s="332">
        <v>-1096.3219999999999</v>
      </c>
      <c r="M31" s="332">
        <v>-1096.3219999999999</v>
      </c>
      <c r="N31" s="332">
        <v>-1096.3219999999999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3">
        <v>0</v>
      </c>
      <c r="H33" s="332">
        <v>-781.14400000000001</v>
      </c>
      <c r="I33" s="332">
        <v>-1096.3219999999999</v>
      </c>
      <c r="J33" s="332">
        <v>-1096.3219999999999</v>
      </c>
      <c r="K33" s="332">
        <v>-1096.3219999999999</v>
      </c>
      <c r="L33" s="332">
        <v>-1096.3219999999999</v>
      </c>
      <c r="M33" s="332">
        <v>-1096.3219999999999</v>
      </c>
      <c r="N33" s="332">
        <v>-1096.3219999999999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884.43074999999999</v>
      </c>
      <c r="E35" s="332">
        <v>1836.69461</v>
      </c>
      <c r="F35" s="332">
        <v>2288.473</v>
      </c>
      <c r="G35" s="332">
        <v>-781.14400000000001</v>
      </c>
      <c r="H35" s="332">
        <v>-315.178</v>
      </c>
      <c r="I35" s="332">
        <v>908.01700000000005</v>
      </c>
      <c r="J35" s="332">
        <v>1946.546</v>
      </c>
      <c r="K35" s="332">
        <v>2187.61</v>
      </c>
      <c r="L35" s="332">
        <v>5019.7910000000002</v>
      </c>
      <c r="M35" s="332">
        <v>13655.762000000001</v>
      </c>
      <c r="N35" s="332">
        <v>1524.8779999999999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222.25248999999999</v>
      </c>
      <c r="E39" s="332">
        <v>167.45401000000001</v>
      </c>
      <c r="F39" s="332">
        <v>208.904</v>
      </c>
      <c r="G39" s="332">
        <v>163.892</v>
      </c>
      <c r="H39" s="332">
        <v>175.88300000000001</v>
      </c>
      <c r="I39" s="332">
        <v>158.72499999999999</v>
      </c>
      <c r="J39" s="332">
        <v>146.51</v>
      </c>
      <c r="K39" s="332">
        <v>112.429</v>
      </c>
      <c r="L39" s="332">
        <v>97.022000000000006</v>
      </c>
      <c r="M39" s="332">
        <v>959.11400000000003</v>
      </c>
      <c r="N39" s="332">
        <v>137.20599999999999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1097.50577</v>
      </c>
      <c r="E40" s="332">
        <v>1947.3655699999999</v>
      </c>
      <c r="F40" s="332">
        <v>1953.471</v>
      </c>
      <c r="G40" s="332">
        <v>1662.787</v>
      </c>
      <c r="H40" s="332">
        <v>3222.4879999999998</v>
      </c>
      <c r="I40" s="332">
        <v>8238.6419999999998</v>
      </c>
      <c r="J40" s="332">
        <v>14977.009</v>
      </c>
      <c r="K40" s="332">
        <v>15911.86</v>
      </c>
      <c r="L40" s="332">
        <v>13446.557000000001</v>
      </c>
      <c r="M40" s="332">
        <v>5158.3680000000004</v>
      </c>
      <c r="N40" s="332">
        <v>2775.319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1061.3583599999999</v>
      </c>
      <c r="E41" s="332">
        <v>1110.21236</v>
      </c>
      <c r="F41" s="332">
        <v>657.38900000000001</v>
      </c>
      <c r="G41" s="332">
        <v>733.66</v>
      </c>
      <c r="H41" s="332">
        <v>677.87199999999996</v>
      </c>
      <c r="I41" s="332">
        <v>652.61300000000006</v>
      </c>
      <c r="J41" s="332">
        <v>608.529</v>
      </c>
      <c r="K41" s="332">
        <v>817.34</v>
      </c>
      <c r="L41" s="332">
        <v>5895.8770000000004</v>
      </c>
      <c r="M41" s="332">
        <v>805.71</v>
      </c>
      <c r="N41" s="332">
        <v>1047.1389999999999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36.147410000000001</v>
      </c>
      <c r="E42" s="332">
        <v>837.15320999999994</v>
      </c>
      <c r="F42" s="332">
        <v>1296.0820000000001</v>
      </c>
      <c r="G42" s="332">
        <v>929.12699999999995</v>
      </c>
      <c r="H42" s="332">
        <v>544.61500000000001</v>
      </c>
      <c r="I42" s="332">
        <v>186.029</v>
      </c>
      <c r="J42" s="332">
        <v>68.48</v>
      </c>
      <c r="K42" s="333">
        <v>0</v>
      </c>
      <c r="L42" s="332">
        <v>3700.68</v>
      </c>
      <c r="M42" s="332">
        <v>2710.1579999999999</v>
      </c>
      <c r="N42" s="332">
        <v>1705.68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2">
        <v>2000.001</v>
      </c>
      <c r="I43" s="332">
        <v>7400</v>
      </c>
      <c r="J43" s="332">
        <v>14300</v>
      </c>
      <c r="K43" s="332">
        <v>15094.52</v>
      </c>
      <c r="L43" s="332">
        <v>3850</v>
      </c>
      <c r="M43" s="332">
        <v>1350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3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  <c r="M44" s="332">
        <v>292.5</v>
      </c>
      <c r="N44" s="332">
        <v>22.5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16930.485860000001</v>
      </c>
      <c r="E48" s="332">
        <v>17799.24685</v>
      </c>
      <c r="F48" s="332">
        <v>21090.449000000001</v>
      </c>
      <c r="G48" s="332">
        <v>21814.631000000001</v>
      </c>
      <c r="H48" s="332">
        <v>22599.963</v>
      </c>
      <c r="I48" s="332">
        <v>40003.898999999998</v>
      </c>
      <c r="J48" s="332">
        <v>44267.535000000003</v>
      </c>
      <c r="K48" s="332">
        <v>53129.277000000002</v>
      </c>
      <c r="L48" s="332">
        <v>47318.567999999999</v>
      </c>
      <c r="M48" s="332">
        <v>38086.091</v>
      </c>
      <c r="N48" s="332">
        <v>39270.072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2">
        <v>50</v>
      </c>
      <c r="L50" s="332">
        <v>1143.1079999999999</v>
      </c>
      <c r="M50" s="332">
        <v>50</v>
      </c>
      <c r="N50" s="332">
        <v>217.309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1656.1705099999999</v>
      </c>
      <c r="E51" s="332">
        <v>928.8614</v>
      </c>
      <c r="F51" s="332">
        <v>1616.777</v>
      </c>
      <c r="G51" s="332">
        <v>4729.3040000000001</v>
      </c>
      <c r="H51" s="332">
        <v>1610.1320000000001</v>
      </c>
      <c r="I51" s="332">
        <v>1153.1849999999999</v>
      </c>
      <c r="J51" s="332">
        <v>2406.3519999999999</v>
      </c>
      <c r="K51" s="332">
        <v>5349.4709999999995</v>
      </c>
      <c r="L51" s="332">
        <v>4679.7479999999996</v>
      </c>
      <c r="M51" s="332">
        <v>3263.0509999999999</v>
      </c>
      <c r="N51" s="332">
        <v>4000.0129999999999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7564.8919299999998</v>
      </c>
      <c r="E52" s="332">
        <v>7463.3360599999996</v>
      </c>
      <c r="F52" s="332">
        <v>6767.5209999999997</v>
      </c>
      <c r="G52" s="332">
        <v>5620.6229999999996</v>
      </c>
      <c r="H52" s="332">
        <v>8161.201</v>
      </c>
      <c r="I52" s="332">
        <v>16659.608</v>
      </c>
      <c r="J52" s="332">
        <v>13949.232</v>
      </c>
      <c r="K52" s="332">
        <v>18266.02</v>
      </c>
      <c r="L52" s="332">
        <v>18442.394</v>
      </c>
      <c r="M52" s="332">
        <v>9960.99</v>
      </c>
      <c r="N52" s="332">
        <v>12141.993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7709.4234200000001</v>
      </c>
      <c r="E53" s="332">
        <v>9407.0493900000001</v>
      </c>
      <c r="F53" s="332">
        <v>12706.151</v>
      </c>
      <c r="G53" s="332">
        <v>11464.704</v>
      </c>
      <c r="H53" s="332">
        <v>12828.63</v>
      </c>
      <c r="I53" s="332">
        <v>22191.106</v>
      </c>
      <c r="J53" s="332">
        <v>27911.951000000001</v>
      </c>
      <c r="K53" s="332">
        <v>29463.786</v>
      </c>
      <c r="L53" s="332">
        <v>23053.317999999999</v>
      </c>
      <c r="M53" s="332">
        <v>23486.409</v>
      </c>
      <c r="N53" s="332">
        <v>21732.047999999999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2">
        <v>1325.6410000000001</v>
      </c>
      <c r="N54" s="332">
        <v>1178.7090000000001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80657.735650000002</v>
      </c>
      <c r="E56" s="332">
        <v>84158.252569999997</v>
      </c>
      <c r="F56" s="332">
        <v>89785.482999999993</v>
      </c>
      <c r="G56" s="332">
        <v>89392.824999999997</v>
      </c>
      <c r="H56" s="332">
        <v>91434.671000000002</v>
      </c>
      <c r="I56" s="332">
        <v>114745.62</v>
      </c>
      <c r="J56" s="332">
        <v>127681.954</v>
      </c>
      <c r="K56" s="332">
        <v>139632.07399999999</v>
      </c>
      <c r="L56" s="332">
        <v>139144.81599999999</v>
      </c>
      <c r="M56" s="332">
        <v>136142.003</v>
      </c>
      <c r="N56" s="332">
        <v>135645.90700000001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24703.985840000001</v>
      </c>
      <c r="E57" s="332">
        <v>37813.083270000003</v>
      </c>
      <c r="F57" s="332">
        <v>36300.538999999997</v>
      </c>
      <c r="G57" s="332">
        <v>39331.737999999998</v>
      </c>
      <c r="H57" s="332">
        <v>41795.188999999998</v>
      </c>
      <c r="I57" s="332">
        <v>67367.255000000005</v>
      </c>
      <c r="J57" s="332">
        <v>88055.812999999995</v>
      </c>
      <c r="K57" s="332">
        <v>102784.391</v>
      </c>
      <c r="L57" s="332">
        <v>112182.609</v>
      </c>
      <c r="M57" s="332">
        <v>120117.558</v>
      </c>
      <c r="N57" s="332">
        <v>119042.094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1906.98774</v>
      </c>
      <c r="E58" s="332">
        <v>2511.06367</v>
      </c>
      <c r="F58" s="332">
        <v>1766.165</v>
      </c>
      <c r="G58" s="332">
        <v>1390.92</v>
      </c>
      <c r="H58" s="332">
        <v>1312.201</v>
      </c>
      <c r="I58" s="332">
        <v>2592.3829999999998</v>
      </c>
      <c r="J58" s="332">
        <v>2334.924</v>
      </c>
      <c r="K58" s="332">
        <v>1786.838</v>
      </c>
      <c r="L58" s="332">
        <v>1899.999</v>
      </c>
      <c r="M58" s="332">
        <v>954.13900000000001</v>
      </c>
      <c r="N58" s="332">
        <v>843.51900000000001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22796.998100000001</v>
      </c>
      <c r="E59" s="332">
        <v>35302.0196</v>
      </c>
      <c r="F59" s="332">
        <v>34534.374000000003</v>
      </c>
      <c r="G59" s="332">
        <v>37940.817999999999</v>
      </c>
      <c r="H59" s="332">
        <v>40482.987999999998</v>
      </c>
      <c r="I59" s="332">
        <v>64774.872000000003</v>
      </c>
      <c r="J59" s="332">
        <v>85720.888999999996</v>
      </c>
      <c r="K59" s="332">
        <v>100997.553</v>
      </c>
      <c r="L59" s="332">
        <v>110282.61</v>
      </c>
      <c r="M59" s="332">
        <v>119163.41899999999</v>
      </c>
      <c r="N59" s="332">
        <v>118198.575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-5101.7333600000002</v>
      </c>
      <c r="E63" s="332">
        <v>-7680.7102400000003</v>
      </c>
      <c r="F63" s="332">
        <v>-7881.9219999999996</v>
      </c>
      <c r="G63" s="332">
        <v>-9584.3150000000005</v>
      </c>
      <c r="H63" s="332">
        <v>-9728.5400000000009</v>
      </c>
      <c r="I63" s="332">
        <v>-17514.486000000001</v>
      </c>
      <c r="J63" s="332">
        <v>-24237.631000000001</v>
      </c>
      <c r="K63" s="332">
        <v>-26624.899000000001</v>
      </c>
      <c r="L63" s="332">
        <v>-28775.249</v>
      </c>
      <c r="M63" s="332">
        <v>-29720.755000000001</v>
      </c>
      <c r="N63" s="332">
        <v>-28120.536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-1152.04179</v>
      </c>
      <c r="E64" s="332">
        <v>-1643.2539999999999</v>
      </c>
      <c r="F64" s="332">
        <v>-1147.8779999999999</v>
      </c>
      <c r="G64" s="332">
        <v>-890.42899999999997</v>
      </c>
      <c r="H64" s="332">
        <v>-915.79100000000005</v>
      </c>
      <c r="I64" s="332">
        <v>-1514.2059999999999</v>
      </c>
      <c r="J64" s="332">
        <v>-962.94200000000001</v>
      </c>
      <c r="K64" s="332">
        <v>-1202.019</v>
      </c>
      <c r="L64" s="332">
        <v>-1096.4490000000001</v>
      </c>
      <c r="M64" s="332">
        <v>-507.98500000000001</v>
      </c>
      <c r="N64" s="332">
        <v>-361.78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-3480.3180400000001</v>
      </c>
      <c r="E65" s="332">
        <v>-5412.6409999999996</v>
      </c>
      <c r="F65" s="332">
        <v>-6132.31</v>
      </c>
      <c r="G65" s="332">
        <v>-8017.3729999999996</v>
      </c>
      <c r="H65" s="332">
        <v>-8131.7860000000001</v>
      </c>
      <c r="I65" s="332">
        <v>-14134.563</v>
      </c>
      <c r="J65" s="332">
        <v>-18916.219000000001</v>
      </c>
      <c r="K65" s="332">
        <v>-20332.822</v>
      </c>
      <c r="L65" s="332">
        <v>-22144.109</v>
      </c>
      <c r="M65" s="332">
        <v>-23267.477999999999</v>
      </c>
      <c r="N65" s="332">
        <v>-22386.896000000001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2">
        <v>-469.37353000000002</v>
      </c>
      <c r="E66" s="332">
        <v>-624.81524000000002</v>
      </c>
      <c r="F66" s="332">
        <v>-601.73400000000004</v>
      </c>
      <c r="G66" s="332">
        <v>-676.51300000000003</v>
      </c>
      <c r="H66" s="332">
        <v>-680.96299999999997</v>
      </c>
      <c r="I66" s="332">
        <v>-1865.7170000000001</v>
      </c>
      <c r="J66" s="332">
        <v>-4358.47</v>
      </c>
      <c r="K66" s="332">
        <v>-5090.058</v>
      </c>
      <c r="L66" s="332">
        <v>-5534.6909999999998</v>
      </c>
      <c r="M66" s="332">
        <v>-5945.2920000000004</v>
      </c>
      <c r="N66" s="332">
        <v>-5371.86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498.16557</v>
      </c>
      <c r="E68" s="332">
        <v>711.67534999999998</v>
      </c>
      <c r="F68" s="332">
        <v>608.27800000000002</v>
      </c>
      <c r="G68" s="332">
        <v>613.654</v>
      </c>
      <c r="H68" s="332">
        <v>715.12199999999996</v>
      </c>
      <c r="I68" s="332">
        <v>1470.8610000000001</v>
      </c>
      <c r="J68" s="332">
        <v>1443.327</v>
      </c>
      <c r="K68" s="332">
        <v>1585.8240000000001</v>
      </c>
      <c r="L68" s="332">
        <v>1766.6890000000001</v>
      </c>
      <c r="M68" s="332">
        <v>1902.6310000000001</v>
      </c>
      <c r="N68" s="332">
        <v>1986.328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498.16557</v>
      </c>
      <c r="E69" s="332">
        <v>706.49748999999997</v>
      </c>
      <c r="F69" s="332">
        <v>608.27800000000002</v>
      </c>
      <c r="G69" s="332">
        <v>613.654</v>
      </c>
      <c r="H69" s="332">
        <v>715.12199999999996</v>
      </c>
      <c r="I69" s="332">
        <v>1470.8610000000001</v>
      </c>
      <c r="J69" s="332">
        <v>1443.327</v>
      </c>
      <c r="K69" s="332">
        <v>1585.8240000000001</v>
      </c>
      <c r="L69" s="332">
        <v>1766.6890000000001</v>
      </c>
      <c r="M69" s="332">
        <v>1902.6310000000001</v>
      </c>
      <c r="N69" s="332">
        <v>1986.328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2">
        <v>5.1778599999999999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-11004.23847</v>
      </c>
      <c r="E71" s="332">
        <v>-16206.770409999999</v>
      </c>
      <c r="F71" s="332">
        <v>-15602.134</v>
      </c>
      <c r="G71" s="332">
        <v>-17461.710999999999</v>
      </c>
      <c r="H71" s="332">
        <v>-18450.312000000002</v>
      </c>
      <c r="I71" s="332">
        <v>-27282.207999999999</v>
      </c>
      <c r="J71" s="332">
        <v>-32969.46</v>
      </c>
      <c r="K71" s="332">
        <v>-37859.114000000001</v>
      </c>
      <c r="L71" s="332">
        <v>-41028.940999999999</v>
      </c>
      <c r="M71" s="332">
        <v>-42121.968000000001</v>
      </c>
      <c r="N71" s="332">
        <v>-44595.915000000001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-8406.1776699999991</v>
      </c>
      <c r="E72" s="332">
        <v>-12406.13609</v>
      </c>
      <c r="F72" s="332">
        <v>-11887.299000000001</v>
      </c>
      <c r="G72" s="332">
        <v>-13275.573</v>
      </c>
      <c r="H72" s="332">
        <v>-14239.296</v>
      </c>
      <c r="I72" s="332">
        <v>-20737.255000000001</v>
      </c>
      <c r="J72" s="332">
        <v>-24532.16</v>
      </c>
      <c r="K72" s="332">
        <v>-28219.615000000002</v>
      </c>
      <c r="L72" s="332">
        <v>-30969.643</v>
      </c>
      <c r="M72" s="332">
        <v>-31467.655999999999</v>
      </c>
      <c r="N72" s="332">
        <v>-33011.864999999998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-2598.0608000000002</v>
      </c>
      <c r="E73" s="332">
        <v>-3744.6343200000001</v>
      </c>
      <c r="F73" s="332">
        <v>-3610.0169999999998</v>
      </c>
      <c r="G73" s="332">
        <v>-4137.6409999999996</v>
      </c>
      <c r="H73" s="332">
        <v>-4211.0159999999996</v>
      </c>
      <c r="I73" s="332">
        <v>-6522.09</v>
      </c>
      <c r="J73" s="332">
        <v>-8437.2999999999993</v>
      </c>
      <c r="K73" s="332">
        <v>-9639.4989999999998</v>
      </c>
      <c r="L73" s="332">
        <v>-10059.298000000001</v>
      </c>
      <c r="M73" s="332">
        <v>-10654.312</v>
      </c>
      <c r="N73" s="332">
        <v>-11584.05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2">
        <v>-56</v>
      </c>
      <c r="F74" s="332">
        <v>-104.818</v>
      </c>
      <c r="G74" s="332">
        <v>-48.497</v>
      </c>
      <c r="H74" s="333">
        <v>0</v>
      </c>
      <c r="I74" s="332">
        <v>-22.863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-5980.9210999999996</v>
      </c>
      <c r="E75" s="332">
        <v>-8902.0658199999998</v>
      </c>
      <c r="F75" s="332">
        <v>-7772.7539999999999</v>
      </c>
      <c r="G75" s="332">
        <v>-7794.1530000000002</v>
      </c>
      <c r="H75" s="332">
        <v>-9242.7189999999991</v>
      </c>
      <c r="I75" s="332">
        <v>-17829.161</v>
      </c>
      <c r="J75" s="332">
        <v>-25470.649000000001</v>
      </c>
      <c r="K75" s="332">
        <v>-29927.293000000001</v>
      </c>
      <c r="L75" s="332">
        <v>-37866.730000000003</v>
      </c>
      <c r="M75" s="332">
        <v>-33301.040999999997</v>
      </c>
      <c r="N75" s="332">
        <v>-36458.874000000003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-5558.3590599999998</v>
      </c>
      <c r="E76" s="332">
        <v>-8331.5021099999994</v>
      </c>
      <c r="F76" s="332">
        <v>-7233.3360000000002</v>
      </c>
      <c r="G76" s="332">
        <v>-7232.8950000000004</v>
      </c>
      <c r="H76" s="332">
        <v>-8614.7039999999997</v>
      </c>
      <c r="I76" s="332">
        <v>-16779.213</v>
      </c>
      <c r="J76" s="332">
        <v>-24667.859</v>
      </c>
      <c r="K76" s="332">
        <v>-28604.112000000001</v>
      </c>
      <c r="L76" s="332">
        <v>-30211.517</v>
      </c>
      <c r="M76" s="332">
        <v>-32154.391</v>
      </c>
      <c r="N76" s="332">
        <v>-35069.32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-360.23863999999998</v>
      </c>
      <c r="E77" s="332">
        <v>-543.02200000000005</v>
      </c>
      <c r="F77" s="332">
        <v>-534.49900000000002</v>
      </c>
      <c r="G77" s="332">
        <v>-532.84500000000003</v>
      </c>
      <c r="H77" s="332">
        <v>-626.98099999999999</v>
      </c>
      <c r="I77" s="332">
        <v>-834.60799999999995</v>
      </c>
      <c r="J77" s="332">
        <v>-945.73400000000004</v>
      </c>
      <c r="K77" s="332">
        <v>-1045.43</v>
      </c>
      <c r="L77" s="332">
        <v>-1301.1379999999999</v>
      </c>
      <c r="M77" s="332">
        <v>-1268.364</v>
      </c>
      <c r="N77" s="332">
        <v>-1232.847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-62.323399999999999</v>
      </c>
      <c r="E78" s="332">
        <v>-27.541709999999998</v>
      </c>
      <c r="F78" s="332">
        <v>-4.9189999999999996</v>
      </c>
      <c r="G78" s="332">
        <v>-28.413</v>
      </c>
      <c r="H78" s="332">
        <v>-1.034</v>
      </c>
      <c r="I78" s="332">
        <v>-200.72200000000001</v>
      </c>
      <c r="J78" s="332">
        <v>158.28100000000001</v>
      </c>
      <c r="K78" s="332">
        <v>-251.29</v>
      </c>
      <c r="L78" s="332">
        <v>-6328.2669999999998</v>
      </c>
      <c r="M78" s="332">
        <v>146.33799999999999</v>
      </c>
      <c r="N78" s="332">
        <v>-134.27199999999999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2">
        <v>-14.618</v>
      </c>
      <c r="J79" s="332">
        <v>-15.337</v>
      </c>
      <c r="K79" s="332">
        <v>-26.460999999999999</v>
      </c>
      <c r="L79" s="332">
        <v>-25.808</v>
      </c>
      <c r="M79" s="332">
        <v>-24.623999999999999</v>
      </c>
      <c r="N79" s="332">
        <v>-22.434999999999999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-3045.3976499999999</v>
      </c>
      <c r="E81" s="332">
        <v>-4512.6676200000002</v>
      </c>
      <c r="F81" s="332">
        <v>-5163.9319999999998</v>
      </c>
      <c r="G81" s="332">
        <v>-4901.8940000000002</v>
      </c>
      <c r="H81" s="332">
        <v>-5208.5200000000004</v>
      </c>
      <c r="I81" s="332">
        <v>-5188.3900000000003</v>
      </c>
      <c r="J81" s="332">
        <v>-5590.6480000000001</v>
      </c>
      <c r="K81" s="332">
        <v>-6779.9989999999998</v>
      </c>
      <c r="L81" s="332">
        <v>-7726.0720000000001</v>
      </c>
      <c r="M81" s="332">
        <v>-9883.2150000000001</v>
      </c>
      <c r="N81" s="332">
        <v>-10254.243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41.098860000000002</v>
      </c>
      <c r="E82" s="332">
        <v>54.798479999999998</v>
      </c>
      <c r="F82" s="332">
        <v>65.700999999999993</v>
      </c>
      <c r="G82" s="332">
        <v>67.22</v>
      </c>
      <c r="H82" s="332">
        <v>51.249000000000002</v>
      </c>
      <c r="I82" s="332">
        <v>17.158000000000001</v>
      </c>
      <c r="J82" s="332">
        <v>12.215</v>
      </c>
      <c r="K82" s="332">
        <v>34.081000000000003</v>
      </c>
      <c r="L82" s="332">
        <v>15.407</v>
      </c>
      <c r="M82" s="332">
        <v>1095.4069999999999</v>
      </c>
      <c r="N82" s="332">
        <v>1095.4079999999999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2">
        <v>34.652000000000001</v>
      </c>
      <c r="I83" s="333">
        <v>0</v>
      </c>
      <c r="J83" s="333">
        <v>0</v>
      </c>
      <c r="K83" s="333">
        <v>0</v>
      </c>
      <c r="L83" s="333">
        <v>0</v>
      </c>
      <c r="M83" s="332">
        <v>6140.96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-339.98</v>
      </c>
      <c r="E84" s="332">
        <v>-420.82189</v>
      </c>
      <c r="F84" s="332">
        <v>-186.12799999999999</v>
      </c>
      <c r="G84" s="332">
        <v>-182.22800000000001</v>
      </c>
      <c r="H84" s="332">
        <v>-81.180999999999997</v>
      </c>
      <c r="I84" s="332">
        <v>-160.07</v>
      </c>
      <c r="J84" s="332">
        <v>-267.49900000000002</v>
      </c>
      <c r="K84" s="332">
        <v>-57.119</v>
      </c>
      <c r="L84" s="332">
        <v>-181.08</v>
      </c>
      <c r="M84" s="332">
        <v>-130.84100000000001</v>
      </c>
      <c r="N84" s="332">
        <v>-2577.384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2">
        <v>-203.09299999999999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2">
        <v>-2455.3989999999999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-339.98</v>
      </c>
      <c r="E86" s="332">
        <v>-217.72889000000001</v>
      </c>
      <c r="F86" s="332">
        <v>-186.12799999999999</v>
      </c>
      <c r="G86" s="332">
        <v>-182.22800000000001</v>
      </c>
      <c r="H86" s="332">
        <v>-81.180999999999997</v>
      </c>
      <c r="I86" s="332">
        <v>-160.07</v>
      </c>
      <c r="J86" s="332">
        <v>-267.49900000000002</v>
      </c>
      <c r="K86" s="332">
        <v>-57.119</v>
      </c>
      <c r="L86" s="332">
        <v>-181.08</v>
      </c>
      <c r="M86" s="332">
        <v>-130.84100000000001</v>
      </c>
      <c r="N86" s="332">
        <v>-121.985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2">
        <v>-13.47845</v>
      </c>
      <c r="E88" s="332">
        <v>22.162749999999999</v>
      </c>
      <c r="F88" s="332">
        <v>-4.1779999999999999</v>
      </c>
      <c r="G88" s="332">
        <v>-0.221</v>
      </c>
      <c r="H88" s="332">
        <v>-27.65</v>
      </c>
      <c r="I88" s="333">
        <v>0</v>
      </c>
      <c r="J88" s="333">
        <v>0</v>
      </c>
      <c r="K88" s="333">
        <v>0</v>
      </c>
      <c r="L88" s="333">
        <v>0</v>
      </c>
      <c r="M88" s="333">
        <v>0</v>
      </c>
      <c r="N88" s="332">
        <v>-167.309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-242.49876</v>
      </c>
      <c r="E89" s="332">
        <v>878.68386999999996</v>
      </c>
      <c r="F89" s="332">
        <v>363.47</v>
      </c>
      <c r="G89" s="332">
        <v>88.09</v>
      </c>
      <c r="H89" s="332">
        <v>-142.71</v>
      </c>
      <c r="I89" s="332">
        <v>880.95899999999995</v>
      </c>
      <c r="J89" s="332">
        <v>975.46799999999996</v>
      </c>
      <c r="K89" s="332">
        <v>3155.8719999999998</v>
      </c>
      <c r="L89" s="332">
        <v>-1613.367</v>
      </c>
      <c r="M89" s="332">
        <v>14098.736000000001</v>
      </c>
      <c r="N89" s="332">
        <v>-50.430999999999997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799.96618000000001</v>
      </c>
      <c r="E90" s="332">
        <v>272.68166000000002</v>
      </c>
      <c r="F90" s="332">
        <v>157.97200000000001</v>
      </c>
      <c r="G90" s="332">
        <v>155.65899999999999</v>
      </c>
      <c r="H90" s="332">
        <v>181.98599999999999</v>
      </c>
      <c r="I90" s="332">
        <v>367.62200000000001</v>
      </c>
      <c r="J90" s="332">
        <v>665.23400000000004</v>
      </c>
      <c r="K90" s="332">
        <v>655.54700000000003</v>
      </c>
      <c r="L90" s="332">
        <v>461.07900000000001</v>
      </c>
      <c r="M90" s="332">
        <v>559.26099999999997</v>
      </c>
      <c r="N90" s="332">
        <v>290.42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-25.614989999999999</v>
      </c>
      <c r="E91" s="332">
        <v>-35.140709999999999</v>
      </c>
      <c r="F91" s="332">
        <v>-54.847999999999999</v>
      </c>
      <c r="G91" s="332">
        <v>-91.212000000000003</v>
      </c>
      <c r="H91" s="332">
        <v>-92.57</v>
      </c>
      <c r="I91" s="332">
        <v>-330.62799999999999</v>
      </c>
      <c r="J91" s="332">
        <v>-661.49</v>
      </c>
      <c r="K91" s="332">
        <v>-1195.577</v>
      </c>
      <c r="L91" s="332">
        <v>-969.40200000000004</v>
      </c>
      <c r="M91" s="332">
        <v>-551.27599999999995</v>
      </c>
      <c r="N91" s="332">
        <v>-71.424999999999997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2">
        <v>-0.24246000000000001</v>
      </c>
      <c r="F93" s="332">
        <v>-6.9000000000000006E-2</v>
      </c>
      <c r="G93" s="332">
        <v>-2.3E-2</v>
      </c>
      <c r="H93" s="332">
        <v>-1.7999999999999999E-2</v>
      </c>
      <c r="I93" s="333">
        <v>0</v>
      </c>
      <c r="J93" s="333">
        <v>0</v>
      </c>
      <c r="K93" s="333">
        <v>0</v>
      </c>
      <c r="L93" s="333">
        <v>0</v>
      </c>
      <c r="M93" s="332">
        <v>23.262</v>
      </c>
      <c r="N93" s="332">
        <v>1.3340000000000001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2">
        <v>58.927770000000002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2">
        <v>-202.38800000000001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2">
        <v>-202.38800000000001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2">
        <v>58.927770000000002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774.35118999999997</v>
      </c>
      <c r="E101" s="332">
        <v>296.22626000000002</v>
      </c>
      <c r="F101" s="332">
        <v>103.05500000000001</v>
      </c>
      <c r="G101" s="332">
        <v>64.424000000000007</v>
      </c>
      <c r="H101" s="332">
        <v>89.397999999999996</v>
      </c>
      <c r="I101" s="332">
        <v>36.994</v>
      </c>
      <c r="J101" s="332">
        <v>3.7440000000000002</v>
      </c>
      <c r="K101" s="332">
        <v>-540.03</v>
      </c>
      <c r="L101" s="332">
        <v>-710.71100000000001</v>
      </c>
      <c r="M101" s="332">
        <v>31.247</v>
      </c>
      <c r="N101" s="332">
        <v>220.32900000000001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531.85243000000003</v>
      </c>
      <c r="E102" s="332">
        <v>1174.91013</v>
      </c>
      <c r="F102" s="332">
        <v>466.52499999999998</v>
      </c>
      <c r="G102" s="332">
        <v>152.51400000000001</v>
      </c>
      <c r="H102" s="332">
        <v>-53.311999999999998</v>
      </c>
      <c r="I102" s="332">
        <v>917.95299999999997</v>
      </c>
      <c r="J102" s="332">
        <v>979.21199999999999</v>
      </c>
      <c r="K102" s="332">
        <v>2615.8420000000001</v>
      </c>
      <c r="L102" s="332">
        <v>-2324.078</v>
      </c>
      <c r="M102" s="332">
        <v>14129.983</v>
      </c>
      <c r="N102" s="332">
        <v>169.898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352.57832000000002</v>
      </c>
      <c r="E103" s="332">
        <v>661.78448000000003</v>
      </c>
      <c r="F103" s="332">
        <v>1821.9480000000001</v>
      </c>
      <c r="G103" s="332">
        <v>-933.65800000000002</v>
      </c>
      <c r="H103" s="332">
        <v>-261.86599999999999</v>
      </c>
      <c r="I103" s="332">
        <v>-9.9359999999999999</v>
      </c>
      <c r="J103" s="332">
        <v>967.33399999999995</v>
      </c>
      <c r="K103" s="332">
        <v>-428.23200000000003</v>
      </c>
      <c r="L103" s="332">
        <v>7343.8689999999997</v>
      </c>
      <c r="M103" s="332">
        <v>-474.221</v>
      </c>
      <c r="N103" s="332">
        <v>1354.98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884.43074999999999</v>
      </c>
      <c r="E104" s="332">
        <v>1836.69461</v>
      </c>
      <c r="F104" s="332">
        <v>2288.473</v>
      </c>
      <c r="G104" s="332">
        <v>-781.14400000000001</v>
      </c>
      <c r="H104" s="332">
        <v>-315.178</v>
      </c>
      <c r="I104" s="332">
        <v>908.01700000000005</v>
      </c>
      <c r="J104" s="332">
        <v>1946.546</v>
      </c>
      <c r="K104" s="332">
        <v>2187.61</v>
      </c>
      <c r="L104" s="332">
        <v>5019.7910000000002</v>
      </c>
      <c r="M104" s="332">
        <v>13655.762000000001</v>
      </c>
      <c r="N104" s="332">
        <v>1524.8779999999999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884.43074999999999</v>
      </c>
      <c r="E106" s="332">
        <v>1836.69461</v>
      </c>
      <c r="F106" s="332">
        <v>2288.473</v>
      </c>
      <c r="G106" s="332">
        <v>-781.14400000000001</v>
      </c>
      <c r="H106" s="332">
        <v>-315.178</v>
      </c>
      <c r="I106" s="332">
        <v>908.01700000000005</v>
      </c>
      <c r="J106" s="332">
        <v>1946.546</v>
      </c>
      <c r="K106" s="332">
        <v>2187.61</v>
      </c>
      <c r="L106" s="332">
        <v>5019.7910000000002</v>
      </c>
      <c r="M106" s="332">
        <v>13655.762000000001</v>
      </c>
      <c r="N106" s="332">
        <v>1524.8779999999999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2">
        <v>107.151</v>
      </c>
      <c r="G109" s="332">
        <v>22.207999999999998</v>
      </c>
      <c r="H109" s="332">
        <v>63.24</v>
      </c>
      <c r="I109" s="333">
        <v>0</v>
      </c>
      <c r="J109" s="333">
        <v>0</v>
      </c>
      <c r="K109" s="333">
        <v>0</v>
      </c>
      <c r="L109" s="333">
        <v>0</v>
      </c>
      <c r="M109" s="332">
        <v>2250</v>
      </c>
      <c r="N109" s="332">
        <v>3.5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2">
        <v>-562.50099999999998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2">
        <v>107.151</v>
      </c>
      <c r="G114" s="332">
        <v>22.207999999999998</v>
      </c>
      <c r="H114" s="332">
        <v>63.24</v>
      </c>
      <c r="I114" s="333">
        <v>0</v>
      </c>
      <c r="J114" s="333">
        <v>0</v>
      </c>
      <c r="K114" s="333">
        <v>0</v>
      </c>
      <c r="L114" s="333">
        <v>0</v>
      </c>
      <c r="M114" s="332">
        <v>1687.499</v>
      </c>
      <c r="N114" s="332">
        <v>3.5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2">
        <v>-54.798000000000002</v>
      </c>
      <c r="F117" s="332">
        <v>-65.700999999999993</v>
      </c>
      <c r="G117" s="332">
        <v>-67.22</v>
      </c>
      <c r="H117" s="332">
        <v>-51.249000000000002</v>
      </c>
      <c r="I117" s="332">
        <v>-17.158000000000001</v>
      </c>
      <c r="J117" s="332">
        <v>-12.215</v>
      </c>
      <c r="K117" s="332">
        <v>-34.081000000000003</v>
      </c>
      <c r="L117" s="332">
        <v>-15.407</v>
      </c>
      <c r="M117" s="332">
        <v>-1095.4069999999999</v>
      </c>
      <c r="N117" s="332">
        <v>-1095.4069999999999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2">
        <v>270</v>
      </c>
      <c r="N120" s="332">
        <v>270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2">
        <v>-54.798000000000002</v>
      </c>
      <c r="F121" s="332">
        <v>-65.700999999999993</v>
      </c>
      <c r="G121" s="332">
        <v>-67.22</v>
      </c>
      <c r="H121" s="332">
        <v>-51.249000000000002</v>
      </c>
      <c r="I121" s="332">
        <v>-17.158000000000001</v>
      </c>
      <c r="J121" s="332">
        <v>-12.215</v>
      </c>
      <c r="K121" s="332">
        <v>-34.081000000000003</v>
      </c>
      <c r="L121" s="332">
        <v>-15.407</v>
      </c>
      <c r="M121" s="332">
        <v>-825.40700000000004</v>
      </c>
      <c r="N121" s="332">
        <v>-825.40700000000004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884.43074999999999</v>
      </c>
      <c r="E122" s="332">
        <v>1781.89661</v>
      </c>
      <c r="F122" s="332">
        <v>2329.9229999999998</v>
      </c>
      <c r="G122" s="332">
        <v>-826.15599999999995</v>
      </c>
      <c r="H122" s="332">
        <v>-303.18700000000001</v>
      </c>
      <c r="I122" s="332">
        <v>890.85900000000004</v>
      </c>
      <c r="J122" s="332">
        <v>1934.3309999999999</v>
      </c>
      <c r="K122" s="332">
        <v>2153.529</v>
      </c>
      <c r="L122" s="332">
        <v>5004.384</v>
      </c>
      <c r="M122" s="332">
        <v>14517.853999999999</v>
      </c>
      <c r="N122" s="332">
        <v>702.971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89499.14</v>
      </c>
      <c r="AC5" s="48"/>
      <c r="AD5" s="47"/>
      <c r="AE5" s="48"/>
      <c r="AF5" s="43"/>
      <c r="AG5" s="49">
        <f t="shared" ref="AG5:AG31" si="0">SUM(E5:AF5)</f>
        <v>89499.14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48920.827000000005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75.96399999999997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48996.791000000005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12766.138000000004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12766.138000000004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48920.827000000005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48920.827000000005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89499.14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89499.14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34987.664999999994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34987.664999999994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24532.16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24532.16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8437.2999999999993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8437.2999999999993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945.73400000000004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945.73400000000004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1072.4709999999977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1072.4709999999977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1072.4709999999977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665.23400000000004</v>
      </c>
      <c r="AC16" s="297"/>
      <c r="AD16" s="47"/>
      <c r="AE16" s="48"/>
      <c r="AF16" s="43"/>
      <c r="AG16" s="49">
        <f t="shared" si="0"/>
        <v>1737.7049999999977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1076.2149999999976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1076.2149999999976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2043.5489999999977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2.0463630789890885E-12</v>
      </c>
      <c r="AE18" s="300"/>
      <c r="AF18" s="59"/>
      <c r="AG18" s="49">
        <f t="shared" si="0"/>
        <v>2043.5489999999998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2043.5489999999998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2043.5489999999998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2043.5489999999998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-267.49900000000002</v>
      </c>
      <c r="AE20" s="304">
        <f>+Data!J303</f>
        <v>0</v>
      </c>
      <c r="AF20" s="63"/>
      <c r="AG20" s="49">
        <f t="shared" si="0"/>
        <v>1776.0499999999997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1934.3309999999997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1934.3309999999997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75.96399999999997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75.96399999999997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5590.6480000000001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7175.4900000000043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12766.138000000004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-5317.123000000005</v>
      </c>
      <c r="V25" s="43"/>
      <c r="W25" s="43"/>
      <c r="X25" s="43"/>
      <c r="Y25" s="48"/>
      <c r="Z25" s="293">
        <f>Data!J403</f>
        <v>5676.7610000000013</v>
      </c>
      <c r="AA25" s="305">
        <f>Data!J395</f>
        <v>5325.2420000000002</v>
      </c>
      <c r="AB25" s="54"/>
      <c r="AC25" s="43"/>
      <c r="AD25" s="54"/>
      <c r="AE25" s="43"/>
      <c r="AF25" s="43"/>
      <c r="AG25" s="49">
        <f t="shared" si="0"/>
        <v>5684.8799999999965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-1155.0610000000024</v>
      </c>
      <c r="Z26" s="58"/>
      <c r="AA26" s="306"/>
      <c r="AB26" s="54"/>
      <c r="AC26" s="43"/>
      <c r="AD26" s="54"/>
      <c r="AE26" s="43"/>
      <c r="AF26" s="43"/>
      <c r="AG26" s="49">
        <f t="shared" si="0"/>
        <v>-1155.0610000000024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6839.9409999999989</v>
      </c>
      <c r="Z27" s="308"/>
      <c r="AA27" s="311"/>
      <c r="AB27" s="312"/>
      <c r="AC27" s="313"/>
      <c r="AD27" s="54"/>
      <c r="AE27" s="43"/>
      <c r="AF27" s="43"/>
      <c r="AG27" s="49">
        <f t="shared" si="0"/>
        <v>6839.9409999999989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48996.791000000005</v>
      </c>
      <c r="G28" s="64"/>
      <c r="H28" s="64"/>
      <c r="I28" s="65"/>
      <c r="J28" s="65"/>
      <c r="K28" s="315">
        <f>-Data!J245</f>
        <v>24532.16</v>
      </c>
      <c r="L28" s="64"/>
      <c r="M28" s="315">
        <f>-Data!J247</f>
        <v>0</v>
      </c>
      <c r="N28" s="64"/>
      <c r="O28" s="64"/>
      <c r="P28" s="316">
        <f>-(Data!J256+Data!J83)</f>
        <v>661.49</v>
      </c>
      <c r="Q28" s="314">
        <f>-(Data!J261)</f>
        <v>0</v>
      </c>
      <c r="R28" s="314">
        <f>-Data!J267</f>
        <v>0</v>
      </c>
      <c r="S28" s="64"/>
      <c r="T28" s="314">
        <f>-Data!J306</f>
        <v>-158.28100000000001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16132.213999999993</v>
      </c>
      <c r="AG28" s="49">
        <f t="shared" si="0"/>
        <v>90164.373999999996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8437.2999999999993</v>
      </c>
      <c r="M29" s="44"/>
      <c r="N29" s="293">
        <f>-Data!J248</f>
        <v>945.73400000000004</v>
      </c>
      <c r="O29" s="48"/>
      <c r="P29" s="320">
        <f>(Data!J81+Data!J83)</f>
        <v>0</v>
      </c>
      <c r="Q29" s="321">
        <f>-Data!J262</f>
        <v>-967.33399999999995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-8415.6999999999989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12766.138000000004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-13033.637000000002</v>
      </c>
      <c r="AG30" s="49">
        <f t="shared" si="0"/>
        <v>-267.49899999999798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-6831.8220000000038</v>
      </c>
      <c r="AA32" s="317">
        <f>+Y27-AA25</f>
        <v>1514.6989999999987</v>
      </c>
      <c r="AB32" s="66"/>
      <c r="AC32" s="43"/>
      <c r="AD32" s="43"/>
      <c r="AE32" s="43"/>
      <c r="AF32" s="43"/>
      <c r="AG32" s="43">
        <f>SUM(E32:AE32)</f>
        <v>-5317.123000000005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89499.14</v>
      </c>
      <c r="F33" s="46">
        <f t="shared" si="1"/>
        <v>48996.791000000005</v>
      </c>
      <c r="G33" s="46">
        <f t="shared" si="1"/>
        <v>12766.138000000004</v>
      </c>
      <c r="H33" s="68">
        <f t="shared" si="1"/>
        <v>48920.827000000005</v>
      </c>
      <c r="I33" s="68">
        <f t="shared" si="1"/>
        <v>89499.14</v>
      </c>
      <c r="J33" s="68">
        <f t="shared" si="1"/>
        <v>34987.664999999994</v>
      </c>
      <c r="K33" s="68">
        <f t="shared" si="1"/>
        <v>24532.16</v>
      </c>
      <c r="L33" s="68">
        <f t="shared" si="1"/>
        <v>8437.2999999999993</v>
      </c>
      <c r="M33" s="68">
        <f t="shared" si="1"/>
        <v>0</v>
      </c>
      <c r="N33" s="68">
        <f t="shared" si="1"/>
        <v>945.73400000000004</v>
      </c>
      <c r="O33" s="68">
        <f t="shared" si="1"/>
        <v>1072.4709999999977</v>
      </c>
      <c r="P33" s="68">
        <f t="shared" si="1"/>
        <v>1737.7049999999977</v>
      </c>
      <c r="Q33" s="68">
        <f t="shared" si="1"/>
        <v>1076.2149999999979</v>
      </c>
      <c r="R33" s="68">
        <f t="shared" si="1"/>
        <v>2043.5489999999998</v>
      </c>
      <c r="S33" s="68">
        <f t="shared" si="1"/>
        <v>2043.5489999999998</v>
      </c>
      <c r="T33" s="68">
        <f t="shared" si="1"/>
        <v>1776.0499999999997</v>
      </c>
      <c r="U33" s="68">
        <f t="shared" si="1"/>
        <v>1934.3309999999992</v>
      </c>
      <c r="V33" s="68">
        <f t="shared" si="1"/>
        <v>75.96399999999997</v>
      </c>
      <c r="W33" s="68">
        <f t="shared" si="1"/>
        <v>12766.138000000004</v>
      </c>
      <c r="X33" s="400">
        <f t="shared" si="1"/>
        <v>0</v>
      </c>
      <c r="Y33" s="68">
        <f t="shared" si="1"/>
        <v>5684.8799999999965</v>
      </c>
      <c r="Z33" s="69">
        <f t="shared" ref="Z33:AF33" si="2">SUM(Z5:Z32)</f>
        <v>-1155.0610000000024</v>
      </c>
      <c r="AA33" s="69">
        <f t="shared" si="2"/>
        <v>6839.9409999999989</v>
      </c>
      <c r="AB33" s="69">
        <f t="shared" si="2"/>
        <v>90164.373999999996</v>
      </c>
      <c r="AC33" s="69">
        <f t="shared" si="2"/>
        <v>0</v>
      </c>
      <c r="AD33" s="69">
        <f t="shared" si="2"/>
        <v>-267.49899999999798</v>
      </c>
      <c r="AE33" s="69">
        <f t="shared" si="2"/>
        <v>0</v>
      </c>
      <c r="AF33" s="69">
        <f t="shared" si="2"/>
        <v>-5317.1230000000087</v>
      </c>
      <c r="AG33" s="43">
        <f>SUM(E33:AE33)</f>
        <v>484377.50199999998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104370.215</v>
      </c>
      <c r="AC5" s="48"/>
      <c r="AD5" s="47"/>
      <c r="AE5" s="48"/>
      <c r="AF5" s="43"/>
      <c r="AG5" s="49">
        <f t="shared" ref="AG5:AG31" si="0">SUM(E5:AF5)</f>
        <v>104370.215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55255.472000000002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42.590000000000032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55298.061999999998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14892.152000000006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14892.152000000006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55255.472000000002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55255.472000000002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104370.215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104370.215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42334.743999999992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42334.743999999992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28219.615000000002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28219.615000000002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9639.4989999999998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9639.4989999999998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1045.43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1045.43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3430.1999999999898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3430.1999999999898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3430.1999999999898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655.54700000000003</v>
      </c>
      <c r="AC16" s="297"/>
      <c r="AD16" s="47"/>
      <c r="AE16" s="48"/>
      <c r="AF16" s="43"/>
      <c r="AG16" s="49">
        <f t="shared" si="0"/>
        <v>4085.7469999999898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2890.1699999999901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2890.1699999999901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2461.9379999999901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-2.0000000026811904E-3</v>
      </c>
      <c r="AE18" s="300"/>
      <c r="AF18" s="59"/>
      <c r="AG18" s="49">
        <f t="shared" si="0"/>
        <v>2461.9359999999874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2461.9359999999874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2461.9359999999874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2461.9359999999874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-57.119</v>
      </c>
      <c r="AE20" s="304">
        <f>+Data!K303</f>
        <v>0</v>
      </c>
      <c r="AF20" s="63"/>
      <c r="AG20" s="49">
        <f t="shared" si="0"/>
        <v>2404.8169999999873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2153.5269999999873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2153.5269999999873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42.590000000000032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42.590000000000032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6779.9989999999998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8112.1530000000057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14892.152000000006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-6001.2160000000185</v>
      </c>
      <c r="V25" s="43"/>
      <c r="W25" s="43"/>
      <c r="X25" s="43"/>
      <c r="Y25" s="48"/>
      <c r="Z25" s="293">
        <f>Data!K403</f>
        <v>1810.6459999999993</v>
      </c>
      <c r="AA25" s="305">
        <f>Data!K395</f>
        <v>7985.9470000000001</v>
      </c>
      <c r="AB25" s="54"/>
      <c r="AC25" s="43"/>
      <c r="AD25" s="54"/>
      <c r="AE25" s="43"/>
      <c r="AF25" s="43"/>
      <c r="AG25" s="49">
        <f t="shared" si="0"/>
        <v>3795.3769999999804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-2154.6150000000002</v>
      </c>
      <c r="Z26" s="58"/>
      <c r="AA26" s="306"/>
      <c r="AB26" s="54"/>
      <c r="AC26" s="43"/>
      <c r="AD26" s="54"/>
      <c r="AE26" s="43"/>
      <c r="AF26" s="43"/>
      <c r="AG26" s="49">
        <f t="shared" si="0"/>
        <v>-2154.6150000000002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5949.9920000000002</v>
      </c>
      <c r="Z27" s="308"/>
      <c r="AA27" s="311"/>
      <c r="AB27" s="312"/>
      <c r="AC27" s="313"/>
      <c r="AD27" s="54"/>
      <c r="AE27" s="43"/>
      <c r="AF27" s="43"/>
      <c r="AG27" s="49">
        <f t="shared" si="0"/>
        <v>5949.9920000000002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55298.061999999998</v>
      </c>
      <c r="G28" s="64"/>
      <c r="H28" s="64"/>
      <c r="I28" s="65"/>
      <c r="J28" s="65"/>
      <c r="K28" s="315">
        <f>-Data!K245</f>
        <v>28219.615000000002</v>
      </c>
      <c r="L28" s="64"/>
      <c r="M28" s="315">
        <f>-Data!K247</f>
        <v>0</v>
      </c>
      <c r="N28" s="64"/>
      <c r="O28" s="64"/>
      <c r="P28" s="316">
        <f>-(Data!K256+Data!K83)</f>
        <v>1195.577</v>
      </c>
      <c r="Q28" s="314">
        <f>-(Data!K261)</f>
        <v>0</v>
      </c>
      <c r="R28" s="314">
        <f>-Data!K267</f>
        <v>0</v>
      </c>
      <c r="S28" s="64"/>
      <c r="T28" s="314">
        <f>-Data!K306</f>
        <v>251.29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20061.218000000008</v>
      </c>
      <c r="AG28" s="49">
        <f t="shared" si="0"/>
        <v>105025.762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9639.4989999999998</v>
      </c>
      <c r="M29" s="44"/>
      <c r="N29" s="293">
        <f>-Data!K248</f>
        <v>1045.43</v>
      </c>
      <c r="O29" s="48"/>
      <c r="P29" s="320">
        <f>(Data!K81+Data!K83)</f>
        <v>0</v>
      </c>
      <c r="Q29" s="321">
        <f>-Data!K262</f>
        <v>428.23200000000003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-11113.161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14892.152000000006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-14949.273000000008</v>
      </c>
      <c r="AG30" s="49">
        <f t="shared" si="0"/>
        <v>-57.121000000002823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-3965.2609999999995</v>
      </c>
      <c r="AA32" s="317">
        <f>+Y27-AA25</f>
        <v>-2035.9549999999999</v>
      </c>
      <c r="AB32" s="66"/>
      <c r="AC32" s="43"/>
      <c r="AD32" s="43"/>
      <c r="AE32" s="43"/>
      <c r="AF32" s="43"/>
      <c r="AG32" s="43">
        <f>SUM(E32:AE32)</f>
        <v>-6001.2159999999994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104370.215</v>
      </c>
      <c r="F33" s="46">
        <f t="shared" si="1"/>
        <v>55298.061999999998</v>
      </c>
      <c r="G33" s="46">
        <f t="shared" si="1"/>
        <v>14892.152000000006</v>
      </c>
      <c r="H33" s="68">
        <f t="shared" si="1"/>
        <v>55255.472000000002</v>
      </c>
      <c r="I33" s="68">
        <f t="shared" si="1"/>
        <v>104370.21499999998</v>
      </c>
      <c r="J33" s="68">
        <f t="shared" si="1"/>
        <v>42334.743999999992</v>
      </c>
      <c r="K33" s="68">
        <f t="shared" si="1"/>
        <v>28219.615000000002</v>
      </c>
      <c r="L33" s="68">
        <f t="shared" si="1"/>
        <v>9639.4989999999998</v>
      </c>
      <c r="M33" s="68">
        <f t="shared" si="1"/>
        <v>0</v>
      </c>
      <c r="N33" s="68">
        <f t="shared" si="1"/>
        <v>1045.43</v>
      </c>
      <c r="O33" s="68">
        <f t="shared" si="1"/>
        <v>3430.1999999999898</v>
      </c>
      <c r="P33" s="68">
        <f t="shared" si="1"/>
        <v>4085.7469999999903</v>
      </c>
      <c r="Q33" s="68">
        <f t="shared" si="1"/>
        <v>2890.1699999999901</v>
      </c>
      <c r="R33" s="68">
        <f t="shared" si="1"/>
        <v>2461.9359999999874</v>
      </c>
      <c r="S33" s="68">
        <f t="shared" si="1"/>
        <v>2461.9359999999874</v>
      </c>
      <c r="T33" s="68">
        <f t="shared" si="1"/>
        <v>2404.8169999999873</v>
      </c>
      <c r="U33" s="68">
        <f t="shared" si="1"/>
        <v>2153.5269999999873</v>
      </c>
      <c r="V33" s="68">
        <f t="shared" si="1"/>
        <v>42.590000000000032</v>
      </c>
      <c r="W33" s="68">
        <f t="shared" si="1"/>
        <v>14892.152000000006</v>
      </c>
      <c r="X33" s="400">
        <f t="shared" si="1"/>
        <v>0</v>
      </c>
      <c r="Y33" s="68">
        <f t="shared" si="1"/>
        <v>3795.377</v>
      </c>
      <c r="Z33" s="69">
        <f t="shared" ref="Z33:AF33" si="2">SUM(Z5:Z32)</f>
        <v>-2154.6150000000002</v>
      </c>
      <c r="AA33" s="69">
        <f t="shared" si="2"/>
        <v>5949.9920000000002</v>
      </c>
      <c r="AB33" s="69">
        <f t="shared" si="2"/>
        <v>105025.762</v>
      </c>
      <c r="AC33" s="69">
        <f t="shared" si="2"/>
        <v>0</v>
      </c>
      <c r="AD33" s="69">
        <f t="shared" si="2"/>
        <v>-57.121000000002681</v>
      </c>
      <c r="AE33" s="69">
        <f t="shared" si="2"/>
        <v>0</v>
      </c>
      <c r="AF33" s="69">
        <f t="shared" si="2"/>
        <v>-6001.2160000000003</v>
      </c>
      <c r="AG33" s="43">
        <f>SUM(E33:AE33)</f>
        <v>562807.87399999995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1.9554136088117957E-11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1.4210854715202004E-13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113949.298</v>
      </c>
      <c r="AC5" s="48"/>
      <c r="AD5" s="47"/>
      <c r="AE5" s="48"/>
      <c r="AF5" s="43"/>
      <c r="AG5" s="49">
        <f t="shared" ref="AG5:AG31" si="0">SUM(E5:AF5)</f>
        <v>113949.298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59012.574000000001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29.351999999999975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59041.925999999999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8620.7449999999917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8620.7449999999917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59012.574000000001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59012.574000000001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113949.298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113949.298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47210.651999999995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47210.651999999995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30969.643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30969.643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10059.298000000001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10059.298000000001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1301.1379999999999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1301.1379999999999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4880.5729999999967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4880.5729999999967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4880.5729999999967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461.07900000000001</v>
      </c>
      <c r="AC16" s="297"/>
      <c r="AD16" s="47"/>
      <c r="AE16" s="48"/>
      <c r="AF16" s="43"/>
      <c r="AG16" s="49">
        <f t="shared" si="0"/>
        <v>5341.6519999999964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4372.2499999999964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4372.2499999999964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11716.118999999995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2784.3699999999908</v>
      </c>
      <c r="AE18" s="300"/>
      <c r="AF18" s="59"/>
      <c r="AG18" s="49">
        <f t="shared" si="0"/>
        <v>14500.488999999987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14500.488999999987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14500.488999999987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14500.488999999987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-181.08</v>
      </c>
      <c r="AE20" s="304">
        <f>+Data!L303</f>
        <v>0</v>
      </c>
      <c r="AF20" s="63"/>
      <c r="AG20" s="49">
        <f t="shared" si="0"/>
        <v>14319.408999999987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7788.7539999999872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7788.7539999999872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29.351999999999975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29.351999999999975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7726.0720000000001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894.67299999999159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8620.7449999999917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6864.7289999999957</v>
      </c>
      <c r="V25" s="43"/>
      <c r="W25" s="43"/>
      <c r="X25" s="43"/>
      <c r="Y25" s="48"/>
      <c r="Z25" s="293">
        <f>Data!L403</f>
        <v>-238.82300000000032</v>
      </c>
      <c r="AA25" s="305">
        <f>Data!L395</f>
        <v>-8037.1890000000003</v>
      </c>
      <c r="AB25" s="54"/>
      <c r="AC25" s="43"/>
      <c r="AD25" s="54"/>
      <c r="AE25" s="43"/>
      <c r="AF25" s="43"/>
      <c r="AG25" s="49">
        <f t="shared" si="0"/>
        <v>-1411.2830000000049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5911.2040000000006</v>
      </c>
      <c r="Z26" s="58"/>
      <c r="AA26" s="306"/>
      <c r="AB26" s="54"/>
      <c r="AC26" s="43"/>
      <c r="AD26" s="54"/>
      <c r="AE26" s="43"/>
      <c r="AF26" s="43"/>
      <c r="AG26" s="49">
        <f t="shared" si="0"/>
        <v>5911.2040000000006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-7322.4870000000019</v>
      </c>
      <c r="Z27" s="308"/>
      <c r="AA27" s="311"/>
      <c r="AB27" s="312"/>
      <c r="AC27" s="313"/>
      <c r="AD27" s="54"/>
      <c r="AE27" s="43"/>
      <c r="AF27" s="43"/>
      <c r="AG27" s="49">
        <f t="shared" si="0"/>
        <v>-7322.4870000000019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59041.925999999999</v>
      </c>
      <c r="G28" s="64"/>
      <c r="H28" s="64"/>
      <c r="I28" s="65"/>
      <c r="J28" s="65"/>
      <c r="K28" s="315">
        <f>-Data!L245</f>
        <v>30969.643</v>
      </c>
      <c r="L28" s="64"/>
      <c r="M28" s="315">
        <f>-Data!L247</f>
        <v>0</v>
      </c>
      <c r="N28" s="64"/>
      <c r="O28" s="64"/>
      <c r="P28" s="316">
        <f>-(Data!L256+Data!L83)</f>
        <v>969.40200000000004</v>
      </c>
      <c r="Q28" s="314">
        <f>-(Data!L261)</f>
        <v>0</v>
      </c>
      <c r="R28" s="314">
        <f>-Data!L267</f>
        <v>0</v>
      </c>
      <c r="S28" s="64"/>
      <c r="T28" s="314">
        <f>-Data!L306</f>
        <v>6328.2669999999998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17101.138999999981</v>
      </c>
      <c r="AG28" s="49">
        <f t="shared" si="0"/>
        <v>114410.37699999999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10059.298000000001</v>
      </c>
      <c r="M29" s="44"/>
      <c r="N29" s="293">
        <f>-Data!L248</f>
        <v>1301.1379999999999</v>
      </c>
      <c r="O29" s="48"/>
      <c r="P29" s="320">
        <f>(Data!L81+Data!L83)</f>
        <v>0</v>
      </c>
      <c r="Q29" s="321">
        <f>-Data!L262</f>
        <v>-7343.8689999999997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-4016.5670000000018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8620.7449999999917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202.38800000000001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-6219.8430000000017</v>
      </c>
      <c r="AG30" s="49">
        <f t="shared" si="0"/>
        <v>2603.2899999999909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6150.027000000001</v>
      </c>
      <c r="AA32" s="317">
        <f>+Y27-AA25</f>
        <v>714.70199999999841</v>
      </c>
      <c r="AB32" s="66"/>
      <c r="AC32" s="43"/>
      <c r="AD32" s="43"/>
      <c r="AE32" s="43"/>
      <c r="AF32" s="43"/>
      <c r="AG32" s="43">
        <f>SUM(E32:AE32)</f>
        <v>6864.7289999999994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113949.298</v>
      </c>
      <c r="F33" s="46">
        <f t="shared" si="1"/>
        <v>59041.925999999999</v>
      </c>
      <c r="G33" s="46">
        <f t="shared" si="1"/>
        <v>8620.7449999999917</v>
      </c>
      <c r="H33" s="68">
        <f t="shared" si="1"/>
        <v>59012.574000000001</v>
      </c>
      <c r="I33" s="68">
        <f t="shared" si="1"/>
        <v>113949.298</v>
      </c>
      <c r="J33" s="68">
        <f t="shared" si="1"/>
        <v>47210.651999999995</v>
      </c>
      <c r="K33" s="68">
        <f t="shared" si="1"/>
        <v>30969.643</v>
      </c>
      <c r="L33" s="68">
        <f t="shared" si="1"/>
        <v>10059.298000000001</v>
      </c>
      <c r="M33" s="68">
        <f t="shared" si="1"/>
        <v>0</v>
      </c>
      <c r="N33" s="68">
        <f t="shared" si="1"/>
        <v>1301.1379999999999</v>
      </c>
      <c r="O33" s="68">
        <f t="shared" si="1"/>
        <v>4880.5729999999967</v>
      </c>
      <c r="P33" s="68">
        <f t="shared" si="1"/>
        <v>5341.6519999999964</v>
      </c>
      <c r="Q33" s="68">
        <f t="shared" si="1"/>
        <v>4372.2499999999955</v>
      </c>
      <c r="R33" s="68">
        <f t="shared" si="1"/>
        <v>14500.488999999987</v>
      </c>
      <c r="S33" s="68">
        <f t="shared" si="1"/>
        <v>14500.488999999987</v>
      </c>
      <c r="T33" s="68">
        <f t="shared" si="1"/>
        <v>14319.408999999987</v>
      </c>
      <c r="U33" s="68">
        <f t="shared" si="1"/>
        <v>7788.7539999999872</v>
      </c>
      <c r="V33" s="68">
        <f t="shared" si="1"/>
        <v>29.351999999999975</v>
      </c>
      <c r="W33" s="68">
        <f t="shared" si="1"/>
        <v>8620.7449999999917</v>
      </c>
      <c r="X33" s="400">
        <f t="shared" si="1"/>
        <v>0</v>
      </c>
      <c r="Y33" s="68">
        <f t="shared" si="1"/>
        <v>-1411.2830000000013</v>
      </c>
      <c r="Z33" s="69">
        <f t="shared" ref="Z33:AF33" si="2">SUM(Z5:Z32)</f>
        <v>5911.2040000000006</v>
      </c>
      <c r="AA33" s="69">
        <f t="shared" si="2"/>
        <v>-7322.4870000000019</v>
      </c>
      <c r="AB33" s="69">
        <f t="shared" si="2"/>
        <v>114410.37699999999</v>
      </c>
      <c r="AC33" s="69">
        <f t="shared" si="2"/>
        <v>0</v>
      </c>
      <c r="AD33" s="69">
        <f t="shared" si="2"/>
        <v>2603.2899999999909</v>
      </c>
      <c r="AE33" s="69">
        <f t="shared" si="2"/>
        <v>0</v>
      </c>
      <c r="AF33" s="69">
        <f t="shared" si="2"/>
        <v>6864.7289999999766</v>
      </c>
      <c r="AG33" s="43">
        <f>SUM(E33:AE33)</f>
        <v>632659.38599999994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3.637978807091713E-12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-2.2737367544323206E-11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122020.18899999998</v>
      </c>
      <c r="AC5" s="48"/>
      <c r="AD5" s="47"/>
      <c r="AE5" s="48"/>
      <c r="AF5" s="43"/>
      <c r="AG5" s="49">
        <f t="shared" ref="AG5:AG31" si="0">SUM(E5:AF5)</f>
        <v>122020.18899999998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61899.770000000004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-84.22399999999999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61815.546000000002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7335.7960000000066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7335.7960000000066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61899.770000000004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61899.770000000004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122020.18899999998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122020.18899999998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50237.203999999983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50237.203999999983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31467.655999999999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31467.655999999999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10654.312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10654.312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1268.364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1268.364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6846.8719999999812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6846.8719999999812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6846.8719999999812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559.26099999999997</v>
      </c>
      <c r="AC16" s="297"/>
      <c r="AD16" s="47"/>
      <c r="AE16" s="48"/>
      <c r="AF16" s="43"/>
      <c r="AG16" s="49">
        <f t="shared" si="0"/>
        <v>7406.1329999999816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6854.8569999999818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6854.8569999999818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6380.6359999999822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-9.9999998747080099E-4</v>
      </c>
      <c r="AE18" s="300"/>
      <c r="AF18" s="59"/>
      <c r="AG18" s="49">
        <f t="shared" si="0"/>
        <v>6380.6349999999948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6380.6349999999948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2250</v>
      </c>
      <c r="AF19" s="48"/>
      <c r="AG19" s="49">
        <f t="shared" si="0"/>
        <v>8630.6349999999948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8630.6349999999948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23.262</v>
      </c>
      <c r="AC20" s="48"/>
      <c r="AD20" s="303">
        <f>+Data!M299+Data!M300+Data!M301+Data!M302+Data!M307+Data!M310+Data!M311+Data!M312+Data!M313+Data!M314</f>
        <v>6010.1189999999997</v>
      </c>
      <c r="AE20" s="304">
        <f>+Data!M303</f>
        <v>270</v>
      </c>
      <c r="AF20" s="63"/>
      <c r="AG20" s="49">
        <f t="shared" si="0"/>
        <v>14934.015999999996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14517.852999999994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14517.852999999994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-84.22399999999999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-84.22399999999999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9883.2150000000001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-2547.4189999999935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7335.7960000000066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17149.495999999988</v>
      </c>
      <c r="V25" s="43"/>
      <c r="W25" s="43"/>
      <c r="X25" s="43"/>
      <c r="Y25" s="48"/>
      <c r="Z25" s="293">
        <f>Data!M403</f>
        <v>-4132.0429999999997</v>
      </c>
      <c r="AA25" s="305">
        <f>Data!M395</f>
        <v>-13388.623</v>
      </c>
      <c r="AB25" s="54"/>
      <c r="AC25" s="43"/>
      <c r="AD25" s="54"/>
      <c r="AE25" s="43"/>
      <c r="AF25" s="43"/>
      <c r="AG25" s="49">
        <f t="shared" si="0"/>
        <v>-371.17000000001099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3266.2450000000008</v>
      </c>
      <c r="Z26" s="58"/>
      <c r="AA26" s="306"/>
      <c r="AB26" s="54"/>
      <c r="AC26" s="43"/>
      <c r="AD26" s="54"/>
      <c r="AE26" s="43"/>
      <c r="AF26" s="43"/>
      <c r="AG26" s="49">
        <f t="shared" si="0"/>
        <v>3266.2450000000008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-3637.4149999999991</v>
      </c>
      <c r="Z27" s="308"/>
      <c r="AA27" s="311"/>
      <c r="AB27" s="312"/>
      <c r="AC27" s="313"/>
      <c r="AD27" s="54"/>
      <c r="AE27" s="43"/>
      <c r="AF27" s="43"/>
      <c r="AG27" s="49">
        <f t="shared" si="0"/>
        <v>-3637.4149999999991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61815.546000000002</v>
      </c>
      <c r="G28" s="64"/>
      <c r="H28" s="64"/>
      <c r="I28" s="65"/>
      <c r="J28" s="65"/>
      <c r="K28" s="315">
        <f>-Data!M245</f>
        <v>31467.655999999999</v>
      </c>
      <c r="L28" s="64"/>
      <c r="M28" s="315">
        <f>-Data!M247</f>
        <v>0</v>
      </c>
      <c r="N28" s="64"/>
      <c r="O28" s="64"/>
      <c r="P28" s="316">
        <f>-(Data!M256+Data!M83)</f>
        <v>551.27599999999995</v>
      </c>
      <c r="Q28" s="314">
        <f>-(Data!M261)</f>
        <v>0</v>
      </c>
      <c r="R28" s="314">
        <f>-Data!M267</f>
        <v>0</v>
      </c>
      <c r="S28" s="64"/>
      <c r="T28" s="314">
        <f>-Data!M306</f>
        <v>-146.33799999999999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28914.571999999986</v>
      </c>
      <c r="AG28" s="49">
        <f t="shared" si="0"/>
        <v>122602.71199999998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10654.312</v>
      </c>
      <c r="M29" s="44"/>
      <c r="N29" s="293">
        <f>-Data!M248</f>
        <v>1268.364</v>
      </c>
      <c r="O29" s="48"/>
      <c r="P29" s="320">
        <f>(Data!M81+Data!M83)</f>
        <v>0</v>
      </c>
      <c r="Q29" s="321">
        <f>-Data!M262</f>
        <v>474.221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-12396.896999999999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7335.7960000000066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-1325.6779999999944</v>
      </c>
      <c r="AG30" s="49">
        <f t="shared" si="0"/>
        <v>6010.1180000000122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562.50099999999998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1957.499</v>
      </c>
      <c r="AG31" s="49">
        <f t="shared" si="0"/>
        <v>2520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7398.2880000000005</v>
      </c>
      <c r="AA32" s="317">
        <f>+Y27-AA25</f>
        <v>9751.2080000000005</v>
      </c>
      <c r="AB32" s="66"/>
      <c r="AC32" s="43"/>
      <c r="AD32" s="43"/>
      <c r="AE32" s="43"/>
      <c r="AF32" s="43"/>
      <c r="AG32" s="43">
        <f>SUM(E32:AE32)</f>
        <v>17149.495999999999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122020.18899999998</v>
      </c>
      <c r="F33" s="46">
        <f t="shared" si="1"/>
        <v>61815.546000000002</v>
      </c>
      <c r="G33" s="46">
        <f t="shared" si="1"/>
        <v>7335.7960000000066</v>
      </c>
      <c r="H33" s="68">
        <f t="shared" si="1"/>
        <v>61899.770000000004</v>
      </c>
      <c r="I33" s="68">
        <f t="shared" si="1"/>
        <v>122020.18899999998</v>
      </c>
      <c r="J33" s="68">
        <f t="shared" si="1"/>
        <v>50237.203999999983</v>
      </c>
      <c r="K33" s="68">
        <f t="shared" si="1"/>
        <v>31467.655999999999</v>
      </c>
      <c r="L33" s="68">
        <f t="shared" si="1"/>
        <v>10654.312</v>
      </c>
      <c r="M33" s="68">
        <f t="shared" si="1"/>
        <v>0</v>
      </c>
      <c r="N33" s="68">
        <f t="shared" si="1"/>
        <v>1268.364</v>
      </c>
      <c r="O33" s="68">
        <f t="shared" si="1"/>
        <v>6846.8719999999812</v>
      </c>
      <c r="P33" s="68">
        <f t="shared" si="1"/>
        <v>7406.1329999999816</v>
      </c>
      <c r="Q33" s="68">
        <f t="shared" si="1"/>
        <v>6854.8569999999818</v>
      </c>
      <c r="R33" s="68">
        <f t="shared" si="1"/>
        <v>6380.6349999999948</v>
      </c>
      <c r="S33" s="68">
        <f t="shared" si="1"/>
        <v>8630.6349999999948</v>
      </c>
      <c r="T33" s="68">
        <f t="shared" si="1"/>
        <v>14934.015999999994</v>
      </c>
      <c r="U33" s="68">
        <f t="shared" si="1"/>
        <v>14517.852999999996</v>
      </c>
      <c r="V33" s="68">
        <f t="shared" si="1"/>
        <v>-84.22399999999999</v>
      </c>
      <c r="W33" s="68">
        <f t="shared" si="1"/>
        <v>7335.7960000000066</v>
      </c>
      <c r="X33" s="400">
        <f t="shared" si="1"/>
        <v>0</v>
      </c>
      <c r="Y33" s="68">
        <f t="shared" si="1"/>
        <v>-371.16999999999825</v>
      </c>
      <c r="Z33" s="69">
        <f t="shared" ref="Z33:AF33" si="2">SUM(Z5:Z32)</f>
        <v>3266.2450000000008</v>
      </c>
      <c r="AA33" s="69">
        <f t="shared" si="2"/>
        <v>-3637.4149999999991</v>
      </c>
      <c r="AB33" s="69">
        <f t="shared" si="2"/>
        <v>122602.71199999998</v>
      </c>
      <c r="AC33" s="69">
        <f t="shared" si="2"/>
        <v>0</v>
      </c>
      <c r="AD33" s="69">
        <f t="shared" si="2"/>
        <v>6010.1180000000122</v>
      </c>
      <c r="AE33" s="69">
        <f t="shared" si="2"/>
        <v>2520</v>
      </c>
      <c r="AF33" s="69">
        <f t="shared" si="2"/>
        <v>17149.495999999996</v>
      </c>
      <c r="AG33" s="43">
        <f>SUM(E33:AE33)</f>
        <v>671932.08899999969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1.2732925824820995E-11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121028.42199999999</v>
      </c>
      <c r="AC5" s="48"/>
      <c r="AD5" s="47"/>
      <c r="AE5" s="48"/>
      <c r="AF5" s="43"/>
      <c r="AG5" s="49">
        <f t="shared" ref="AG5:AG31" si="0">SUM(E5:AF5)</f>
        <v>121028.42199999999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63212.290999999997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-40.078999999999972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63172.212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8510.1680000000069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8510.1680000000069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63212.290999999997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63212.290999999997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121028.42199999999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121028.42199999999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45106.488999999994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45106.488999999994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33011.864999999998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33011.864999999998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11584.05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11584.05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1232.847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1232.847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-722.27300000000105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-722.27300000000105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-722.27300000000105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290.42</v>
      </c>
      <c r="AC16" s="297"/>
      <c r="AD16" s="47"/>
      <c r="AE16" s="48"/>
      <c r="AF16" s="43"/>
      <c r="AG16" s="49">
        <f t="shared" si="0"/>
        <v>-431.85300000000103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-503.27800000000104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-503.27800000000104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684.39299999999901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1.9999999901756382E-3</v>
      </c>
      <c r="AE18" s="300"/>
      <c r="AF18" s="59"/>
      <c r="AG18" s="49">
        <f t="shared" si="0"/>
        <v>684.39499999998918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684.39499999998918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3.5009999999999764</v>
      </c>
      <c r="AF19" s="48"/>
      <c r="AG19" s="49">
        <f t="shared" si="0"/>
        <v>687.89599999998916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687.89599999998916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1.3340000000000001</v>
      </c>
      <c r="AC20" s="48"/>
      <c r="AD20" s="303">
        <f>+Data!N299+Data!N300+Data!N301+Data!N302+Data!N307+Data!N310+Data!N311+Data!N312+Data!N313+Data!N314</f>
        <v>-121.985</v>
      </c>
      <c r="AE20" s="304">
        <f>+Data!N303</f>
        <v>270</v>
      </c>
      <c r="AF20" s="63"/>
      <c r="AG20" s="49">
        <f t="shared" si="0"/>
        <v>837.24499999998909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702.97299999998927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702.97299999998927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-40.078999999999972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-40.078999999999972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12709.642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-4199.4739999999929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8510.1680000000069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4942.5259999999817</v>
      </c>
      <c r="V25" s="43"/>
      <c r="W25" s="43"/>
      <c r="X25" s="43"/>
      <c r="Y25" s="48"/>
      <c r="Z25" s="293">
        <f>Data!N403</f>
        <v>-1762.555000000001</v>
      </c>
      <c r="AA25" s="305">
        <f>Data!N395</f>
        <v>563.48700000000053</v>
      </c>
      <c r="AB25" s="54"/>
      <c r="AC25" s="43"/>
      <c r="AD25" s="54"/>
      <c r="AE25" s="43"/>
      <c r="AF25" s="43"/>
      <c r="AG25" s="49">
        <f t="shared" si="0"/>
        <v>3743.457999999981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6550.4510000000009</v>
      </c>
      <c r="Z26" s="58"/>
      <c r="AA26" s="306"/>
      <c r="AB26" s="54"/>
      <c r="AC26" s="43"/>
      <c r="AD26" s="54"/>
      <c r="AE26" s="43"/>
      <c r="AF26" s="43"/>
      <c r="AG26" s="49">
        <f t="shared" si="0"/>
        <v>6550.4510000000009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-2806.9939999999997</v>
      </c>
      <c r="Z27" s="308"/>
      <c r="AA27" s="311"/>
      <c r="AB27" s="312"/>
      <c r="AC27" s="313"/>
      <c r="AD27" s="54"/>
      <c r="AE27" s="43"/>
      <c r="AF27" s="43"/>
      <c r="AG27" s="49">
        <f t="shared" si="0"/>
        <v>-2806.9939999999997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63172.212</v>
      </c>
      <c r="G28" s="64"/>
      <c r="H28" s="64"/>
      <c r="I28" s="65"/>
      <c r="J28" s="65"/>
      <c r="K28" s="315">
        <f>-Data!N245</f>
        <v>33011.864999999998</v>
      </c>
      <c r="L28" s="64"/>
      <c r="M28" s="315">
        <f>-Data!N247</f>
        <v>0</v>
      </c>
      <c r="N28" s="64"/>
      <c r="O28" s="64"/>
      <c r="P28" s="316">
        <f>-(Data!N256+Data!N83)</f>
        <v>71.424999999999997</v>
      </c>
      <c r="Q28" s="314">
        <f>-(Data!N261)</f>
        <v>167.309</v>
      </c>
      <c r="R28" s="314">
        <f>-Data!N267</f>
        <v>0</v>
      </c>
      <c r="S28" s="64"/>
      <c r="T28" s="314">
        <f>-Data!N306</f>
        <v>134.27199999999999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24763.093000000008</v>
      </c>
      <c r="AG28" s="49">
        <f t="shared" si="0"/>
        <v>121320.17599999999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11584.05</v>
      </c>
      <c r="M29" s="44"/>
      <c r="N29" s="293">
        <f>-Data!N248</f>
        <v>1232.847</v>
      </c>
      <c r="O29" s="48"/>
      <c r="P29" s="320">
        <f>(Data!N81+Data!N83)</f>
        <v>0</v>
      </c>
      <c r="Q29" s="321">
        <f>-Data!N262</f>
        <v>-1354.98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-11461.916999999999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8510.1680000000069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-8632.1510000000162</v>
      </c>
      <c r="AG30" s="49">
        <f t="shared" si="0"/>
        <v>-121.98300000000927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273.50099999999998</v>
      </c>
      <c r="AG31" s="49">
        <f t="shared" si="0"/>
        <v>273.50099999999998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8313.0060000000012</v>
      </c>
      <c r="AA32" s="317">
        <f>+Y27-AA25</f>
        <v>-3370.4810000000002</v>
      </c>
      <c r="AB32" s="66"/>
      <c r="AC32" s="43"/>
      <c r="AD32" s="43"/>
      <c r="AE32" s="43"/>
      <c r="AF32" s="43"/>
      <c r="AG32" s="43">
        <f>SUM(E32:AE32)</f>
        <v>4942.5250000000015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121028.42199999999</v>
      </c>
      <c r="F33" s="46">
        <f t="shared" si="1"/>
        <v>63172.212</v>
      </c>
      <c r="G33" s="46">
        <f t="shared" si="1"/>
        <v>8510.1680000000069</v>
      </c>
      <c r="H33" s="68">
        <f t="shared" si="1"/>
        <v>63212.290999999997</v>
      </c>
      <c r="I33" s="68">
        <f t="shared" si="1"/>
        <v>121028.42199999999</v>
      </c>
      <c r="J33" s="68">
        <f t="shared" si="1"/>
        <v>45106.488999999994</v>
      </c>
      <c r="K33" s="68">
        <f t="shared" si="1"/>
        <v>33011.864999999998</v>
      </c>
      <c r="L33" s="68">
        <f t="shared" si="1"/>
        <v>11584.05</v>
      </c>
      <c r="M33" s="68">
        <f t="shared" si="1"/>
        <v>0</v>
      </c>
      <c r="N33" s="68">
        <f t="shared" si="1"/>
        <v>1232.847</v>
      </c>
      <c r="O33" s="68">
        <f t="shared" si="1"/>
        <v>-722.27300000000105</v>
      </c>
      <c r="P33" s="68">
        <f t="shared" si="1"/>
        <v>-431.85300000000103</v>
      </c>
      <c r="Q33" s="68">
        <f t="shared" si="1"/>
        <v>-503.27800000000104</v>
      </c>
      <c r="R33" s="68">
        <f t="shared" si="1"/>
        <v>684.39499999998918</v>
      </c>
      <c r="S33" s="68">
        <f t="shared" si="1"/>
        <v>687.89599999998916</v>
      </c>
      <c r="T33" s="68">
        <f t="shared" si="1"/>
        <v>837.2449999999892</v>
      </c>
      <c r="U33" s="68">
        <f t="shared" si="1"/>
        <v>702.97299999998904</v>
      </c>
      <c r="V33" s="68">
        <f t="shared" si="1"/>
        <v>-40.078999999999972</v>
      </c>
      <c r="W33" s="68">
        <f t="shared" si="1"/>
        <v>8510.1680000000069</v>
      </c>
      <c r="X33" s="400">
        <f t="shared" si="1"/>
        <v>0</v>
      </c>
      <c r="Y33" s="68">
        <f t="shared" si="1"/>
        <v>3743.4570000000012</v>
      </c>
      <c r="Z33" s="69">
        <f t="shared" ref="Z33:AF33" si="2">SUM(Z5:Z32)</f>
        <v>6550.451</v>
      </c>
      <c r="AA33" s="69">
        <f t="shared" si="2"/>
        <v>-2806.9939999999997</v>
      </c>
      <c r="AB33" s="69">
        <f t="shared" si="2"/>
        <v>121320.17599999999</v>
      </c>
      <c r="AC33" s="69">
        <f t="shared" si="2"/>
        <v>0</v>
      </c>
      <c r="AD33" s="69">
        <f t="shared" si="2"/>
        <v>-121.98300000000982</v>
      </c>
      <c r="AE33" s="69">
        <f t="shared" si="2"/>
        <v>273.50099999999998</v>
      </c>
      <c r="AF33" s="69">
        <f t="shared" si="2"/>
        <v>4942.5259999999926</v>
      </c>
      <c r="AG33" s="43">
        <f>SUM(E33:AE33)</f>
        <v>606570.56799999997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-9.9999997974009602E-4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-5.5422333389287814E-13</v>
      </c>
      <c r="AE35" s="16">
        <f>AE33-AG31</f>
        <v>0</v>
      </c>
      <c r="AF35" s="16">
        <f>AF33-AG32</f>
        <v>9.999999911087798E-4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70" zoomScale="60" zoomScaleNormal="60" workbookViewId="0">
      <selection activeCell="B83" sqref="B83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90.71093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14" t="s">
        <v>613</v>
      </c>
      <c r="P12" s="414"/>
      <c r="Q12" s="414"/>
      <c r="R12" s="414"/>
      <c r="S12" s="414"/>
      <c r="T12" s="414"/>
      <c r="U12" s="414"/>
      <c r="V12" s="414"/>
      <c r="W12" s="414"/>
      <c r="X12" s="414"/>
      <c r="Y12" s="41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>+E9</f>
        <v>2009</v>
      </c>
      <c r="F13" s="184">
        <f>+F9</f>
        <v>2010</v>
      </c>
      <c r="G13" s="184">
        <f>+G9</f>
        <v>2011</v>
      </c>
      <c r="H13" s="184">
        <f t="shared" ref="H13:N13" si="0">+H9</f>
        <v>2012</v>
      </c>
      <c r="I13" s="184">
        <f t="shared" si="0"/>
        <v>2013</v>
      </c>
      <c r="J13" s="184">
        <f t="shared" si="0"/>
        <v>2014</v>
      </c>
      <c r="K13" s="184">
        <f t="shared" si="0"/>
        <v>2015</v>
      </c>
      <c r="L13" s="184">
        <f t="shared" si="0"/>
        <v>2016</v>
      </c>
      <c r="M13" s="184">
        <f t="shared" si="0"/>
        <v>2017</v>
      </c>
      <c r="N13" s="184">
        <f t="shared" si="0"/>
        <v>2018</v>
      </c>
      <c r="O13" s="177">
        <f>+D13</f>
        <v>2008</v>
      </c>
      <c r="P13" s="177">
        <f t="shared" ref="P13:V13" si="1">+E13</f>
        <v>2009</v>
      </c>
      <c r="Q13" s="177">
        <f t="shared" si="1"/>
        <v>2010</v>
      </c>
      <c r="R13" s="177">
        <f t="shared" si="1"/>
        <v>2011</v>
      </c>
      <c r="S13" s="177">
        <f t="shared" si="1"/>
        <v>2012</v>
      </c>
      <c r="T13" s="177">
        <f t="shared" si="1"/>
        <v>2013</v>
      </c>
      <c r="U13" s="177">
        <f t="shared" si="1"/>
        <v>2014</v>
      </c>
      <c r="V13" s="177">
        <f t="shared" si="1"/>
        <v>2015</v>
      </c>
      <c r="W13" s="177">
        <f>+L13</f>
        <v>2016</v>
      </c>
      <c r="X13" s="177">
        <f>+M13</f>
        <v>2017</v>
      </c>
      <c r="Y13" s="177">
        <f>+N13</f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24703.985840000001</v>
      </c>
      <c r="E15" s="229">
        <f>SUM(E16:E18)</f>
        <v>37813.083270000003</v>
      </c>
      <c r="F15" s="229">
        <f>SUM(F16:F18)</f>
        <v>36300.539000000004</v>
      </c>
      <c r="G15" s="229">
        <f>SUM(G16:G18)</f>
        <v>39331.737999999998</v>
      </c>
      <c r="H15" s="229">
        <f t="shared" ref="H15:N15" si="2">SUM(H16:H18)</f>
        <v>41795.188999999998</v>
      </c>
      <c r="I15" s="229">
        <f t="shared" si="2"/>
        <v>67367.255000000005</v>
      </c>
      <c r="J15" s="229">
        <f t="shared" si="2"/>
        <v>88055.812999999995</v>
      </c>
      <c r="K15" s="229">
        <f t="shared" si="2"/>
        <v>102784.391</v>
      </c>
      <c r="L15" s="229">
        <f t="shared" si="2"/>
        <v>112182.609</v>
      </c>
      <c r="M15" s="229">
        <f t="shared" si="2"/>
        <v>120117.55799999999</v>
      </c>
      <c r="N15" s="229">
        <f t="shared" si="2"/>
        <v>119042.094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1906.98774</v>
      </c>
      <c r="E16" s="229">
        <f>+Carga_datos!E58</f>
        <v>2511.06367</v>
      </c>
      <c r="F16" s="229">
        <f>+Carga_datos!F58</f>
        <v>1766.165</v>
      </c>
      <c r="G16" s="229">
        <f>+Carga_datos!G58</f>
        <v>1390.92</v>
      </c>
      <c r="H16" s="229">
        <f>+Carga_datos!H58</f>
        <v>1312.201</v>
      </c>
      <c r="I16" s="229">
        <f>+Carga_datos!I58</f>
        <v>2592.3829999999998</v>
      </c>
      <c r="J16" s="229">
        <f>+Carga_datos!J58</f>
        <v>2334.924</v>
      </c>
      <c r="K16" s="229">
        <f>+Carga_datos!K58</f>
        <v>1786.838</v>
      </c>
      <c r="L16" s="229">
        <f>+Carga_datos!L58</f>
        <v>1899.999</v>
      </c>
      <c r="M16" s="229">
        <f>+Carga_datos!M58</f>
        <v>954.13900000000001</v>
      </c>
      <c r="N16" s="229">
        <f>+Carga_datos!N58</f>
        <v>843.51900000000001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22796.998100000001</v>
      </c>
      <c r="E17" s="229">
        <f>+Carga_datos!E59</f>
        <v>35302.0196</v>
      </c>
      <c r="F17" s="229">
        <f>+Carga_datos!F59</f>
        <v>34534.374000000003</v>
      </c>
      <c r="G17" s="229">
        <f>+Carga_datos!G59</f>
        <v>37940.817999999999</v>
      </c>
      <c r="H17" s="229">
        <f>+Carga_datos!H59</f>
        <v>40482.987999999998</v>
      </c>
      <c r="I17" s="229">
        <f>+Carga_datos!I59</f>
        <v>64774.872000000003</v>
      </c>
      <c r="J17" s="229">
        <f>+Carga_datos!J59</f>
        <v>85720.888999999996</v>
      </c>
      <c r="K17" s="229">
        <f>+Carga_datos!K59</f>
        <v>100997.553</v>
      </c>
      <c r="L17" s="229">
        <f>+Carga_datos!L59</f>
        <v>110282.61</v>
      </c>
      <c r="M17" s="229">
        <f>+Carga_datos!M59</f>
        <v>119163.41899999999</v>
      </c>
      <c r="N17" s="229">
        <f>+Carga_datos!N59</f>
        <v>118198.575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-5101.7333600000002</v>
      </c>
      <c r="E21" s="229">
        <f>SUM(E22:E25)</f>
        <v>-7680.7102399999994</v>
      </c>
      <c r="F21" s="229">
        <f>SUM(F22:F25)</f>
        <v>-7881.9220000000005</v>
      </c>
      <c r="G21" s="229">
        <f>SUM(G22:G25)</f>
        <v>-9584.3150000000005</v>
      </c>
      <c r="H21" s="229">
        <f t="shared" ref="H21:N21" si="3">SUM(H22:H25)</f>
        <v>-9728.5399999999991</v>
      </c>
      <c r="I21" s="229">
        <f t="shared" si="3"/>
        <v>-17514.486000000001</v>
      </c>
      <c r="J21" s="229">
        <f t="shared" si="3"/>
        <v>-24237.631000000001</v>
      </c>
      <c r="K21" s="229">
        <f t="shared" si="3"/>
        <v>-26624.899000000001</v>
      </c>
      <c r="L21" s="229">
        <f t="shared" si="3"/>
        <v>-28775.249</v>
      </c>
      <c r="M21" s="229">
        <f t="shared" si="3"/>
        <v>-29720.755000000001</v>
      </c>
      <c r="N21" s="229">
        <f t="shared" si="3"/>
        <v>-28120.536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-1152.04179</v>
      </c>
      <c r="E22" s="229">
        <f>+Carga_datos!E64</f>
        <v>-1643.2539999999999</v>
      </c>
      <c r="F22" s="229">
        <f>+Carga_datos!F64</f>
        <v>-1147.8779999999999</v>
      </c>
      <c r="G22" s="229">
        <f>+Carga_datos!G64</f>
        <v>-890.42899999999997</v>
      </c>
      <c r="H22" s="229">
        <f>+Carga_datos!H64</f>
        <v>-915.79100000000005</v>
      </c>
      <c r="I22" s="229">
        <f>+Carga_datos!I64</f>
        <v>-1514.2059999999999</v>
      </c>
      <c r="J22" s="229">
        <f>+Carga_datos!J64</f>
        <v>-962.94200000000001</v>
      </c>
      <c r="K22" s="229">
        <f>+Carga_datos!K64</f>
        <v>-1202.019</v>
      </c>
      <c r="L22" s="229">
        <f>+Carga_datos!L64</f>
        <v>-1096.4490000000001</v>
      </c>
      <c r="M22" s="229">
        <f>+Carga_datos!M64</f>
        <v>-507.98500000000001</v>
      </c>
      <c r="N22" s="229">
        <f>+Carga_datos!N64</f>
        <v>-361.78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-3480.3180400000001</v>
      </c>
      <c r="E23" s="229">
        <f>+Carga_datos!E65</f>
        <v>-5412.6409999999996</v>
      </c>
      <c r="F23" s="229">
        <f>+Carga_datos!F65</f>
        <v>-6132.31</v>
      </c>
      <c r="G23" s="229">
        <f>+Carga_datos!G65</f>
        <v>-8017.3729999999996</v>
      </c>
      <c r="H23" s="229">
        <f>+Carga_datos!H65</f>
        <v>-8131.7860000000001</v>
      </c>
      <c r="I23" s="229">
        <f>+Carga_datos!I65</f>
        <v>-14134.563</v>
      </c>
      <c r="J23" s="229">
        <f>+Carga_datos!J65</f>
        <v>-18916.219000000001</v>
      </c>
      <c r="K23" s="229">
        <f>+Carga_datos!K65</f>
        <v>-20332.822</v>
      </c>
      <c r="L23" s="229">
        <f>+Carga_datos!L65</f>
        <v>-22144.109</v>
      </c>
      <c r="M23" s="229">
        <f>+Carga_datos!M65</f>
        <v>-23267.477999999999</v>
      </c>
      <c r="N23" s="229">
        <f>+Carga_datos!N65</f>
        <v>-22386.896000000001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-469.37353000000002</v>
      </c>
      <c r="E24" s="229">
        <f>+Carga_datos!E66</f>
        <v>-624.81524000000002</v>
      </c>
      <c r="F24" s="229">
        <f>+Carga_datos!F66</f>
        <v>-601.73400000000004</v>
      </c>
      <c r="G24" s="229">
        <f>+Carga_datos!G66</f>
        <v>-676.51300000000003</v>
      </c>
      <c r="H24" s="229">
        <f>+Carga_datos!H66</f>
        <v>-680.96299999999997</v>
      </c>
      <c r="I24" s="229">
        <f>+Carga_datos!I66</f>
        <v>-1865.7170000000001</v>
      </c>
      <c r="J24" s="229">
        <f>+Carga_datos!J66</f>
        <v>-4358.47</v>
      </c>
      <c r="K24" s="229">
        <f>+Carga_datos!K66</f>
        <v>-5090.058</v>
      </c>
      <c r="L24" s="229">
        <f>+Carga_datos!L66</f>
        <v>-5534.6909999999998</v>
      </c>
      <c r="M24" s="229">
        <f>+Carga_datos!M66</f>
        <v>-5945.2920000000004</v>
      </c>
      <c r="N24" s="229">
        <f>+Carga_datos!N66</f>
        <v>-5371.86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498.16557</v>
      </c>
      <c r="E26" s="229">
        <f>SUM(E27:E28)</f>
        <v>711.67534999999998</v>
      </c>
      <c r="F26" s="229">
        <f>SUM(F27:F28)</f>
        <v>608.27800000000002</v>
      </c>
      <c r="G26" s="229">
        <f>SUM(G27:G28)</f>
        <v>613.654</v>
      </c>
      <c r="H26" s="229">
        <f t="shared" ref="H26:N26" si="4">SUM(H27:H28)</f>
        <v>715.12199999999996</v>
      </c>
      <c r="I26" s="229">
        <f t="shared" si="4"/>
        <v>1470.8610000000001</v>
      </c>
      <c r="J26" s="229">
        <f t="shared" si="4"/>
        <v>1443.327</v>
      </c>
      <c r="K26" s="229">
        <f t="shared" si="4"/>
        <v>1585.8240000000001</v>
      </c>
      <c r="L26" s="229">
        <f t="shared" si="4"/>
        <v>1766.6890000000001</v>
      </c>
      <c r="M26" s="229">
        <f t="shared" si="4"/>
        <v>1902.6310000000001</v>
      </c>
      <c r="N26" s="229">
        <f t="shared" si="4"/>
        <v>1986.328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498.16557</v>
      </c>
      <c r="E27" s="229">
        <f>+Carga_datos!E69</f>
        <v>706.49748999999997</v>
      </c>
      <c r="F27" s="229">
        <f>+Carga_datos!F69</f>
        <v>608.27800000000002</v>
      </c>
      <c r="G27" s="229">
        <f>+Carga_datos!G69</f>
        <v>613.654</v>
      </c>
      <c r="H27" s="229">
        <f>+Carga_datos!H69</f>
        <v>715.12199999999996</v>
      </c>
      <c r="I27" s="229">
        <f>+Carga_datos!I69</f>
        <v>1470.8610000000001</v>
      </c>
      <c r="J27" s="229">
        <f>+Carga_datos!J69</f>
        <v>1443.327</v>
      </c>
      <c r="K27" s="229">
        <f>+Carga_datos!K69</f>
        <v>1585.8240000000001</v>
      </c>
      <c r="L27" s="229">
        <f>+Carga_datos!L69</f>
        <v>1766.6890000000001</v>
      </c>
      <c r="M27" s="229">
        <f>+Carga_datos!M69</f>
        <v>1902.6310000000001</v>
      </c>
      <c r="N27" s="229">
        <f>+Carga_datos!N69</f>
        <v>1986.328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5.1778599999999999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-11004.23847</v>
      </c>
      <c r="E29" s="229">
        <f>SUM(E30:E32)</f>
        <v>-16206.770410000001</v>
      </c>
      <c r="F29" s="229">
        <f>SUM(F30:F32)</f>
        <v>-15602.134</v>
      </c>
      <c r="G29" s="229">
        <f>SUM(G30:G32)</f>
        <v>-17461.710999999999</v>
      </c>
      <c r="H29" s="229">
        <f t="shared" ref="H29:N29" si="5">SUM(H30:H32)</f>
        <v>-18450.311999999998</v>
      </c>
      <c r="I29" s="229">
        <f t="shared" si="5"/>
        <v>-27282.208000000002</v>
      </c>
      <c r="J29" s="229">
        <f t="shared" si="5"/>
        <v>-32969.46</v>
      </c>
      <c r="K29" s="229">
        <f t="shared" si="5"/>
        <v>-37859.114000000001</v>
      </c>
      <c r="L29" s="229">
        <f t="shared" si="5"/>
        <v>-41028.940999999999</v>
      </c>
      <c r="M29" s="229">
        <f t="shared" si="5"/>
        <v>-42121.968000000001</v>
      </c>
      <c r="N29" s="229">
        <f t="shared" si="5"/>
        <v>-44595.914999999994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-8406.1776699999991</v>
      </c>
      <c r="E30" s="229">
        <f>+Carga_datos!E72</f>
        <v>-12406.13609</v>
      </c>
      <c r="F30" s="229">
        <f>+Carga_datos!F72</f>
        <v>-11887.299000000001</v>
      </c>
      <c r="G30" s="229">
        <f>+Carga_datos!G72</f>
        <v>-13275.573</v>
      </c>
      <c r="H30" s="229">
        <f>+Carga_datos!H72</f>
        <v>-14239.296</v>
      </c>
      <c r="I30" s="229">
        <f>+Carga_datos!I72</f>
        <v>-20737.255000000001</v>
      </c>
      <c r="J30" s="229">
        <f>+Carga_datos!J72</f>
        <v>-24532.16</v>
      </c>
      <c r="K30" s="229">
        <f>+Carga_datos!K72</f>
        <v>-28219.615000000002</v>
      </c>
      <c r="L30" s="229">
        <f>+Carga_datos!L72</f>
        <v>-30969.643</v>
      </c>
      <c r="M30" s="229">
        <f>+Carga_datos!M72</f>
        <v>-31467.655999999999</v>
      </c>
      <c r="N30" s="229">
        <f>+Carga_datos!N72</f>
        <v>-33011.864999999998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-2598.0608000000002</v>
      </c>
      <c r="E31" s="229">
        <f>+Carga_datos!E73</f>
        <v>-3744.6343200000001</v>
      </c>
      <c r="F31" s="229">
        <f>+Carga_datos!F73</f>
        <v>-3610.0169999999998</v>
      </c>
      <c r="G31" s="229">
        <f>+Carga_datos!G73</f>
        <v>-4137.6409999999996</v>
      </c>
      <c r="H31" s="229">
        <f>+Carga_datos!H73</f>
        <v>-4211.0159999999996</v>
      </c>
      <c r="I31" s="229">
        <f>+Carga_datos!I73</f>
        <v>-6522.09</v>
      </c>
      <c r="J31" s="229">
        <f>+Carga_datos!J73</f>
        <v>-8437.2999999999993</v>
      </c>
      <c r="K31" s="229">
        <f>+Carga_datos!K73</f>
        <v>-9639.4989999999998</v>
      </c>
      <c r="L31" s="229">
        <f>+Carga_datos!L73</f>
        <v>-10059.298000000001</v>
      </c>
      <c r="M31" s="229">
        <f>+Carga_datos!M73</f>
        <v>-10654.312</v>
      </c>
      <c r="N31" s="229">
        <f>+Carga_datos!N73</f>
        <v>-11584.05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-56</v>
      </c>
      <c r="F32" s="229">
        <f>+Carga_datos!F74</f>
        <v>-104.818</v>
      </c>
      <c r="G32" s="229">
        <f>+Carga_datos!G74</f>
        <v>-48.497</v>
      </c>
      <c r="H32" s="229">
        <f>+Carga_datos!H74</f>
        <v>0</v>
      </c>
      <c r="I32" s="229">
        <f>+Carga_datos!I74</f>
        <v>-22.863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-5980.9210999999996</v>
      </c>
      <c r="E33" s="229">
        <f>SUM(E34:E38)</f>
        <v>-8902.0658199999998</v>
      </c>
      <c r="F33" s="229">
        <f>SUM(F34:F38)</f>
        <v>-7772.7539999999999</v>
      </c>
      <c r="G33" s="229">
        <f>SUM(G34:G38)</f>
        <v>-7794.1530000000002</v>
      </c>
      <c r="H33" s="229">
        <f t="shared" ref="H33:N33" si="6">SUM(H34:H38)</f>
        <v>-9242.7189999999991</v>
      </c>
      <c r="I33" s="229">
        <f t="shared" si="6"/>
        <v>-17829.161</v>
      </c>
      <c r="J33" s="229">
        <f t="shared" si="6"/>
        <v>-25470.649000000001</v>
      </c>
      <c r="K33" s="229">
        <f t="shared" si="6"/>
        <v>-29927.293000000001</v>
      </c>
      <c r="L33" s="229">
        <f t="shared" si="6"/>
        <v>-37866.729999999996</v>
      </c>
      <c r="M33" s="229">
        <f t="shared" si="6"/>
        <v>-33301.040999999997</v>
      </c>
      <c r="N33" s="229">
        <f t="shared" si="6"/>
        <v>-36458.873999999996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-5558.3590599999998</v>
      </c>
      <c r="E34" s="229">
        <f>+Carga_datos!E76</f>
        <v>-8331.5021099999994</v>
      </c>
      <c r="F34" s="229">
        <f>+Carga_datos!F76</f>
        <v>-7233.3360000000002</v>
      </c>
      <c r="G34" s="229">
        <f>+Carga_datos!G76</f>
        <v>-7232.8950000000004</v>
      </c>
      <c r="H34" s="229">
        <f>+Carga_datos!H76</f>
        <v>-8614.7039999999997</v>
      </c>
      <c r="I34" s="229">
        <f>+Carga_datos!I76</f>
        <v>-16779.213</v>
      </c>
      <c r="J34" s="229">
        <f>+Carga_datos!J76</f>
        <v>-24667.859</v>
      </c>
      <c r="K34" s="229">
        <f>+Carga_datos!K76</f>
        <v>-28604.112000000001</v>
      </c>
      <c r="L34" s="229">
        <f>+Carga_datos!L76</f>
        <v>-30211.517</v>
      </c>
      <c r="M34" s="229">
        <f>+Carga_datos!M76</f>
        <v>-32154.391</v>
      </c>
      <c r="N34" s="229">
        <f>+Carga_datos!N76</f>
        <v>-35069.32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-360.23863999999998</v>
      </c>
      <c r="E35" s="229">
        <f>+Carga_datos!E77</f>
        <v>-543.02200000000005</v>
      </c>
      <c r="F35" s="229">
        <f>+Carga_datos!F77</f>
        <v>-534.49900000000002</v>
      </c>
      <c r="G35" s="229">
        <f>+Carga_datos!G77</f>
        <v>-532.84500000000003</v>
      </c>
      <c r="H35" s="229">
        <f>+Carga_datos!H77</f>
        <v>-626.98099999999999</v>
      </c>
      <c r="I35" s="229">
        <f>+Carga_datos!I77</f>
        <v>-834.60799999999995</v>
      </c>
      <c r="J35" s="229">
        <f>+Carga_datos!J77</f>
        <v>-945.73400000000004</v>
      </c>
      <c r="K35" s="229">
        <f>+Carga_datos!K77</f>
        <v>-1045.43</v>
      </c>
      <c r="L35" s="229">
        <f>+Carga_datos!L77</f>
        <v>-1301.1379999999999</v>
      </c>
      <c r="M35" s="229">
        <f>+Carga_datos!M77</f>
        <v>-1268.364</v>
      </c>
      <c r="N35" s="229">
        <f>+Carga_datos!N77</f>
        <v>-1232.847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-62.323399999999999</v>
      </c>
      <c r="E36" s="229">
        <f>+Carga_datos!E78</f>
        <v>-27.541709999999998</v>
      </c>
      <c r="F36" s="229">
        <f>+Carga_datos!F78</f>
        <v>-4.9189999999999996</v>
      </c>
      <c r="G36" s="229">
        <f>+Carga_datos!G78</f>
        <v>-28.413</v>
      </c>
      <c r="H36" s="229">
        <f>+Carga_datos!H78</f>
        <v>-1.034</v>
      </c>
      <c r="I36" s="229">
        <f>+Carga_datos!I78</f>
        <v>-200.72200000000001</v>
      </c>
      <c r="J36" s="229">
        <f>+Carga_datos!J78</f>
        <v>158.28100000000001</v>
      </c>
      <c r="K36" s="229">
        <f>+Carga_datos!K78</f>
        <v>-251.29</v>
      </c>
      <c r="L36" s="229">
        <f>+Carga_datos!L78</f>
        <v>-6328.2669999999998</v>
      </c>
      <c r="M36" s="229">
        <f>+Carga_datos!M78</f>
        <v>146.33799999999999</v>
      </c>
      <c r="N36" s="229">
        <f>+Carga_datos!N78</f>
        <v>-134.27199999999999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-14.618</v>
      </c>
      <c r="J37" s="229">
        <f>+Carga_datos!J79</f>
        <v>-15.337</v>
      </c>
      <c r="K37" s="229">
        <f>+Carga_datos!K79</f>
        <v>-26.460999999999999</v>
      </c>
      <c r="L37" s="229">
        <f>+Carga_datos!L79</f>
        <v>-25.808</v>
      </c>
      <c r="M37" s="229">
        <f>+Carga_datos!M79</f>
        <v>-24.623999999999999</v>
      </c>
      <c r="N37" s="229">
        <f>+Carga_datos!N79</f>
        <v>-22.434999999999999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-3045.3976499999999</v>
      </c>
      <c r="E39" s="229">
        <f>+Carga_datos!E81</f>
        <v>-4512.6676200000002</v>
      </c>
      <c r="F39" s="229">
        <f>+Carga_datos!F81</f>
        <v>-5163.9319999999998</v>
      </c>
      <c r="G39" s="229">
        <f>+Carga_datos!G81</f>
        <v>-4901.8940000000002</v>
      </c>
      <c r="H39" s="229">
        <f>+Carga_datos!H81</f>
        <v>-5208.5200000000004</v>
      </c>
      <c r="I39" s="229">
        <f>+Carga_datos!I81</f>
        <v>-5188.3900000000003</v>
      </c>
      <c r="J39" s="229">
        <f>+Carga_datos!J81</f>
        <v>-5590.6480000000001</v>
      </c>
      <c r="K39" s="229">
        <f>+Carga_datos!K81</f>
        <v>-6779.9989999999998</v>
      </c>
      <c r="L39" s="229">
        <f>+Carga_datos!L81</f>
        <v>-7726.0720000000001</v>
      </c>
      <c r="M39" s="229">
        <f>+Carga_datos!M81</f>
        <v>-9883.2150000000001</v>
      </c>
      <c r="N39" s="229">
        <f>+Carga_datos!N81</f>
        <v>-10254.243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41.098860000000002</v>
      </c>
      <c r="E40" s="229">
        <f>+Carga_datos!E82</f>
        <v>54.798479999999998</v>
      </c>
      <c r="F40" s="229">
        <f>+Carga_datos!F82</f>
        <v>65.700999999999993</v>
      </c>
      <c r="G40" s="229">
        <f>+Carga_datos!G82</f>
        <v>67.22</v>
      </c>
      <c r="H40" s="229">
        <f>+Carga_datos!H82</f>
        <v>51.249000000000002</v>
      </c>
      <c r="I40" s="229">
        <f>+Carga_datos!I82</f>
        <v>17.158000000000001</v>
      </c>
      <c r="J40" s="229">
        <f>+Carga_datos!J82</f>
        <v>12.215</v>
      </c>
      <c r="K40" s="229">
        <f>+Carga_datos!K82</f>
        <v>34.081000000000003</v>
      </c>
      <c r="L40" s="229">
        <f>+Carga_datos!L82</f>
        <v>15.407</v>
      </c>
      <c r="M40" s="229">
        <f>+Carga_datos!M82</f>
        <v>1095.4069999999999</v>
      </c>
      <c r="N40" s="229">
        <f>+Carga_datos!N82</f>
        <v>1095.4079999999999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34.652000000000001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6140.96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-339.98</v>
      </c>
      <c r="E42" s="229">
        <f>SUM(E43:E44)</f>
        <v>-420.82189</v>
      </c>
      <c r="F42" s="229">
        <f>SUM(F43:F44)</f>
        <v>-186.12799999999999</v>
      </c>
      <c r="G42" s="229">
        <f>SUM(G43:G44)</f>
        <v>-182.22800000000001</v>
      </c>
      <c r="H42" s="229">
        <f t="shared" ref="H42:N42" si="7">SUM(H43:H44)</f>
        <v>-81.180999999999997</v>
      </c>
      <c r="I42" s="229">
        <f t="shared" si="7"/>
        <v>-160.07</v>
      </c>
      <c r="J42" s="229">
        <f t="shared" si="7"/>
        <v>-267.49900000000002</v>
      </c>
      <c r="K42" s="229">
        <f t="shared" si="7"/>
        <v>-57.119</v>
      </c>
      <c r="L42" s="229">
        <f t="shared" si="7"/>
        <v>-181.08</v>
      </c>
      <c r="M42" s="229">
        <f t="shared" si="7"/>
        <v>-130.84100000000001</v>
      </c>
      <c r="N42" s="229">
        <f t="shared" si="7"/>
        <v>-2577.384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-203.09299999999999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-2455.3989999999999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-339.98</v>
      </c>
      <c r="E44" s="229">
        <f>+Carga_datos!E86</f>
        <v>-217.72889000000001</v>
      </c>
      <c r="F44" s="229">
        <f>+Carga_datos!F86</f>
        <v>-186.12799999999999</v>
      </c>
      <c r="G44" s="229">
        <f>+Carga_datos!G86</f>
        <v>-182.22800000000001</v>
      </c>
      <c r="H44" s="229">
        <f>+Carga_datos!H86</f>
        <v>-81.180999999999997</v>
      </c>
      <c r="I44" s="229">
        <f>+Carga_datos!I86</f>
        <v>-160.07</v>
      </c>
      <c r="J44" s="229">
        <f>+Carga_datos!J86</f>
        <v>-267.49900000000002</v>
      </c>
      <c r="K44" s="229">
        <f>+Carga_datos!K86</f>
        <v>-57.119</v>
      </c>
      <c r="L44" s="229">
        <f>+Carga_datos!L86</f>
        <v>-181.08</v>
      </c>
      <c r="M44" s="229">
        <f>+Carga_datos!M86</f>
        <v>-130.84100000000001</v>
      </c>
      <c r="N44" s="229">
        <f>+Carga_datos!N86</f>
        <v>-121.985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-13.47845</v>
      </c>
      <c r="E46" s="229">
        <f>+Carga_datos!E88</f>
        <v>22.162749999999999</v>
      </c>
      <c r="F46" s="229">
        <f>+Carga_datos!F88</f>
        <v>-4.1779999999999999</v>
      </c>
      <c r="G46" s="229">
        <f>+Carga_datos!G88</f>
        <v>-0.221</v>
      </c>
      <c r="H46" s="229">
        <f>+Carga_datos!H88</f>
        <v>-27.65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-167.309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-242.49875999999585</v>
      </c>
      <c r="E47" s="231">
        <f>+E15+E19+E20+E21+E26+E29+E33+E39+E40+E41+E42+E45+E46</f>
        <v>878.6838700000028</v>
      </c>
      <c r="F47" s="231">
        <f>+F15+F19+F20+F21+F26+F29+F33+F39+F40+F41+F42+F45+F46</f>
        <v>363.4700000000044</v>
      </c>
      <c r="G47" s="231">
        <f>+G15+G19+G20+G21+G26+G29+G33+G39+G40+G41+G42+G45+G46</f>
        <v>88.089999999994063</v>
      </c>
      <c r="H47" s="231">
        <f t="shared" ref="H47:N47" si="8">+H15+H19+H20+H21+H26+H29+H33+H39+H40+H41+H42+H45+H46</f>
        <v>-142.70999999999702</v>
      </c>
      <c r="I47" s="231">
        <f t="shared" si="8"/>
        <v>880.9589999999946</v>
      </c>
      <c r="J47" s="231">
        <f t="shared" si="8"/>
        <v>975.4679999999903</v>
      </c>
      <c r="K47" s="231">
        <f t="shared" si="8"/>
        <v>3155.8719999999889</v>
      </c>
      <c r="L47" s="231">
        <f t="shared" si="8"/>
        <v>-1613.3669999999959</v>
      </c>
      <c r="M47" s="231">
        <f t="shared" si="8"/>
        <v>14098.735999999981</v>
      </c>
      <c r="N47" s="231">
        <f t="shared" si="8"/>
        <v>-50.431000000006208</v>
      </c>
      <c r="O47" s="335">
        <f>+Carga_datos!D89-Data!D47</f>
        <v>-4.1495695768389851E-12</v>
      </c>
      <c r="P47" s="335">
        <f>+Carga_datos!E89-Data!E47</f>
        <v>-2.8421709430404007E-12</v>
      </c>
      <c r="Q47" s="335">
        <f>+Carga_datos!F89-Data!F47</f>
        <v>-4.3769432522822171E-12</v>
      </c>
      <c r="R47" s="335">
        <f>+Carga_datos!G89-Data!G47</f>
        <v>5.9401372709544376E-12</v>
      </c>
      <c r="S47" s="335">
        <f>+Carga_datos!H89-Data!H47</f>
        <v>-2.9842794901924208E-12</v>
      </c>
      <c r="T47" s="335">
        <f>+Carga_datos!I89-Data!I47</f>
        <v>5.3432813729159534E-12</v>
      </c>
      <c r="U47" s="335">
        <f>+Carga_datos!J89-Data!J47</f>
        <v>9.6633812063373625E-12</v>
      </c>
      <c r="V47" s="335">
        <f>+Carga_datos!K89-Data!K47</f>
        <v>1.0913936421275139E-11</v>
      </c>
      <c r="W47" s="335">
        <f>+Carga_datos!L89-Data!L47</f>
        <v>-4.0927261579781771E-12</v>
      </c>
      <c r="X47" s="335">
        <f>+Carga_datos!M89-Data!M47</f>
        <v>2.0008883439004421E-11</v>
      </c>
      <c r="Y47" s="335">
        <f>+Carga_datos!N89-Data!N47</f>
        <v>6.2101435105432756E-12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799.96618000000001</v>
      </c>
      <c r="E48" s="229">
        <f>+Carga_datos!E90</f>
        <v>272.68166000000002</v>
      </c>
      <c r="F48" s="229">
        <f>+Carga_datos!F90</f>
        <v>157.97200000000001</v>
      </c>
      <c r="G48" s="229">
        <f>+Carga_datos!G90</f>
        <v>155.65899999999999</v>
      </c>
      <c r="H48" s="229">
        <f>+Carga_datos!H90</f>
        <v>181.98599999999999</v>
      </c>
      <c r="I48" s="229">
        <f>+Carga_datos!I90</f>
        <v>367.62200000000001</v>
      </c>
      <c r="J48" s="229">
        <f>+Carga_datos!J90</f>
        <v>665.23400000000004</v>
      </c>
      <c r="K48" s="229">
        <f>+Carga_datos!K90</f>
        <v>655.54700000000003</v>
      </c>
      <c r="L48" s="229">
        <f>+Carga_datos!L90</f>
        <v>461.07900000000001</v>
      </c>
      <c r="M48" s="229">
        <f>+Carga_datos!M90</f>
        <v>559.26099999999997</v>
      </c>
      <c r="N48" s="229">
        <f>+Carga_datos!N90</f>
        <v>290.42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-25.614989999999999</v>
      </c>
      <c r="E49" s="229">
        <f>+Carga_datos!E91</f>
        <v>-35.140709999999999</v>
      </c>
      <c r="F49" s="229">
        <f>+Carga_datos!F91</f>
        <v>-54.847999999999999</v>
      </c>
      <c r="G49" s="229">
        <f>+Carga_datos!G91</f>
        <v>-91.212000000000003</v>
      </c>
      <c r="H49" s="229">
        <f>+Carga_datos!H91</f>
        <v>-92.57</v>
      </c>
      <c r="I49" s="229">
        <f>+Carga_datos!I91</f>
        <v>-330.62799999999999</v>
      </c>
      <c r="J49" s="229">
        <f>+Carga_datos!J91</f>
        <v>-661.49</v>
      </c>
      <c r="K49" s="229">
        <f>+Carga_datos!K91</f>
        <v>-1195.577</v>
      </c>
      <c r="L49" s="229">
        <f>+Carga_datos!L91</f>
        <v>-969.40200000000004</v>
      </c>
      <c r="M49" s="229">
        <f>+Carga_datos!M91</f>
        <v>-551.27599999999995</v>
      </c>
      <c r="N49" s="229">
        <f>+Carga_datos!N91</f>
        <v>-71.424999999999997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-0.24246000000000001</v>
      </c>
      <c r="F51" s="229">
        <f>+Carga_datos!F93</f>
        <v>-6.9000000000000006E-2</v>
      </c>
      <c r="G51" s="229">
        <f>+Carga_datos!G93</f>
        <v>-2.3E-2</v>
      </c>
      <c r="H51" s="229">
        <f>+Carga_datos!H93</f>
        <v>-1.7999999999999999E-2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23.262</v>
      </c>
      <c r="N51" s="229">
        <f>+Carga_datos!N93</f>
        <v>1.3340000000000001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>SUM(E53:E54)</f>
        <v>58.927770000000002</v>
      </c>
      <c r="F52" s="229">
        <f>SUM(F53:F54)</f>
        <v>0</v>
      </c>
      <c r="G52" s="229">
        <f>SUM(G53:G54)</f>
        <v>0</v>
      </c>
      <c r="H52" s="229">
        <f t="shared" ref="H52:N52" si="9">SUM(H53:H54)</f>
        <v>0</v>
      </c>
      <c r="I52" s="229">
        <f t="shared" si="9"/>
        <v>0</v>
      </c>
      <c r="J52" s="229">
        <f t="shared" si="9"/>
        <v>0</v>
      </c>
      <c r="K52" s="229">
        <f t="shared" si="9"/>
        <v>0</v>
      </c>
      <c r="L52" s="229">
        <f t="shared" si="9"/>
        <v>-202.38800000000001</v>
      </c>
      <c r="M52" s="229">
        <f t="shared" si="9"/>
        <v>0</v>
      </c>
      <c r="N52" s="229">
        <f t="shared" si="9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-202.38800000000001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58.927770000000002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>SUM(E56:E58)</f>
        <v>0</v>
      </c>
      <c r="F55" s="229">
        <f>SUM(F56:F58)</f>
        <v>0</v>
      </c>
      <c r="G55" s="229">
        <f>SUM(G56:G58)</f>
        <v>0</v>
      </c>
      <c r="H55" s="229">
        <f t="shared" ref="H55:N55" si="10">SUM(H56:H58)</f>
        <v>0</v>
      </c>
      <c r="I55" s="229">
        <f t="shared" si="10"/>
        <v>0</v>
      </c>
      <c r="J55" s="229">
        <f t="shared" si="10"/>
        <v>0</v>
      </c>
      <c r="K55" s="229">
        <f t="shared" si="10"/>
        <v>0</v>
      </c>
      <c r="L55" s="229">
        <f t="shared" si="10"/>
        <v>0</v>
      </c>
      <c r="M55" s="229">
        <f t="shared" si="10"/>
        <v>0</v>
      </c>
      <c r="N55" s="229">
        <f t="shared" si="10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774.35118999999997</v>
      </c>
      <c r="E59" s="231">
        <f>+E48+E49+E50+E51+E52+E55</f>
        <v>296.22626000000002</v>
      </c>
      <c r="F59" s="231">
        <f>+F48+F49+F50+F51+F52+F55</f>
        <v>103.05500000000001</v>
      </c>
      <c r="G59" s="231">
        <f>+G48+G49+G50+G51+G52+G55</f>
        <v>64.423999999999992</v>
      </c>
      <c r="H59" s="231">
        <f t="shared" ref="H59:N59" si="11">+H48+H49+H50+H51+H52+H55</f>
        <v>89.397999999999996</v>
      </c>
      <c r="I59" s="231">
        <f t="shared" si="11"/>
        <v>36.994000000000028</v>
      </c>
      <c r="J59" s="231">
        <f t="shared" si="11"/>
        <v>3.7440000000000282</v>
      </c>
      <c r="K59" s="231">
        <f t="shared" si="11"/>
        <v>-540.03</v>
      </c>
      <c r="L59" s="231">
        <f t="shared" si="11"/>
        <v>-710.71100000000001</v>
      </c>
      <c r="M59" s="231">
        <f t="shared" si="11"/>
        <v>31.247000000000014</v>
      </c>
      <c r="N59" s="231">
        <f t="shared" si="11"/>
        <v>220.32900000000001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-2.7977620220553945E-14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531.85243000000412</v>
      </c>
      <c r="E60" s="231">
        <f>+E47+E59</f>
        <v>1174.9101300000029</v>
      </c>
      <c r="F60" s="231">
        <f>+F47+F59</f>
        <v>466.52500000000441</v>
      </c>
      <c r="G60" s="231">
        <f>+G47+G59</f>
        <v>152.51399999999404</v>
      </c>
      <c r="H60" s="231">
        <f t="shared" ref="H60:N60" si="12">+H47+H59</f>
        <v>-53.311999999997028</v>
      </c>
      <c r="I60" s="231">
        <f t="shared" si="12"/>
        <v>917.95299999999463</v>
      </c>
      <c r="J60" s="231">
        <f t="shared" si="12"/>
        <v>979.21199999999033</v>
      </c>
      <c r="K60" s="231">
        <f t="shared" si="12"/>
        <v>2615.8419999999887</v>
      </c>
      <c r="L60" s="231">
        <f t="shared" si="12"/>
        <v>-2324.0779999999959</v>
      </c>
      <c r="M60" s="231">
        <f t="shared" si="12"/>
        <v>14129.98299999998</v>
      </c>
      <c r="N60" s="231">
        <f t="shared" si="12"/>
        <v>169.8979999999938</v>
      </c>
      <c r="O60" s="335">
        <f>+Carga_datos!D102-Data!D60</f>
        <v>-4.0927261579781771E-12</v>
      </c>
      <c r="P60" s="335">
        <f>+Carga_datos!E102-Data!E60</f>
        <v>-2.9558577807620168E-12</v>
      </c>
      <c r="Q60" s="335">
        <f>+Carga_datos!F102-Data!F60</f>
        <v>-4.4337866711430252E-12</v>
      </c>
      <c r="R60" s="335">
        <f>+Carga_datos!G102-Data!G60</f>
        <v>5.9685589803848416E-12</v>
      </c>
      <c r="S60" s="335">
        <f>+Carga_datos!H102-Data!H60</f>
        <v>-2.9700686354772188E-12</v>
      </c>
      <c r="T60" s="335">
        <f>+Carga_datos!I102-Data!I60</f>
        <v>5.3432813729159534E-12</v>
      </c>
      <c r="U60" s="335">
        <f>+Carga_datos!J102-Data!J60</f>
        <v>9.6633812063373625E-12</v>
      </c>
      <c r="V60" s="335">
        <f>+Carga_datos!K102-Data!K60</f>
        <v>1.1368683772161603E-11</v>
      </c>
      <c r="W60" s="335">
        <f>+Carga_datos!L102-Data!L60</f>
        <v>-4.0927261579781771E-12</v>
      </c>
      <c r="X60" s="335">
        <f>+Carga_datos!M102-Data!M60</f>
        <v>2.0008883439004421E-11</v>
      </c>
      <c r="Y60" s="335">
        <f>+Carga_datos!N102-Data!N60</f>
        <v>6.1959326558280736E-12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352.57832000000002</v>
      </c>
      <c r="E61" s="229">
        <f>+Carga_datos!E103</f>
        <v>661.78448000000003</v>
      </c>
      <c r="F61" s="229">
        <f>+Carga_datos!F103</f>
        <v>1821.9480000000001</v>
      </c>
      <c r="G61" s="229">
        <f>+Carga_datos!G103</f>
        <v>-933.65800000000002</v>
      </c>
      <c r="H61" s="229">
        <f>+Carga_datos!H103</f>
        <v>-261.86599999999999</v>
      </c>
      <c r="I61" s="229">
        <f>+Carga_datos!I103</f>
        <v>-9.9359999999999999</v>
      </c>
      <c r="J61" s="229">
        <f>+Carga_datos!J103</f>
        <v>967.33399999999995</v>
      </c>
      <c r="K61" s="229">
        <f>+Carga_datos!K103</f>
        <v>-428.23200000000003</v>
      </c>
      <c r="L61" s="229">
        <f>+Carga_datos!L103</f>
        <v>7343.8689999999997</v>
      </c>
      <c r="M61" s="229">
        <f>+Carga_datos!M103</f>
        <v>-474.221</v>
      </c>
      <c r="N61" s="229">
        <f>+Carga_datos!N103</f>
        <v>1354.98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884.43075000000408</v>
      </c>
      <c r="E62" s="231">
        <f>+E60+E61</f>
        <v>1836.694610000003</v>
      </c>
      <c r="F62" s="231">
        <f>+F60+F61</f>
        <v>2288.4730000000045</v>
      </c>
      <c r="G62" s="231">
        <f>+G60+G61</f>
        <v>-781.14400000000592</v>
      </c>
      <c r="H62" s="231">
        <f t="shared" ref="H62:N62" si="13">+H60+H61</f>
        <v>-315.17799999999704</v>
      </c>
      <c r="I62" s="231">
        <f t="shared" si="13"/>
        <v>908.0169999999946</v>
      </c>
      <c r="J62" s="231">
        <f t="shared" si="13"/>
        <v>1946.5459999999903</v>
      </c>
      <c r="K62" s="231">
        <f t="shared" si="13"/>
        <v>2187.6099999999888</v>
      </c>
      <c r="L62" s="231">
        <f t="shared" si="13"/>
        <v>5019.7910000000038</v>
      </c>
      <c r="M62" s="231">
        <f t="shared" si="13"/>
        <v>13655.761999999981</v>
      </c>
      <c r="N62" s="231">
        <f t="shared" si="13"/>
        <v>1524.8779999999938</v>
      </c>
      <c r="O62" s="335">
        <f>Carga_datos!D104-Data!D62</f>
        <v>-4.0927261579781771E-12</v>
      </c>
      <c r="P62" s="335">
        <f>Carga_datos!E104-Data!E62</f>
        <v>-2.9558577807620168E-12</v>
      </c>
      <c r="Q62" s="335">
        <f>Carga_datos!F104-Data!F62</f>
        <v>-4.5474735088646412E-12</v>
      </c>
      <c r="R62" s="335">
        <f>Carga_datos!G104-Data!G62</f>
        <v>5.9117155615240335E-12</v>
      </c>
      <c r="S62" s="335">
        <f>Carga_datos!H104-Data!H62</f>
        <v>-2.9558577807620168E-12</v>
      </c>
      <c r="T62" s="335">
        <f>Carga_datos!I104-Data!I62</f>
        <v>5.4569682106375694E-12</v>
      </c>
      <c r="U62" s="335">
        <f>Carga_datos!J104-Data!J62</f>
        <v>9.7770680440589786E-12</v>
      </c>
      <c r="V62" s="335">
        <f>Carga_datos!K104-Data!K62</f>
        <v>1.1368683772161603E-11</v>
      </c>
      <c r="W62" s="335">
        <f>Carga_datos!L104-Data!L62</f>
        <v>0</v>
      </c>
      <c r="X62" s="335">
        <f>Carga_datos!M104-Data!M62</f>
        <v>2.0008883439004421E-11</v>
      </c>
      <c r="Y62" s="335">
        <f>Carga_datos!N104-Data!N62</f>
        <v>6.1390892369672656E-12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884.43075000000408</v>
      </c>
      <c r="E65" s="231">
        <f>+E62+E64</f>
        <v>1836.694610000003</v>
      </c>
      <c r="F65" s="231">
        <f>+F62+F64</f>
        <v>2288.4730000000045</v>
      </c>
      <c r="G65" s="231">
        <f>+G62+G64</f>
        <v>-781.14400000000592</v>
      </c>
      <c r="H65" s="231">
        <f t="shared" ref="H65:N65" si="14">+H62+H64</f>
        <v>-315.17799999999704</v>
      </c>
      <c r="I65" s="231">
        <f t="shared" si="14"/>
        <v>908.0169999999946</v>
      </c>
      <c r="J65" s="231">
        <f t="shared" si="14"/>
        <v>1946.5459999999903</v>
      </c>
      <c r="K65" s="231">
        <f t="shared" si="14"/>
        <v>2187.6099999999888</v>
      </c>
      <c r="L65" s="231">
        <f t="shared" si="14"/>
        <v>5019.7910000000038</v>
      </c>
      <c r="M65" s="231">
        <f t="shared" si="14"/>
        <v>13655.761999999981</v>
      </c>
      <c r="N65" s="231">
        <f t="shared" si="14"/>
        <v>1524.8779999999938</v>
      </c>
      <c r="O65" s="335">
        <f>+Carga_datos!D106-Data!D65</f>
        <v>-4.0927261579781771E-12</v>
      </c>
      <c r="P65" s="335">
        <f>+Carga_datos!E106-Data!E65</f>
        <v>-2.9558577807620168E-12</v>
      </c>
      <c r="Q65" s="335">
        <f>+Carga_datos!F106-Data!F65</f>
        <v>-4.5474735088646412E-12</v>
      </c>
      <c r="R65" s="335">
        <f>+Carga_datos!G106-Data!G65</f>
        <v>5.9117155615240335E-12</v>
      </c>
      <c r="S65" s="335">
        <f>+Carga_datos!H106-Data!H65</f>
        <v>-2.9558577807620168E-12</v>
      </c>
      <c r="T65" s="335">
        <f>+Carga_datos!I106-Data!I65</f>
        <v>5.4569682106375694E-12</v>
      </c>
      <c r="U65" s="335">
        <f>+Carga_datos!J106-Data!J65</f>
        <v>9.7770680440589786E-12</v>
      </c>
      <c r="V65" s="335">
        <f>+Carga_datos!K106-Data!K65</f>
        <v>1.1368683772161603E-11</v>
      </c>
      <c r="W65" s="335">
        <f>+Carga_datos!L106-Data!L65</f>
        <v>0</v>
      </c>
      <c r="X65" s="335">
        <f>+Carga_datos!M106-Data!M65</f>
        <v>2.0008883439004421E-11</v>
      </c>
      <c r="Y65" s="335">
        <f>+Carga_datos!N106-Data!N65</f>
        <v>6.1390892369672656E-12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>+E9</f>
        <v>2009</v>
      </c>
      <c r="F68" s="234">
        <f>+F9</f>
        <v>2010</v>
      </c>
      <c r="G68" s="234">
        <f>+G9</f>
        <v>2011</v>
      </c>
      <c r="H68" s="234">
        <f t="shared" ref="H68:N68" si="15">+H9</f>
        <v>2012</v>
      </c>
      <c r="I68" s="234">
        <f t="shared" si="15"/>
        <v>2013</v>
      </c>
      <c r="J68" s="234">
        <f t="shared" si="15"/>
        <v>2014</v>
      </c>
      <c r="K68" s="234">
        <f t="shared" si="15"/>
        <v>2015</v>
      </c>
      <c r="L68" s="234">
        <f t="shared" si="15"/>
        <v>2016</v>
      </c>
      <c r="M68" s="234">
        <f t="shared" si="15"/>
        <v>2017</v>
      </c>
      <c r="N68" s="234">
        <f t="shared" si="15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16">+E22</f>
        <v>-1643.2539999999999</v>
      </c>
      <c r="F71" s="267">
        <f t="shared" si="16"/>
        <v>-1147.8779999999999</v>
      </c>
      <c r="G71" s="267">
        <f t="shared" si="16"/>
        <v>-890.42899999999997</v>
      </c>
      <c r="H71" s="267">
        <f t="shared" ref="H71:N71" si="17">+H22</f>
        <v>-915.79100000000005</v>
      </c>
      <c r="I71" s="267">
        <f t="shared" si="17"/>
        <v>-1514.2059999999999</v>
      </c>
      <c r="J71" s="267">
        <f t="shared" si="17"/>
        <v>-962.94200000000001</v>
      </c>
      <c r="K71" s="267">
        <f t="shared" si="17"/>
        <v>-1202.019</v>
      </c>
      <c r="L71" s="267">
        <f t="shared" si="17"/>
        <v>-1096.4490000000001</v>
      </c>
      <c r="M71" s="267">
        <f t="shared" si="17"/>
        <v>-507.98500000000001</v>
      </c>
      <c r="N71" s="267">
        <f t="shared" si="17"/>
        <v>-361.78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16"/>
        <v>-5412.6409999999996</v>
      </c>
      <c r="F72" s="267">
        <f t="shared" si="16"/>
        <v>-6132.31</v>
      </c>
      <c r="G72" s="267">
        <f t="shared" si="16"/>
        <v>-8017.3729999999996</v>
      </c>
      <c r="H72" s="267">
        <f t="shared" ref="H72:N72" si="18">+H23</f>
        <v>-8131.7860000000001</v>
      </c>
      <c r="I72" s="267">
        <f t="shared" si="18"/>
        <v>-14134.563</v>
      </c>
      <c r="J72" s="267">
        <f t="shared" si="18"/>
        <v>-18916.219000000001</v>
      </c>
      <c r="K72" s="267">
        <f t="shared" si="18"/>
        <v>-20332.822</v>
      </c>
      <c r="L72" s="267">
        <f t="shared" si="18"/>
        <v>-22144.109</v>
      </c>
      <c r="M72" s="267">
        <f t="shared" si="18"/>
        <v>-23267.477999999999</v>
      </c>
      <c r="N72" s="267">
        <f t="shared" si="18"/>
        <v>-22386.896000000001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16"/>
        <v>-624.81524000000002</v>
      </c>
      <c r="F73" s="267">
        <f t="shared" si="16"/>
        <v>-601.73400000000004</v>
      </c>
      <c r="G73" s="267">
        <f t="shared" si="16"/>
        <v>-676.51300000000003</v>
      </c>
      <c r="H73" s="267">
        <f t="shared" ref="H73:N73" si="19">+H24</f>
        <v>-680.96299999999997</v>
      </c>
      <c r="I73" s="267">
        <f t="shared" si="19"/>
        <v>-1865.7170000000001</v>
      </c>
      <c r="J73" s="267">
        <f t="shared" si="19"/>
        <v>-4358.47</v>
      </c>
      <c r="K73" s="267">
        <f t="shared" si="19"/>
        <v>-5090.058</v>
      </c>
      <c r="L73" s="267">
        <f t="shared" si="19"/>
        <v>-5534.6909999999998</v>
      </c>
      <c r="M73" s="267">
        <f t="shared" si="19"/>
        <v>-5945.2920000000004</v>
      </c>
      <c r="N73" s="267">
        <f t="shared" si="19"/>
        <v>-5371.86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16"/>
        <v>0</v>
      </c>
      <c r="F74" s="267">
        <f t="shared" si="16"/>
        <v>0</v>
      </c>
      <c r="G74" s="267">
        <f t="shared" si="16"/>
        <v>0</v>
      </c>
      <c r="H74" s="267">
        <f t="shared" ref="H74:N74" si="20">+H25</f>
        <v>0</v>
      </c>
      <c r="I74" s="267">
        <f t="shared" si="20"/>
        <v>0</v>
      </c>
      <c r="J74" s="267">
        <f t="shared" si="20"/>
        <v>0</v>
      </c>
      <c r="K74" s="267">
        <f t="shared" si="20"/>
        <v>0</v>
      </c>
      <c r="L74" s="267">
        <f t="shared" si="20"/>
        <v>0</v>
      </c>
      <c r="M74" s="267">
        <f t="shared" si="20"/>
        <v>0</v>
      </c>
      <c r="N74" s="267">
        <f t="shared" si="20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 t="shared" ref="E75:N75" si="21">-(E101-D101)</f>
        <v>158.71380000000002</v>
      </c>
      <c r="F75" s="267">
        <f t="shared" si="21"/>
        <v>46.986180000000019</v>
      </c>
      <c r="G75" s="267">
        <f t="shared" si="21"/>
        <v>25.463609999999989</v>
      </c>
      <c r="H75" s="267">
        <f t="shared" si="21"/>
        <v>-12.073000000000008</v>
      </c>
      <c r="I75" s="267">
        <f t="shared" si="21"/>
        <v>-78.195999999999998</v>
      </c>
      <c r="J75" s="267">
        <f t="shared" si="21"/>
        <v>32.498999999999995</v>
      </c>
      <c r="K75" s="267">
        <f t="shared" si="21"/>
        <v>9.1970000000000027</v>
      </c>
      <c r="L75" s="267">
        <f t="shared" si="21"/>
        <v>6.0960000000000036</v>
      </c>
      <c r="M75" s="267">
        <f t="shared" si="21"/>
        <v>117.78100000000001</v>
      </c>
      <c r="N75" s="267">
        <f t="shared" si="21"/>
        <v>2.3039999999999949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 t="shared" ref="E76:N76" si="22">-(E102-D102)</f>
        <v>-37.640390000000025</v>
      </c>
      <c r="F76" s="267">
        <f t="shared" si="22"/>
        <v>-88.206500000000005</v>
      </c>
      <c r="G76" s="267">
        <f t="shared" si="22"/>
        <v>73.299379999999985</v>
      </c>
      <c r="H76" s="267">
        <f t="shared" si="22"/>
        <v>27.969000000000051</v>
      </c>
      <c r="I76" s="267">
        <f t="shared" si="22"/>
        <v>-330.95700000000005</v>
      </c>
      <c r="J76" s="267">
        <f t="shared" si="22"/>
        <v>-108.46299999999997</v>
      </c>
      <c r="K76" s="267">
        <f t="shared" si="22"/>
        <v>-51.787000000000035</v>
      </c>
      <c r="L76" s="267">
        <f t="shared" si="22"/>
        <v>-35.447999999999979</v>
      </c>
      <c r="M76" s="267">
        <f t="shared" si="22"/>
        <v>-33.557000000000016</v>
      </c>
      <c r="N76" s="267">
        <f t="shared" si="22"/>
        <v>37.774999999999977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-8331.5021099999994</v>
      </c>
      <c r="F77" s="267">
        <f>+F34</f>
        <v>-7233.3360000000002</v>
      </c>
      <c r="G77" s="267">
        <f>+G34</f>
        <v>-7232.8950000000004</v>
      </c>
      <c r="H77" s="267">
        <f t="shared" ref="H77:N77" si="23">+H34</f>
        <v>-8614.7039999999997</v>
      </c>
      <c r="I77" s="267">
        <f t="shared" si="23"/>
        <v>-16779.213</v>
      </c>
      <c r="J77" s="267">
        <f t="shared" si="23"/>
        <v>-24667.859</v>
      </c>
      <c r="K77" s="267">
        <f t="shared" si="23"/>
        <v>-28604.112000000001</v>
      </c>
      <c r="L77" s="267">
        <f t="shared" si="23"/>
        <v>-30211.517</v>
      </c>
      <c r="M77" s="267">
        <f t="shared" si="23"/>
        <v>-32154.391</v>
      </c>
      <c r="N77" s="267">
        <f t="shared" si="23"/>
        <v>-35069.32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-15891.138939999999</v>
      </c>
      <c r="F78" s="267">
        <f>SUM(F71:F77)</f>
        <v>-15156.478320000002</v>
      </c>
      <c r="G78" s="267">
        <f>SUM(G71:G77)</f>
        <v>-16718.44701</v>
      </c>
      <c r="H78" s="267">
        <f t="shared" ref="H78:N78" si="24">SUM(H71:H77)</f>
        <v>-18327.347999999998</v>
      </c>
      <c r="I78" s="267">
        <f t="shared" si="24"/>
        <v>-34702.851999999999</v>
      </c>
      <c r="J78" s="267">
        <f t="shared" si="24"/>
        <v>-48981.453999999998</v>
      </c>
      <c r="K78" s="267">
        <f t="shared" si="24"/>
        <v>-55271.601000000002</v>
      </c>
      <c r="L78" s="267">
        <f t="shared" si="24"/>
        <v>-59016.118000000002</v>
      </c>
      <c r="M78" s="267">
        <f t="shared" si="24"/>
        <v>-61790.922000000006</v>
      </c>
      <c r="N78" s="267">
        <f t="shared" si="24"/>
        <v>-63149.777000000002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25">ROUND(H10*(H15+H27),0)</f>
        <v>0</v>
      </c>
      <c r="I80" s="236">
        <f t="shared" si="25"/>
        <v>0</v>
      </c>
      <c r="J80" s="236">
        <f t="shared" si="25"/>
        <v>0</v>
      </c>
      <c r="K80" s="236">
        <f t="shared" si="25"/>
        <v>0</v>
      </c>
      <c r="L80" s="236">
        <f t="shared" si="25"/>
        <v>0</v>
      </c>
      <c r="M80" s="236">
        <f t="shared" si="25"/>
        <v>0</v>
      </c>
      <c r="N80" s="236">
        <f t="shared" si="25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26">ROUND(H10*H78,0)</f>
        <v>0</v>
      </c>
      <c r="I82" s="228">
        <f t="shared" si="26"/>
        <v>0</v>
      </c>
      <c r="J82" s="228">
        <f t="shared" si="26"/>
        <v>0</v>
      </c>
      <c r="K82" s="228">
        <f t="shared" si="26"/>
        <v>0</v>
      </c>
      <c r="L82" s="228">
        <f t="shared" si="26"/>
        <v>0</v>
      </c>
      <c r="M82" s="228">
        <f t="shared" si="26"/>
        <v>0</v>
      </c>
      <c r="N82" s="228">
        <f t="shared" si="26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>+E9</f>
        <v>2009</v>
      </c>
      <c r="F86" s="182">
        <f>+F9</f>
        <v>2010</v>
      </c>
      <c r="G86" s="182">
        <f>+G9</f>
        <v>2011</v>
      </c>
      <c r="H86" s="182">
        <f t="shared" ref="H86:N86" si="27">+H9</f>
        <v>2012</v>
      </c>
      <c r="I86" s="182">
        <f t="shared" si="27"/>
        <v>2013</v>
      </c>
      <c r="J86" s="182">
        <f t="shared" si="27"/>
        <v>2014</v>
      </c>
      <c r="K86" s="182">
        <f t="shared" si="27"/>
        <v>2015</v>
      </c>
      <c r="L86" s="182">
        <f t="shared" si="27"/>
        <v>2016</v>
      </c>
      <c r="M86" s="182">
        <f t="shared" si="27"/>
        <v>2017</v>
      </c>
      <c r="N86" s="182">
        <f t="shared" si="27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>+E9</f>
        <v>2009</v>
      </c>
      <c r="F88" s="182">
        <f>+F9</f>
        <v>2010</v>
      </c>
      <c r="G88" s="182">
        <f>+G9</f>
        <v>2011</v>
      </c>
      <c r="H88" s="182">
        <f t="shared" ref="H88:N88" si="28">+H9</f>
        <v>2012</v>
      </c>
      <c r="I88" s="182">
        <f t="shared" si="28"/>
        <v>2013</v>
      </c>
      <c r="J88" s="182">
        <f t="shared" si="28"/>
        <v>2014</v>
      </c>
      <c r="K88" s="182">
        <f t="shared" si="28"/>
        <v>2015</v>
      </c>
      <c r="L88" s="182">
        <f t="shared" si="28"/>
        <v>2016</v>
      </c>
      <c r="M88" s="182">
        <f t="shared" si="28"/>
        <v>2017</v>
      </c>
      <c r="N88" s="182">
        <f t="shared" si="28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57374.635680000007</v>
      </c>
      <c r="E90" s="269">
        <f>SUM(E91:E97)</f>
        <v>65130.635280000002</v>
      </c>
      <c r="F90" s="269">
        <f>SUM(F91:F97)</f>
        <v>69703.281999999992</v>
      </c>
      <c r="G90" s="269">
        <f>SUM(G91:G97)</f>
        <v>72648.040999999997</v>
      </c>
      <c r="H90" s="269">
        <f t="shared" ref="H90:N90" si="29">SUM(H91:H97)</f>
        <v>73783.431999999986</v>
      </c>
      <c r="I90" s="269">
        <f t="shared" si="29"/>
        <v>78167.804999999993</v>
      </c>
      <c r="J90" s="269">
        <f t="shared" si="29"/>
        <v>92200.244999999995</v>
      </c>
      <c r="K90" s="269">
        <f t="shared" si="29"/>
        <v>99303.092999999993</v>
      </c>
      <c r="L90" s="269">
        <f t="shared" si="29"/>
        <v>100391.463</v>
      </c>
      <c r="M90" s="269">
        <f t="shared" si="29"/>
        <v>94113.82</v>
      </c>
      <c r="N90" s="269">
        <f t="shared" si="29"/>
        <v>88453.146000000008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407">
        <v>11100</v>
      </c>
      <c r="B91" s="271" t="s">
        <v>238</v>
      </c>
      <c r="C91" s="351"/>
      <c r="D91" s="284">
        <f>+Carga_datos!D3</f>
        <v>96.130719999999997</v>
      </c>
      <c r="E91" s="284">
        <f>+Carga_datos!E3</f>
        <v>92.070620000000005</v>
      </c>
      <c r="F91" s="284">
        <f>+Carga_datos!F3</f>
        <v>64.866</v>
      </c>
      <c r="G91" s="284">
        <f>+Carga_datos!G3</f>
        <v>153.34700000000001</v>
      </c>
      <c r="H91" s="284">
        <f>+Carga_datos!H3</f>
        <v>138.71799999999999</v>
      </c>
      <c r="I91" s="284">
        <f>+Carga_datos!I3</f>
        <v>297.26499999999999</v>
      </c>
      <c r="J91" s="284">
        <f>+Carga_datos!J3</f>
        <v>226.43199999999999</v>
      </c>
      <c r="K91" s="284">
        <f>+Carga_datos!K3</f>
        <v>205.27699999999999</v>
      </c>
      <c r="L91" s="284">
        <f>+Carga_datos!L3</f>
        <v>176.941</v>
      </c>
      <c r="M91" s="284">
        <f>+Carga_datos!M3</f>
        <v>182.74</v>
      </c>
      <c r="N91" s="284">
        <f>+Carga_datos!N3</f>
        <v>145.84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57268.805760000003</v>
      </c>
      <c r="E92" s="284">
        <f>+Carga_datos!E4</f>
        <v>64198.044520000003</v>
      </c>
      <c r="F92" s="284">
        <f>+Carga_datos!F4</f>
        <v>67004.712</v>
      </c>
      <c r="G92" s="284">
        <f>+Carga_datos!G4</f>
        <v>70794.648000000001</v>
      </c>
      <c r="H92" s="284">
        <f>+Carga_datos!H4</f>
        <v>70045.483999999997</v>
      </c>
      <c r="I92" s="284">
        <f>+Carga_datos!I4</f>
        <v>68886.202999999994</v>
      </c>
      <c r="J92" s="284">
        <f>+Carga_datos!J4</f>
        <v>76132.525999999998</v>
      </c>
      <c r="K92" s="284">
        <f>+Carga_datos!K4</f>
        <v>84265.834000000003</v>
      </c>
      <c r="L92" s="284">
        <f>+Carga_datos!L4</f>
        <v>85188.842999999993</v>
      </c>
      <c r="M92" s="284">
        <f>+Carga_datos!M4</f>
        <v>82635.625</v>
      </c>
      <c r="N92" s="284">
        <f>+Carga_datos!N4</f>
        <v>78473.051000000007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0</v>
      </c>
      <c r="M94" s="284">
        <f>+Carga_datos!M6</f>
        <v>0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9.6991999999999994</v>
      </c>
      <c r="E95" s="284">
        <f>+Carga_datos!E7</f>
        <v>39.699199999999998</v>
      </c>
      <c r="F95" s="284">
        <f>+Carga_datos!F7</f>
        <v>10.935</v>
      </c>
      <c r="G95" s="284">
        <f>+Carga_datos!G7</f>
        <v>10.935</v>
      </c>
      <c r="H95" s="284">
        <f>+Carga_datos!H7</f>
        <v>2171.9850000000001</v>
      </c>
      <c r="I95" s="284">
        <f>+Carga_datos!I7</f>
        <v>7567.0280000000002</v>
      </c>
      <c r="J95" s="284">
        <f>+Carga_datos!J7</f>
        <v>13456.644</v>
      </c>
      <c r="K95" s="284">
        <f>+Carga_datos!K7</f>
        <v>12875.571</v>
      </c>
      <c r="L95" s="284">
        <f>+Carga_datos!L7</f>
        <v>10877.58</v>
      </c>
      <c r="M95" s="284">
        <f>+Carga_datos!M7</f>
        <v>8108.4059999999999</v>
      </c>
      <c r="N95" s="284">
        <f>+Carga_datos!N7</f>
        <v>6311.6760000000004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800.82093999999995</v>
      </c>
      <c r="F96" s="284">
        <f>+Carga_datos!F8</f>
        <v>2622.7689999999998</v>
      </c>
      <c r="G96" s="284">
        <f>+Carga_datos!G8</f>
        <v>1689.1110000000001</v>
      </c>
      <c r="H96" s="284">
        <f>+Carga_datos!H8</f>
        <v>1427.2449999999999</v>
      </c>
      <c r="I96" s="284">
        <f>+Carga_datos!I8</f>
        <v>1417.309</v>
      </c>
      <c r="J96" s="284">
        <f>+Carga_datos!J8</f>
        <v>2384.643</v>
      </c>
      <c r="K96" s="284">
        <f>+Carga_datos!K8</f>
        <v>1956.4110000000001</v>
      </c>
      <c r="L96" s="284">
        <f>+Carga_datos!L8</f>
        <v>4148.0990000000002</v>
      </c>
      <c r="M96" s="284">
        <f>+Carga_datos!M8</f>
        <v>3187.049</v>
      </c>
      <c r="N96" s="284">
        <f>+Carga_datos!N8</f>
        <v>3522.5790000000002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23283.099969999999</v>
      </c>
      <c r="E98" s="269">
        <f>E99+E100+E107+E108+E109+E110+E111</f>
        <v>19027.617289999998</v>
      </c>
      <c r="F98" s="269">
        <f>F99+F100+F107+F108+F109+F110+F111</f>
        <v>20082.201000000001</v>
      </c>
      <c r="G98" s="269">
        <f>G99+G100+G107+G108+G109+G110+G111</f>
        <v>16744.784</v>
      </c>
      <c r="H98" s="269">
        <f t="shared" ref="H98:N98" si="30">H99+H100+H107+H108+H109+H110+H111</f>
        <v>17651.239000000001</v>
      </c>
      <c r="I98" s="269">
        <f t="shared" si="30"/>
        <v>36577.815000000002</v>
      </c>
      <c r="J98" s="269">
        <f t="shared" si="30"/>
        <v>35481.709000000003</v>
      </c>
      <c r="K98" s="269">
        <f t="shared" si="30"/>
        <v>40328.981</v>
      </c>
      <c r="L98" s="269">
        <f t="shared" si="30"/>
        <v>38753.352999999996</v>
      </c>
      <c r="M98" s="269">
        <f t="shared" si="30"/>
        <v>42028.183000000005</v>
      </c>
      <c r="N98" s="269">
        <f t="shared" si="30"/>
        <v>47192.760999999999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628.84208000000001</v>
      </c>
      <c r="E100" s="284">
        <f>SUM(E101:E106)</f>
        <v>507.76867000000004</v>
      </c>
      <c r="F100" s="284">
        <f>SUM(F101:F106)</f>
        <v>549.29600000000005</v>
      </c>
      <c r="G100" s="284">
        <f>SUM(G101:G106)</f>
        <v>450.53300000000002</v>
      </c>
      <c r="H100" s="284">
        <f t="shared" ref="H100:N100" si="31">SUM(H101:H106)</f>
        <v>529.05499999999995</v>
      </c>
      <c r="I100" s="284">
        <f t="shared" si="31"/>
        <v>845.79000000000008</v>
      </c>
      <c r="J100" s="284">
        <f t="shared" si="31"/>
        <v>947.42700000000002</v>
      </c>
      <c r="K100" s="284">
        <f t="shared" si="31"/>
        <v>962.03700000000003</v>
      </c>
      <c r="L100" s="284">
        <f t="shared" si="31"/>
        <v>991.38900000000001</v>
      </c>
      <c r="M100" s="284">
        <f t="shared" si="31"/>
        <v>907.16499999999996</v>
      </c>
      <c r="N100" s="284">
        <f t="shared" si="31"/>
        <v>867.08600000000001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357.03259000000003</v>
      </c>
      <c r="E101" s="284">
        <f>+Carga_datos!E13</f>
        <v>198.31879000000001</v>
      </c>
      <c r="F101" s="284">
        <f>+Carga_datos!F13</f>
        <v>151.33260999999999</v>
      </c>
      <c r="G101" s="284">
        <f>+Carga_datos!G13</f>
        <v>125.869</v>
      </c>
      <c r="H101" s="284">
        <f>+Carga_datos!H13</f>
        <v>137.94200000000001</v>
      </c>
      <c r="I101" s="284">
        <f>+Carga_datos!I13</f>
        <v>216.13800000000001</v>
      </c>
      <c r="J101" s="284">
        <f>+Carga_datos!J13</f>
        <v>183.63900000000001</v>
      </c>
      <c r="K101" s="284">
        <f>+Carga_datos!K13</f>
        <v>174.44200000000001</v>
      </c>
      <c r="L101" s="284">
        <f>+Carga_datos!L13</f>
        <v>168.346</v>
      </c>
      <c r="M101" s="284">
        <f>+Carga_datos!M13</f>
        <v>50.564999999999998</v>
      </c>
      <c r="N101" s="284">
        <f>+Carga_datos!N13</f>
        <v>48.261000000000003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268.80948999999998</v>
      </c>
      <c r="E102" s="284">
        <f>+Carga_datos!E14</f>
        <v>306.44988000000001</v>
      </c>
      <c r="F102" s="284">
        <f>+Carga_datos!F14</f>
        <v>394.65638000000001</v>
      </c>
      <c r="G102" s="284">
        <f>+Carga_datos!G14</f>
        <v>321.35700000000003</v>
      </c>
      <c r="H102" s="284">
        <f>+Carga_datos!H14</f>
        <v>293.38799999999998</v>
      </c>
      <c r="I102" s="284">
        <f>+Carga_datos!I14</f>
        <v>624.34500000000003</v>
      </c>
      <c r="J102" s="284">
        <f>+Carga_datos!J14</f>
        <v>732.80799999999999</v>
      </c>
      <c r="K102" s="284">
        <f>+Carga_datos!K14</f>
        <v>784.59500000000003</v>
      </c>
      <c r="L102" s="284">
        <f>+Carga_datos!L14</f>
        <v>820.04300000000001</v>
      </c>
      <c r="M102" s="284">
        <f>+Carga_datos!M14</f>
        <v>853.6</v>
      </c>
      <c r="N102" s="284">
        <f>+Carga_datos!N14</f>
        <v>815.82500000000005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3</v>
      </c>
      <c r="E106" s="284">
        <f>+Carga_datos!E18</f>
        <v>3</v>
      </c>
      <c r="F106" s="284">
        <f>+Carga_datos!F18</f>
        <v>3.30701</v>
      </c>
      <c r="G106" s="284">
        <f>+Carga_datos!G18</f>
        <v>3.3069999999999999</v>
      </c>
      <c r="H106" s="284">
        <f>+Carga_datos!H18</f>
        <v>97.724999999999994</v>
      </c>
      <c r="I106" s="284">
        <f>+Carga_datos!I18</f>
        <v>5.3070000000000004</v>
      </c>
      <c r="J106" s="284">
        <f>+Carga_datos!J18</f>
        <v>30.98</v>
      </c>
      <c r="K106" s="284">
        <f>+Carga_datos!K18</f>
        <v>3</v>
      </c>
      <c r="L106" s="284">
        <f>+Carga_datos!L18</f>
        <v>3</v>
      </c>
      <c r="M106" s="284">
        <f>+Carga_datos!M18</f>
        <v>3</v>
      </c>
      <c r="N106" s="284">
        <f>+Carga_datos!N18</f>
        <v>3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8771.7307799999999</v>
      </c>
      <c r="E107" s="284">
        <f>+Carga_datos!E19</f>
        <v>11283.92028</v>
      </c>
      <c r="F107" s="284">
        <f>+Carga_datos!F19</f>
        <v>12094.334999999999</v>
      </c>
      <c r="G107" s="284">
        <f>+Carga_datos!G19</f>
        <v>9654.1080000000002</v>
      </c>
      <c r="H107" s="284">
        <f>+Carga_datos!H19</f>
        <v>10980.444</v>
      </c>
      <c r="I107" s="284">
        <f>+Carga_datos!I19</f>
        <v>22012.15</v>
      </c>
      <c r="J107" s="284">
        <f>+Carga_datos!J19</f>
        <v>20222.155999999999</v>
      </c>
      <c r="K107" s="284">
        <f>+Carga_datos!K19</f>
        <v>18668.761999999999</v>
      </c>
      <c r="L107" s="284">
        <f>+Carga_datos!L19</f>
        <v>22767.924999999999</v>
      </c>
      <c r="M107" s="284">
        <f>+Carga_datos!M19</f>
        <v>27714.591</v>
      </c>
      <c r="N107" s="284">
        <f>+Carga_datos!N19</f>
        <v>29739.577000000001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7528.1125599999996</v>
      </c>
      <c r="E108" s="284">
        <f>+Carga_datos!E20</f>
        <v>4481.8975200000004</v>
      </c>
      <c r="F108" s="284">
        <f>+Carga_datos!F20</f>
        <v>6089.527</v>
      </c>
      <c r="G108" s="284">
        <f>+Carga_datos!G20</f>
        <v>4033.8150000000001</v>
      </c>
      <c r="H108" s="284">
        <f>+Carga_datos!H20</f>
        <v>4183.7780000000002</v>
      </c>
      <c r="I108" s="284">
        <f>+Carga_datos!I20</f>
        <v>6638.4610000000002</v>
      </c>
      <c r="J108" s="284">
        <f>+Carga_datos!J20</f>
        <v>5066.7430000000004</v>
      </c>
      <c r="K108" s="284">
        <f>+Carga_datos!K20</f>
        <v>11513.634</v>
      </c>
      <c r="L108" s="284">
        <f>+Carga_datos!L20</f>
        <v>879.61300000000006</v>
      </c>
      <c r="M108" s="284">
        <f>+Carga_datos!M20</f>
        <v>7897.9610000000002</v>
      </c>
      <c r="N108" s="284">
        <f>+Carga_datos!N20</f>
        <v>8175.2020000000002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4004.8501500000002</v>
      </c>
      <c r="E109" s="284">
        <f>+Carga_datos!E21</f>
        <v>95.423029999999997</v>
      </c>
      <c r="F109" s="284">
        <f>+Carga_datos!F21</f>
        <v>47.594999999999999</v>
      </c>
      <c r="G109" s="284">
        <f>+Carga_datos!G21</f>
        <v>47.692</v>
      </c>
      <c r="H109" s="284">
        <f>+Carga_datos!H21</f>
        <v>18.949000000000002</v>
      </c>
      <c r="I109" s="284">
        <f>+Carga_datos!I21</f>
        <v>718.25400000000002</v>
      </c>
      <c r="J109" s="284">
        <f>+Carga_datos!J21</f>
        <v>1162.7429999999999</v>
      </c>
      <c r="K109" s="284">
        <f>+Carga_datos!K21</f>
        <v>1612.8030000000001</v>
      </c>
      <c r="L109" s="284">
        <f>+Carga_datos!L21</f>
        <v>2092.4450000000002</v>
      </c>
      <c r="M109" s="284">
        <f>+Carga_datos!M21</f>
        <v>1434.7840000000001</v>
      </c>
      <c r="N109" s="284">
        <f>+Carga_datos!N21</f>
        <v>556.572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156.41855000000001</v>
      </c>
      <c r="E110" s="284">
        <f>+Carga_datos!E22</f>
        <v>149.62995000000001</v>
      </c>
      <c r="F110" s="284">
        <f>+Carga_datos!F22</f>
        <v>146.511</v>
      </c>
      <c r="G110" s="284">
        <f>+Carga_datos!G22</f>
        <v>319.61</v>
      </c>
      <c r="H110" s="284">
        <f>+Carga_datos!H22</f>
        <v>1098.2260000000001</v>
      </c>
      <c r="I110" s="284">
        <f>+Carga_datos!I22</f>
        <v>3421.0810000000001</v>
      </c>
      <c r="J110" s="284">
        <f>+Carga_datos!J22</f>
        <v>3063.0070000000001</v>
      </c>
      <c r="K110" s="284">
        <f>+Carga_datos!K22</f>
        <v>2917.998</v>
      </c>
      <c r="L110" s="284">
        <f>+Carga_datos!L22</f>
        <v>2538.3510000000001</v>
      </c>
      <c r="M110" s="284">
        <f>+Carga_datos!M22</f>
        <v>1818.98</v>
      </c>
      <c r="N110" s="284">
        <f>+Carga_datos!N22</f>
        <v>6008.915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2193.1458499999999</v>
      </c>
      <c r="E111" s="284">
        <f>+Carga_datos!E23</f>
        <v>2508.97784</v>
      </c>
      <c r="F111" s="284">
        <f>+Carga_datos!F23</f>
        <v>1154.9369999999999</v>
      </c>
      <c r="G111" s="284">
        <f>+Carga_datos!G23</f>
        <v>2239.0259999999998</v>
      </c>
      <c r="H111" s="284">
        <f>+Carga_datos!H23</f>
        <v>840.78700000000003</v>
      </c>
      <c r="I111" s="284">
        <f>+Carga_datos!I23</f>
        <v>2942.0790000000002</v>
      </c>
      <c r="J111" s="284">
        <f>+Carga_datos!J23</f>
        <v>5019.6329999999998</v>
      </c>
      <c r="K111" s="284">
        <f>+Carga_datos!K23</f>
        <v>4653.7470000000003</v>
      </c>
      <c r="L111" s="284">
        <f>+Carga_datos!L23</f>
        <v>9483.6299999999992</v>
      </c>
      <c r="M111" s="284">
        <f>+Carga_datos!M23</f>
        <v>2254.7020000000002</v>
      </c>
      <c r="N111" s="284">
        <f>+Carga_datos!N23</f>
        <v>1845.4090000000001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80657.735650000002</v>
      </c>
      <c r="E112" s="269">
        <f>+E98+E90</f>
        <v>84158.252569999997</v>
      </c>
      <c r="F112" s="269">
        <f>+F98+F90</f>
        <v>89785.482999999993</v>
      </c>
      <c r="G112" s="269">
        <f>+G98+G90</f>
        <v>89392.824999999997</v>
      </c>
      <c r="H112" s="269">
        <f t="shared" ref="H112:N112" si="32">+H98+H90</f>
        <v>91434.670999999988</v>
      </c>
      <c r="I112" s="269">
        <f t="shared" si="32"/>
        <v>114745.62</v>
      </c>
      <c r="J112" s="269">
        <f t="shared" si="32"/>
        <v>127681.954</v>
      </c>
      <c r="K112" s="269">
        <f t="shared" si="32"/>
        <v>139632.07399999999</v>
      </c>
      <c r="L112" s="269">
        <f t="shared" si="32"/>
        <v>139144.81599999999</v>
      </c>
      <c r="M112" s="269">
        <f t="shared" si="32"/>
        <v>136142.00300000003</v>
      </c>
      <c r="N112" s="269">
        <f t="shared" si="32"/>
        <v>135645.90700000001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3" spans="1:28" ht="30" customHeight="1" x14ac:dyDescent="0.35">
      <c r="F113" s="187">
        <f>F91+F92-E91-E92</f>
        <v>2779.4628599999924</v>
      </c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>+E9</f>
        <v>2009</v>
      </c>
      <c r="F115" s="182">
        <f>+F9</f>
        <v>2010</v>
      </c>
      <c r="G115" s="182">
        <f>+G9</f>
        <v>2011</v>
      </c>
      <c r="H115" s="182">
        <f t="shared" ref="H115:N115" si="33">+H9</f>
        <v>2012</v>
      </c>
      <c r="I115" s="182">
        <f t="shared" si="33"/>
        <v>2013</v>
      </c>
      <c r="J115" s="182">
        <f t="shared" si="33"/>
        <v>2014</v>
      </c>
      <c r="K115" s="182">
        <f t="shared" si="33"/>
        <v>2015</v>
      </c>
      <c r="L115" s="182">
        <f t="shared" si="33"/>
        <v>2016</v>
      </c>
      <c r="M115" s="182">
        <f t="shared" si="33"/>
        <v>2017</v>
      </c>
      <c r="N115" s="182">
        <f t="shared" si="33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62629.744019999998</v>
      </c>
      <c r="E116" s="251">
        <f>+E117+E129+E130</f>
        <v>64411.640149999999</v>
      </c>
      <c r="F116" s="251">
        <f>+F117+F129+F130</f>
        <v>66741.562999999995</v>
      </c>
      <c r="G116" s="251">
        <f>+G117+G129+G130</f>
        <v>65915.407000000007</v>
      </c>
      <c r="H116" s="251">
        <f t="shared" ref="H116:N116" si="34">+H117+H129+H130</f>
        <v>65612.22</v>
      </c>
      <c r="I116" s="251">
        <f t="shared" si="34"/>
        <v>66503.079000000012</v>
      </c>
      <c r="J116" s="251">
        <f t="shared" si="34"/>
        <v>68437.41</v>
      </c>
      <c r="K116" s="251">
        <f t="shared" si="34"/>
        <v>70590.937000000005</v>
      </c>
      <c r="L116" s="251">
        <f t="shared" si="34"/>
        <v>78379.690999999992</v>
      </c>
      <c r="M116" s="251">
        <f t="shared" si="34"/>
        <v>92897.544000000009</v>
      </c>
      <c r="N116" s="251">
        <f t="shared" si="34"/>
        <v>93600.516000000003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62407.491529999999</v>
      </c>
      <c r="E117" s="259">
        <f>+E118+E119+E120+E121+E125+E126+E127+E128+E122</f>
        <v>64244.186139999998</v>
      </c>
      <c r="F117" s="259">
        <f>+F118+F119+F120+F121+F125+F126+F127+F128+F122</f>
        <v>66532.659</v>
      </c>
      <c r="G117" s="259">
        <f>+G118+G119+G120+G121+G125+G126+G127+G128+G122</f>
        <v>65751.514999999999</v>
      </c>
      <c r="H117" s="259">
        <f t="shared" ref="H117:N117" si="35">+H118+H119+H120+H121+H125+H126+H127+H128+H122</f>
        <v>65436.337</v>
      </c>
      <c r="I117" s="259">
        <f t="shared" si="35"/>
        <v>66344.354000000007</v>
      </c>
      <c r="J117" s="259">
        <f t="shared" si="35"/>
        <v>68290.900000000009</v>
      </c>
      <c r="K117" s="259">
        <f t="shared" si="35"/>
        <v>70478.508000000002</v>
      </c>
      <c r="L117" s="259">
        <f t="shared" si="35"/>
        <v>78282.668999999994</v>
      </c>
      <c r="M117" s="259">
        <f t="shared" si="35"/>
        <v>91938.430000000008</v>
      </c>
      <c r="N117" s="259">
        <f t="shared" si="35"/>
        <v>93463.31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319.67189999999999</v>
      </c>
      <c r="E118" s="259">
        <f>+Carga_datos!E27</f>
        <v>319.67189999999999</v>
      </c>
      <c r="F118" s="259">
        <f>+Carga_datos!F27</f>
        <v>319.67200000000003</v>
      </c>
      <c r="G118" s="259">
        <f>+Carga_datos!G27</f>
        <v>319.67200000000003</v>
      </c>
      <c r="H118" s="259">
        <f>+Carga_datos!H27</f>
        <v>319.67200000000003</v>
      </c>
      <c r="I118" s="259">
        <f>+Carga_datos!I27</f>
        <v>319.67200000000003</v>
      </c>
      <c r="J118" s="259">
        <f>+Carga_datos!J27</f>
        <v>319.67200000000003</v>
      </c>
      <c r="K118" s="259">
        <f>+Carga_datos!K27</f>
        <v>319.67189999999999</v>
      </c>
      <c r="L118" s="259">
        <f>+Carga_datos!L27</f>
        <v>358.01600000000002</v>
      </c>
      <c r="M118" s="259">
        <f>+Carga_datos!M27</f>
        <v>358.01569999999998</v>
      </c>
      <c r="N118" s="259">
        <f>+Carga_datos!N27</f>
        <v>358.01569999999998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7615.1823199999999</v>
      </c>
      <c r="E119" s="259">
        <f>+Carga_datos!E28</f>
        <v>7615.1823199999999</v>
      </c>
      <c r="F119" s="259">
        <f>+Carga_datos!F28</f>
        <v>7615.1819999999998</v>
      </c>
      <c r="G119" s="259">
        <f>+Carga_datos!G28</f>
        <v>7615.1819999999998</v>
      </c>
      <c r="H119" s="259">
        <f>+Carga_datos!H28</f>
        <v>7615.1819999999998</v>
      </c>
      <c r="I119" s="259">
        <f>+Carga_datos!I28</f>
        <v>7615.1819999999998</v>
      </c>
      <c r="J119" s="259">
        <f>+Carga_datos!J28</f>
        <v>7615.1819999999998</v>
      </c>
      <c r="K119" s="259">
        <f>+Carga_datos!K28</f>
        <v>7615.1819999999998</v>
      </c>
      <c r="L119" s="259">
        <f>+Carga_datos!L28</f>
        <v>7615.1819999999998</v>
      </c>
      <c r="M119" s="259">
        <f>+Carga_datos!M28</f>
        <v>7615.1823000000004</v>
      </c>
      <c r="N119" s="259">
        <f>+Carga_datos!N28</f>
        <v>7615.1819999999998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53588.206559999999</v>
      </c>
      <c r="E120" s="259">
        <f>+Carga_datos!E29</f>
        <v>54472.637309999998</v>
      </c>
      <c r="F120" s="259">
        <f>+Carga_datos!F29</f>
        <v>56309.332000000002</v>
      </c>
      <c r="G120" s="259">
        <f>+Carga_datos!G29</f>
        <v>58597.805</v>
      </c>
      <c r="H120" s="259">
        <f>+Carga_datos!H29</f>
        <v>58597.805</v>
      </c>
      <c r="I120" s="259">
        <f>+Carga_datos!I29</f>
        <v>58597.805</v>
      </c>
      <c r="J120" s="259">
        <f>+Carga_datos!J29</f>
        <v>59505.822</v>
      </c>
      <c r="K120" s="259">
        <f>+Carga_datos!K29</f>
        <v>61452.366099999999</v>
      </c>
      <c r="L120" s="259">
        <f>+Carga_datos!L29</f>
        <v>66386.001999999993</v>
      </c>
      <c r="M120" s="259">
        <f>+Carga_datos!M29</f>
        <v>71405.792000000001</v>
      </c>
      <c r="N120" s="259">
        <f>+Carga_datos!N29</f>
        <v>85061.556299999997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>+E123+E124</f>
        <v>0</v>
      </c>
      <c r="F122" s="259">
        <f>+F123+F124</f>
        <v>0</v>
      </c>
      <c r="G122" s="259">
        <f>+G123+G124</f>
        <v>0</v>
      </c>
      <c r="H122" s="259">
        <f t="shared" ref="H122:N122" si="36">+H123+H124</f>
        <v>-781.14400000000001</v>
      </c>
      <c r="I122" s="259">
        <f t="shared" si="36"/>
        <v>-1096.3219999999999</v>
      </c>
      <c r="J122" s="259">
        <f t="shared" si="36"/>
        <v>-1096.3219999999999</v>
      </c>
      <c r="K122" s="259">
        <f t="shared" si="36"/>
        <v>-1096.3219999999999</v>
      </c>
      <c r="L122" s="259">
        <f t="shared" si="36"/>
        <v>-1096.3219999999999</v>
      </c>
      <c r="M122" s="259">
        <f t="shared" si="36"/>
        <v>-1096.3219999999999</v>
      </c>
      <c r="N122" s="259">
        <f t="shared" si="36"/>
        <v>-1096.3219999999999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0</v>
      </c>
      <c r="H124" s="259">
        <f>+Carga_datos!H33</f>
        <v>-781.14400000000001</v>
      </c>
      <c r="I124" s="259">
        <f>+Carga_datos!I33</f>
        <v>-1096.3219999999999</v>
      </c>
      <c r="J124" s="259">
        <f>+Carga_datos!J33</f>
        <v>-1096.3219999999999</v>
      </c>
      <c r="K124" s="259">
        <f>+Carga_datos!K33</f>
        <v>-1096.3219999999999</v>
      </c>
      <c r="L124" s="259">
        <f>+Carga_datos!L33</f>
        <v>-1096.3219999999999</v>
      </c>
      <c r="M124" s="259">
        <f>+Carga_datos!M33</f>
        <v>-1096.3219999999999</v>
      </c>
      <c r="N124" s="259">
        <f>+Carga_datos!N33</f>
        <v>-1096.3219999999999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884.43074999999999</v>
      </c>
      <c r="E126" s="259">
        <f>+Carga_datos!E35</f>
        <v>1836.69461</v>
      </c>
      <c r="F126" s="259">
        <f>+Carga_datos!F35</f>
        <v>2288.473</v>
      </c>
      <c r="G126" s="259">
        <f>+Carga_datos!G35</f>
        <v>-781.14400000000001</v>
      </c>
      <c r="H126" s="259">
        <f>+Carga_datos!H35</f>
        <v>-315.178</v>
      </c>
      <c r="I126" s="259">
        <f>+Carga_datos!I35</f>
        <v>908.01700000000005</v>
      </c>
      <c r="J126" s="259">
        <f>+Carga_datos!J35</f>
        <v>1946.546</v>
      </c>
      <c r="K126" s="259">
        <f>+Carga_datos!K35</f>
        <v>2187.61</v>
      </c>
      <c r="L126" s="259">
        <f>+Carga_datos!L35</f>
        <v>5019.7910000000002</v>
      </c>
      <c r="M126" s="259">
        <f>+Carga_datos!M35</f>
        <v>13655.762000000001</v>
      </c>
      <c r="N126" s="259">
        <f>+Carga_datos!N35</f>
        <v>1524.8779999999999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222.25248999999999</v>
      </c>
      <c r="E130" s="259">
        <f>+Carga_datos!E39</f>
        <v>167.45401000000001</v>
      </c>
      <c r="F130" s="259">
        <f>+Carga_datos!F39</f>
        <v>208.904</v>
      </c>
      <c r="G130" s="259">
        <f>+Carga_datos!G39</f>
        <v>163.892</v>
      </c>
      <c r="H130" s="259">
        <f>+Carga_datos!H39</f>
        <v>175.88300000000001</v>
      </c>
      <c r="I130" s="259">
        <f>+Carga_datos!I39</f>
        <v>158.72499999999999</v>
      </c>
      <c r="J130" s="259">
        <f>+Carga_datos!J39</f>
        <v>146.51</v>
      </c>
      <c r="K130" s="259">
        <f>+Carga_datos!K39</f>
        <v>112.429</v>
      </c>
      <c r="L130" s="259">
        <f>+Carga_datos!L39</f>
        <v>97.022000000000006</v>
      </c>
      <c r="M130" s="259">
        <f>+Carga_datos!M39</f>
        <v>959.11400000000003</v>
      </c>
      <c r="N130" s="259">
        <f>+Carga_datos!N39</f>
        <v>137.20599999999999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1097.50577</v>
      </c>
      <c r="E131" s="251">
        <f>SUM(E132:E138)</f>
        <v>1947.3655699999999</v>
      </c>
      <c r="F131" s="251">
        <f>SUM(F132:F138)</f>
        <v>1953.471</v>
      </c>
      <c r="G131" s="251">
        <f>SUM(G132:G138)</f>
        <v>1662.7869999999998</v>
      </c>
      <c r="H131" s="251">
        <f t="shared" ref="H131:N131" si="37">SUM(H132:H138)</f>
        <v>3222.4880000000003</v>
      </c>
      <c r="I131" s="251">
        <f t="shared" si="37"/>
        <v>8238.6419999999998</v>
      </c>
      <c r="J131" s="251">
        <f t="shared" si="37"/>
        <v>14977.009</v>
      </c>
      <c r="K131" s="251">
        <f t="shared" si="37"/>
        <v>15911.86</v>
      </c>
      <c r="L131" s="251">
        <f t="shared" si="37"/>
        <v>13446.557000000001</v>
      </c>
      <c r="M131" s="251">
        <f t="shared" si="37"/>
        <v>5158.3680000000004</v>
      </c>
      <c r="N131" s="251">
        <f t="shared" si="37"/>
        <v>2775.319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1061.3583599999999</v>
      </c>
      <c r="E132" s="259">
        <f>+Carga_datos!E41</f>
        <v>1110.21236</v>
      </c>
      <c r="F132" s="259">
        <f>+Carga_datos!F41</f>
        <v>657.38900000000001</v>
      </c>
      <c r="G132" s="259">
        <f>+Carga_datos!G41</f>
        <v>733.66</v>
      </c>
      <c r="H132" s="259">
        <f>+Carga_datos!H41</f>
        <v>677.87199999999996</v>
      </c>
      <c r="I132" s="259">
        <f>+Carga_datos!I41</f>
        <v>652.61300000000006</v>
      </c>
      <c r="J132" s="259">
        <f>+Carga_datos!J41</f>
        <v>608.529</v>
      </c>
      <c r="K132" s="259">
        <f>+Carga_datos!K41</f>
        <v>817.34</v>
      </c>
      <c r="L132" s="259">
        <f>+Carga_datos!L41</f>
        <v>5895.8770000000004</v>
      </c>
      <c r="M132" s="259">
        <f>+Carga_datos!M41</f>
        <v>805.71</v>
      </c>
      <c r="N132" s="259">
        <f>+Carga_datos!N41</f>
        <v>1047.1389999999999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>
        <v>31200</v>
      </c>
      <c r="B133" s="227" t="s">
        <v>269</v>
      </c>
      <c r="C133" s="356"/>
      <c r="D133" s="259">
        <f>+Carga_datos!D42</f>
        <v>36.147410000000001</v>
      </c>
      <c r="E133" s="259">
        <f>+Carga_datos!E42</f>
        <v>837.15320999999994</v>
      </c>
      <c r="F133" s="259">
        <f>+Carga_datos!F42</f>
        <v>1296.0820000000001</v>
      </c>
      <c r="G133" s="259">
        <f>+Carga_datos!G42</f>
        <v>929.12699999999995</v>
      </c>
      <c r="H133" s="259">
        <f>+Carga_datos!H42</f>
        <v>544.61500000000001</v>
      </c>
      <c r="I133" s="259">
        <f>+Carga_datos!I42</f>
        <v>186.029</v>
      </c>
      <c r="J133" s="259">
        <f>+Carga_datos!J42</f>
        <v>68.48</v>
      </c>
      <c r="K133" s="259">
        <f>+Carga_datos!K42</f>
        <v>0</v>
      </c>
      <c r="L133" s="259">
        <f>+Carga_datos!L42</f>
        <v>3700.68</v>
      </c>
      <c r="M133" s="259">
        <f>+Carga_datos!M42</f>
        <v>2710.1579999999999</v>
      </c>
      <c r="N133" s="259">
        <f>+Carga_datos!N42</f>
        <v>1705.68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2000.001</v>
      </c>
      <c r="I134" s="259">
        <f>+Carga_datos!I43</f>
        <v>7400</v>
      </c>
      <c r="J134" s="259">
        <f>+Carga_datos!J43</f>
        <v>14300</v>
      </c>
      <c r="K134" s="259">
        <f>+Carga_datos!K43</f>
        <v>15094.52</v>
      </c>
      <c r="L134" s="259">
        <f>+Carga_datos!L43</f>
        <v>3850</v>
      </c>
      <c r="M134" s="259">
        <f>+Carga_datos!M43</f>
        <v>1350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>
        <v>31400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0</v>
      </c>
      <c r="H135" s="259">
        <f>+Carga_datos!H44</f>
        <v>0</v>
      </c>
      <c r="I135" s="259">
        <f>+Carga_datos!I44</f>
        <v>0</v>
      </c>
      <c r="J135" s="259">
        <f>+Carga_datos!J44</f>
        <v>0</v>
      </c>
      <c r="K135" s="259">
        <f>+Carga_datos!K44</f>
        <v>0</v>
      </c>
      <c r="L135" s="259">
        <f>+Carga_datos!L44</f>
        <v>0</v>
      </c>
      <c r="M135" s="259">
        <f>+Carga_datos!M44</f>
        <v>292.5</v>
      </c>
      <c r="N135" s="259">
        <f>+Carga_datos!N44</f>
        <v>22.5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>
        <v>31700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16930.485860000001</v>
      </c>
      <c r="E139" s="251">
        <f>SUM(E140:E146)</f>
        <v>17799.24685</v>
      </c>
      <c r="F139" s="251">
        <f>SUM(F140:F146)</f>
        <v>21090.449000000001</v>
      </c>
      <c r="G139" s="251">
        <f>SUM(G140:G146)</f>
        <v>21814.631000000001</v>
      </c>
      <c r="H139" s="251">
        <f t="shared" ref="H139:N139" si="38">SUM(H140:H146)</f>
        <v>22599.963</v>
      </c>
      <c r="I139" s="251">
        <f t="shared" si="38"/>
        <v>40003.899000000005</v>
      </c>
      <c r="J139" s="251">
        <f t="shared" si="38"/>
        <v>44267.535000000003</v>
      </c>
      <c r="K139" s="251">
        <f t="shared" si="38"/>
        <v>53129.277000000002</v>
      </c>
      <c r="L139" s="251">
        <f t="shared" si="38"/>
        <v>47318.567999999999</v>
      </c>
      <c r="M139" s="251">
        <f t="shared" si="38"/>
        <v>38086.091</v>
      </c>
      <c r="N139" s="251">
        <f t="shared" si="38"/>
        <v>39270.072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50</v>
      </c>
      <c r="L141" s="259">
        <f>+Carga_datos!L50</f>
        <v>1143.1079999999999</v>
      </c>
      <c r="M141" s="259">
        <f>+Carga_datos!M50</f>
        <v>50</v>
      </c>
      <c r="N141" s="259">
        <f>+Carga_datos!N50</f>
        <v>217.309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1656.1705099999999</v>
      </c>
      <c r="E142" s="259">
        <f>+Carga_datos!E51</f>
        <v>928.8614</v>
      </c>
      <c r="F142" s="259">
        <f>+Carga_datos!F51</f>
        <v>1616.777</v>
      </c>
      <c r="G142" s="259">
        <f>+Carga_datos!G51</f>
        <v>4729.3040000000001</v>
      </c>
      <c r="H142" s="259">
        <f>+Carga_datos!H51</f>
        <v>1610.1320000000001</v>
      </c>
      <c r="I142" s="259">
        <f>+Carga_datos!I51</f>
        <v>1153.1849999999999</v>
      </c>
      <c r="J142" s="259">
        <f>+Carga_datos!J51</f>
        <v>2406.3519999999999</v>
      </c>
      <c r="K142" s="259">
        <f>+Carga_datos!K51</f>
        <v>5349.4709999999995</v>
      </c>
      <c r="L142" s="259">
        <f>+Carga_datos!L51</f>
        <v>4679.7479999999996</v>
      </c>
      <c r="M142" s="259">
        <f>+Carga_datos!M51</f>
        <v>3263.0509999999999</v>
      </c>
      <c r="N142" s="259">
        <f>+Carga_datos!N51</f>
        <v>4000.0129999999999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7564.8919299999998</v>
      </c>
      <c r="E143" s="259">
        <f>+Carga_datos!E52</f>
        <v>7463.3360599999996</v>
      </c>
      <c r="F143" s="259">
        <f>+Carga_datos!F52</f>
        <v>6767.5209999999997</v>
      </c>
      <c r="G143" s="259">
        <f>+Carga_datos!G52</f>
        <v>5620.6229999999996</v>
      </c>
      <c r="H143" s="259">
        <f>+Carga_datos!H52</f>
        <v>8161.201</v>
      </c>
      <c r="I143" s="259">
        <f>+Carga_datos!I52</f>
        <v>16659.608</v>
      </c>
      <c r="J143" s="259">
        <f>+Carga_datos!J52</f>
        <v>13949.232</v>
      </c>
      <c r="K143" s="259">
        <f>+Carga_datos!K52</f>
        <v>18266.02</v>
      </c>
      <c r="L143" s="259">
        <f>+Carga_datos!L52</f>
        <v>18442.394</v>
      </c>
      <c r="M143" s="259">
        <f>+Carga_datos!M52</f>
        <v>9960.99</v>
      </c>
      <c r="N143" s="259">
        <f>+Carga_datos!N52</f>
        <v>12141.993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7709.4234200000001</v>
      </c>
      <c r="E144" s="259">
        <f>+Carga_datos!E53</f>
        <v>9407.0493900000001</v>
      </c>
      <c r="F144" s="259">
        <f>+Carga_datos!F53</f>
        <v>12706.151</v>
      </c>
      <c r="G144" s="259">
        <f>+Carga_datos!G53</f>
        <v>11464.704</v>
      </c>
      <c r="H144" s="259">
        <f>+Carga_datos!H53</f>
        <v>12828.63</v>
      </c>
      <c r="I144" s="259">
        <f>+Carga_datos!I53</f>
        <v>22191.106</v>
      </c>
      <c r="J144" s="259">
        <f>+Carga_datos!J53</f>
        <v>27911.951000000001</v>
      </c>
      <c r="K144" s="259">
        <f>+Carga_datos!K53</f>
        <v>29463.786</v>
      </c>
      <c r="L144" s="259">
        <f>+Carga_datos!L53</f>
        <v>23053.317999999999</v>
      </c>
      <c r="M144" s="259">
        <f>+Carga_datos!M53</f>
        <v>23486.409</v>
      </c>
      <c r="N144" s="259">
        <f>+Carga_datos!N53</f>
        <v>21732.047999999999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1325.6410000000001</v>
      </c>
      <c r="N145" s="259">
        <f>+Carga_datos!N54</f>
        <v>1178.7090000000001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80657.735650000002</v>
      </c>
      <c r="E147" s="251">
        <f>+E116+E131+E139</f>
        <v>84158.252569999997</v>
      </c>
      <c r="F147" s="251">
        <f>+F116+F131+F139</f>
        <v>89785.483000000007</v>
      </c>
      <c r="G147" s="251">
        <f>+G116+G131+G139</f>
        <v>89392.825000000012</v>
      </c>
      <c r="H147" s="251">
        <f t="shared" ref="H147:N147" si="39">+H116+H131+H139</f>
        <v>91434.671000000002</v>
      </c>
      <c r="I147" s="251">
        <f t="shared" si="39"/>
        <v>114745.62000000002</v>
      </c>
      <c r="J147" s="251">
        <f t="shared" si="39"/>
        <v>127681.95400000001</v>
      </c>
      <c r="K147" s="251">
        <f t="shared" si="39"/>
        <v>139632.07400000002</v>
      </c>
      <c r="L147" s="251">
        <f t="shared" si="39"/>
        <v>139144.81599999999</v>
      </c>
      <c r="M147" s="251">
        <f t="shared" si="39"/>
        <v>136142.00300000003</v>
      </c>
      <c r="N147" s="251">
        <f t="shared" si="39"/>
        <v>135645.90700000001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40">H112-H147</f>
        <v>0</v>
      </c>
      <c r="I149" s="197">
        <f t="shared" si="40"/>
        <v>0</v>
      </c>
      <c r="J149" s="197">
        <f t="shared" si="40"/>
        <v>0</v>
      </c>
      <c r="K149" s="197">
        <f t="shared" si="40"/>
        <v>0</v>
      </c>
      <c r="L149" s="197">
        <f t="shared" si="40"/>
        <v>0</v>
      </c>
      <c r="M149" s="197">
        <f t="shared" si="40"/>
        <v>0</v>
      </c>
      <c r="N149" s="197">
        <f t="shared" si="40"/>
        <v>0</v>
      </c>
    </row>
    <row r="150" spans="1:28" ht="30" customHeight="1" x14ac:dyDescent="0.35">
      <c r="B150" s="188" t="s">
        <v>614</v>
      </c>
      <c r="C150" s="363"/>
      <c r="D150" s="196">
        <f>+D65-D126</f>
        <v>4.0927261579781771E-12</v>
      </c>
      <c r="E150" s="196">
        <f>+E65-E126</f>
        <v>2.9558577807620168E-12</v>
      </c>
      <c r="F150" s="197">
        <f>+F65-F126</f>
        <v>4.5474735088646412E-12</v>
      </c>
      <c r="G150" s="197">
        <f>+G65-G126</f>
        <v>-5.9117155615240335E-12</v>
      </c>
      <c r="H150" s="197">
        <f t="shared" ref="H150:N150" si="41">+H65-H126</f>
        <v>2.9558577807620168E-12</v>
      </c>
      <c r="I150" s="197">
        <f t="shared" si="41"/>
        <v>-5.4569682106375694E-12</v>
      </c>
      <c r="J150" s="197">
        <f t="shared" si="41"/>
        <v>-9.7770680440589786E-12</v>
      </c>
      <c r="K150" s="197">
        <f t="shared" si="41"/>
        <v>-1.1368683772161603E-11</v>
      </c>
      <c r="L150" s="197">
        <f t="shared" si="41"/>
        <v>0</v>
      </c>
      <c r="M150" s="197">
        <f t="shared" si="41"/>
        <v>-2.0008883439004421E-11</v>
      </c>
      <c r="N150" s="197">
        <f t="shared" si="41"/>
        <v>-6.1390892369672656E-12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>+E9</f>
        <v>2009</v>
      </c>
      <c r="F152" s="182">
        <f>+F9</f>
        <v>2010</v>
      </c>
      <c r="G152" s="182">
        <f>+G9</f>
        <v>2011</v>
      </c>
      <c r="H152" s="182">
        <f t="shared" ref="H152:N152" si="42">+H9</f>
        <v>2012</v>
      </c>
      <c r="I152" s="182">
        <f t="shared" si="42"/>
        <v>2013</v>
      </c>
      <c r="J152" s="182">
        <f t="shared" si="42"/>
        <v>2014</v>
      </c>
      <c r="K152" s="182">
        <f t="shared" si="42"/>
        <v>2015</v>
      </c>
      <c r="L152" s="182">
        <f t="shared" si="42"/>
        <v>2016</v>
      </c>
      <c r="M152" s="182">
        <f t="shared" si="42"/>
        <v>2017</v>
      </c>
      <c r="N152" s="182">
        <f t="shared" si="42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>+E9</f>
        <v>2009</v>
      </c>
      <c r="F154" s="193">
        <f>+F9</f>
        <v>2010</v>
      </c>
      <c r="G154" s="193">
        <f>+G9</f>
        <v>2011</v>
      </c>
      <c r="H154" s="193">
        <f t="shared" ref="H154:N154" si="43">+H9</f>
        <v>2012</v>
      </c>
      <c r="I154" s="193">
        <f t="shared" si="43"/>
        <v>2013</v>
      </c>
      <c r="J154" s="193">
        <f t="shared" si="43"/>
        <v>2014</v>
      </c>
      <c r="K154" s="193">
        <f t="shared" si="43"/>
        <v>2015</v>
      </c>
      <c r="L154" s="193">
        <f t="shared" si="43"/>
        <v>2016</v>
      </c>
      <c r="M154" s="193">
        <f t="shared" si="43"/>
        <v>2017</v>
      </c>
      <c r="N154" s="193">
        <f t="shared" si="43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884.43075000000408</v>
      </c>
      <c r="E155" s="233">
        <f>+E65</f>
        <v>1836.694610000003</v>
      </c>
      <c r="F155" s="233">
        <f>+F65</f>
        <v>2288.4730000000045</v>
      </c>
      <c r="G155" s="233">
        <f>+G65</f>
        <v>-781.14400000000592</v>
      </c>
      <c r="H155" s="233">
        <f t="shared" ref="H155:N155" si="44">+H65</f>
        <v>-315.17799999999704</v>
      </c>
      <c r="I155" s="233">
        <f t="shared" si="44"/>
        <v>908.0169999999946</v>
      </c>
      <c r="J155" s="233">
        <f t="shared" si="44"/>
        <v>1946.5459999999903</v>
      </c>
      <c r="K155" s="233">
        <f t="shared" si="44"/>
        <v>2187.6099999999888</v>
      </c>
      <c r="L155" s="233">
        <f t="shared" si="44"/>
        <v>5019.7910000000038</v>
      </c>
      <c r="M155" s="233">
        <f t="shared" si="44"/>
        <v>13655.761999999981</v>
      </c>
      <c r="N155" s="233">
        <f t="shared" si="44"/>
        <v>1524.8779999999938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107.151</v>
      </c>
      <c r="G158" s="228">
        <f>+Carga_datos!G109</f>
        <v>22.207999999999998</v>
      </c>
      <c r="H158" s="228">
        <f>+Carga_datos!H109</f>
        <v>63.24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2250</v>
      </c>
      <c r="N158" s="228">
        <f>+Carga_datos!N109</f>
        <v>3.5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-562.50099999999998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>SUM(E156:E162)</f>
        <v>0</v>
      </c>
      <c r="F163" s="233">
        <f>SUM(F156:F162)</f>
        <v>107.151</v>
      </c>
      <c r="G163" s="233">
        <f>SUM(G156:G162)</f>
        <v>22.207999999999998</v>
      </c>
      <c r="H163" s="233">
        <f t="shared" ref="H163:N163" si="45">SUM(H156:H162)</f>
        <v>63.24</v>
      </c>
      <c r="I163" s="233">
        <f t="shared" si="45"/>
        <v>0</v>
      </c>
      <c r="J163" s="233">
        <f t="shared" si="45"/>
        <v>0</v>
      </c>
      <c r="K163" s="233">
        <f t="shared" si="45"/>
        <v>0</v>
      </c>
      <c r="L163" s="233">
        <f t="shared" si="45"/>
        <v>0</v>
      </c>
      <c r="M163" s="233">
        <f t="shared" si="45"/>
        <v>1687.499</v>
      </c>
      <c r="N163" s="233">
        <f t="shared" si="45"/>
        <v>3.5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-54.798000000000002</v>
      </c>
      <c r="F166" s="228">
        <f>+Carga_datos!F117</f>
        <v>-65.700999999999993</v>
      </c>
      <c r="G166" s="228">
        <f>+Carga_datos!G117</f>
        <v>-67.22</v>
      </c>
      <c r="H166" s="228">
        <f>+Carga_datos!H117</f>
        <v>-51.249000000000002</v>
      </c>
      <c r="I166" s="228">
        <f>+Carga_datos!I117</f>
        <v>-17.158000000000001</v>
      </c>
      <c r="J166" s="228">
        <f>+Carga_datos!J117</f>
        <v>-12.215</v>
      </c>
      <c r="K166" s="228">
        <f>+Carga_datos!K117</f>
        <v>-34.081000000000003</v>
      </c>
      <c r="L166" s="228">
        <f>+Carga_datos!L117</f>
        <v>-15.407</v>
      </c>
      <c r="M166" s="228">
        <f>+Carga_datos!M117</f>
        <v>-1095.4069999999999</v>
      </c>
      <c r="N166" s="228">
        <f>+Carga_datos!N117</f>
        <v>-1095.4069999999999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270</v>
      </c>
      <c r="N169" s="228">
        <f>+Carga_datos!N120</f>
        <v>270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>SUM(E164:E169)</f>
        <v>-54.798000000000002</v>
      </c>
      <c r="F170" s="233">
        <f>SUM(F164:F169)</f>
        <v>-65.700999999999993</v>
      </c>
      <c r="G170" s="233">
        <f>SUM(G164:G169)</f>
        <v>-67.22</v>
      </c>
      <c r="H170" s="233">
        <f t="shared" ref="H170:N170" si="46">SUM(H164:H169)</f>
        <v>-51.249000000000002</v>
      </c>
      <c r="I170" s="233">
        <f t="shared" si="46"/>
        <v>-17.158000000000001</v>
      </c>
      <c r="J170" s="233">
        <f t="shared" si="46"/>
        <v>-12.215</v>
      </c>
      <c r="K170" s="233">
        <f t="shared" si="46"/>
        <v>-34.081000000000003</v>
      </c>
      <c r="L170" s="233">
        <f t="shared" si="46"/>
        <v>-15.407</v>
      </c>
      <c r="M170" s="233">
        <f t="shared" si="46"/>
        <v>-825.40699999999993</v>
      </c>
      <c r="N170" s="233">
        <f t="shared" si="46"/>
        <v>-825.40699999999993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884.43075000000408</v>
      </c>
      <c r="E171" s="233">
        <f>+E155+E163+E170</f>
        <v>1781.896610000003</v>
      </c>
      <c r="F171" s="233">
        <f>+F155+F163+F170</f>
        <v>2329.9230000000043</v>
      </c>
      <c r="G171" s="233">
        <f>+G155+G163+G170</f>
        <v>-826.15600000000597</v>
      </c>
      <c r="H171" s="233">
        <f t="shared" ref="H171:N171" si="47">+H155+H163+H170</f>
        <v>-303.18699999999706</v>
      </c>
      <c r="I171" s="233">
        <f t="shared" si="47"/>
        <v>890.85899999999458</v>
      </c>
      <c r="J171" s="233">
        <f t="shared" si="47"/>
        <v>1934.3309999999904</v>
      </c>
      <c r="K171" s="233">
        <f t="shared" si="47"/>
        <v>2153.5289999999886</v>
      </c>
      <c r="L171" s="233">
        <f t="shared" si="47"/>
        <v>5004.3840000000037</v>
      </c>
      <c r="M171" s="233">
        <f t="shared" si="47"/>
        <v>14517.853999999981</v>
      </c>
      <c r="N171" s="233">
        <f t="shared" si="47"/>
        <v>702.97099999999386</v>
      </c>
      <c r="O171" s="335">
        <f>+Carga_datos!D122-Data!D171</f>
        <v>-4.0927261579781771E-12</v>
      </c>
      <c r="P171" s="335">
        <f>+Carga_datos!E122-Data!E171</f>
        <v>-2.9558577807620168E-12</v>
      </c>
      <c r="Q171" s="335">
        <f>+Carga_datos!F122-Data!F171</f>
        <v>-4.5474735088646412E-12</v>
      </c>
      <c r="R171" s="335">
        <f>+Carga_datos!G122-Data!G171</f>
        <v>6.0254023992456496E-12</v>
      </c>
      <c r="S171" s="335">
        <f>+Carga_datos!H122-Data!H171</f>
        <v>-2.9558577807620168E-12</v>
      </c>
      <c r="T171" s="335">
        <f>+Carga_datos!I122-Data!I171</f>
        <v>5.4569682106375694E-12</v>
      </c>
      <c r="U171" s="335">
        <f>+Carga_datos!J122-Data!J171</f>
        <v>9.5496943686157465E-12</v>
      </c>
      <c r="V171" s="335">
        <f>+Carga_datos!K122-Data!K171</f>
        <v>1.1368683772161603E-11</v>
      </c>
      <c r="W171" s="335">
        <f>+Carga_datos!L122-Data!L171</f>
        <v>0</v>
      </c>
      <c r="X171" s="335">
        <f>+Carga_datos!M122-Data!M171</f>
        <v>1.8189894035458565E-11</v>
      </c>
      <c r="Y171" s="335">
        <f>+Carga_datos!N122-Data!N171</f>
        <v>6.1390892369672656E-12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48">+E129</f>
        <v>0</v>
      </c>
      <c r="G174" s="228">
        <f t="shared" si="48"/>
        <v>0</v>
      </c>
      <c r="H174" s="228">
        <f t="shared" si="48"/>
        <v>0</v>
      </c>
      <c r="I174" s="228">
        <f t="shared" si="48"/>
        <v>0</v>
      </c>
      <c r="J174" s="228">
        <f t="shared" si="48"/>
        <v>0</v>
      </c>
      <c r="K174" s="228">
        <f t="shared" si="48"/>
        <v>0</v>
      </c>
      <c r="L174" s="228">
        <f t="shared" si="48"/>
        <v>0</v>
      </c>
      <c r="M174" s="228">
        <f t="shared" si="48"/>
        <v>0</v>
      </c>
      <c r="N174" s="228">
        <f t="shared" si="48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222.25248999999999</v>
      </c>
      <c r="F175" s="228">
        <f t="shared" ref="F175:N175" si="49">+E130</f>
        <v>167.45401000000001</v>
      </c>
      <c r="G175" s="228">
        <f t="shared" si="49"/>
        <v>208.904</v>
      </c>
      <c r="H175" s="228">
        <f t="shared" si="49"/>
        <v>163.892</v>
      </c>
      <c r="I175" s="228">
        <f t="shared" si="49"/>
        <v>175.88300000000001</v>
      </c>
      <c r="J175" s="228">
        <f t="shared" si="49"/>
        <v>158.72499999999999</v>
      </c>
      <c r="K175" s="228">
        <f t="shared" si="49"/>
        <v>146.51</v>
      </c>
      <c r="L175" s="228">
        <f t="shared" si="49"/>
        <v>112.429</v>
      </c>
      <c r="M175" s="228">
        <f t="shared" si="49"/>
        <v>97.022000000000006</v>
      </c>
      <c r="N175" s="228">
        <f t="shared" si="49"/>
        <v>959.11400000000003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50">+F163</f>
        <v>107.151</v>
      </c>
      <c r="G176" s="228">
        <f t="shared" si="50"/>
        <v>22.207999999999998</v>
      </c>
      <c r="H176" s="228">
        <f t="shared" si="50"/>
        <v>63.24</v>
      </c>
      <c r="I176" s="228">
        <f t="shared" si="50"/>
        <v>0</v>
      </c>
      <c r="J176" s="228">
        <f t="shared" si="50"/>
        <v>0</v>
      </c>
      <c r="K176" s="228">
        <f t="shared" si="50"/>
        <v>0</v>
      </c>
      <c r="L176" s="228">
        <f t="shared" si="50"/>
        <v>0</v>
      </c>
      <c r="M176" s="228">
        <f t="shared" si="50"/>
        <v>1687.499</v>
      </c>
      <c r="N176" s="228">
        <f t="shared" si="50"/>
        <v>3.5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-54.798000000000002</v>
      </c>
      <c r="F177" s="228">
        <f t="shared" ref="F177:N177" si="51">+F170</f>
        <v>-65.700999999999993</v>
      </c>
      <c r="G177" s="228">
        <f t="shared" si="51"/>
        <v>-67.22</v>
      </c>
      <c r="H177" s="228">
        <f t="shared" si="51"/>
        <v>-51.249000000000002</v>
      </c>
      <c r="I177" s="228">
        <f t="shared" si="51"/>
        <v>-17.158000000000001</v>
      </c>
      <c r="J177" s="228">
        <f t="shared" si="51"/>
        <v>-12.215</v>
      </c>
      <c r="K177" s="228">
        <f t="shared" si="51"/>
        <v>-34.081000000000003</v>
      </c>
      <c r="L177" s="228">
        <f t="shared" si="51"/>
        <v>-15.407</v>
      </c>
      <c r="M177" s="228">
        <f t="shared" si="51"/>
        <v>-825.40699999999993</v>
      </c>
      <c r="N177" s="228">
        <f t="shared" si="51"/>
        <v>-825.40699999999993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52">+F129</f>
        <v>0</v>
      </c>
      <c r="G178" s="228">
        <f t="shared" si="52"/>
        <v>0</v>
      </c>
      <c r="H178" s="228">
        <f t="shared" si="52"/>
        <v>0</v>
      </c>
      <c r="I178" s="228">
        <f t="shared" si="52"/>
        <v>0</v>
      </c>
      <c r="J178" s="228">
        <f t="shared" si="52"/>
        <v>0</v>
      </c>
      <c r="K178" s="228">
        <f t="shared" si="52"/>
        <v>0</v>
      </c>
      <c r="L178" s="228">
        <f t="shared" si="52"/>
        <v>0</v>
      </c>
      <c r="M178" s="228">
        <f t="shared" si="52"/>
        <v>0</v>
      </c>
      <c r="N178" s="228">
        <f t="shared" si="52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167.45401000000001</v>
      </c>
      <c r="F179" s="228">
        <f t="shared" ref="F179:N179" si="53">+F130</f>
        <v>208.904</v>
      </c>
      <c r="G179" s="228">
        <f t="shared" si="53"/>
        <v>163.892</v>
      </c>
      <c r="H179" s="228">
        <f t="shared" si="53"/>
        <v>175.88300000000001</v>
      </c>
      <c r="I179" s="228">
        <f t="shared" si="53"/>
        <v>158.72499999999999</v>
      </c>
      <c r="J179" s="228">
        <f t="shared" si="53"/>
        <v>146.51</v>
      </c>
      <c r="K179" s="228">
        <f t="shared" si="53"/>
        <v>112.429</v>
      </c>
      <c r="L179" s="228">
        <f t="shared" si="53"/>
        <v>97.022000000000006</v>
      </c>
      <c r="M179" s="228">
        <f t="shared" si="53"/>
        <v>959.11400000000003</v>
      </c>
      <c r="N179" s="228">
        <f t="shared" si="53"/>
        <v>137.20599999999999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4.799999999818283E-4</v>
      </c>
      <c r="F180" s="228">
        <f t="shared" ref="F180:N180" si="54">SUM(F174:F177)-(F178+F179)</f>
        <v>1.0000000003174137E-5</v>
      </c>
      <c r="G180" s="228">
        <f t="shared" si="54"/>
        <v>0</v>
      </c>
      <c r="H180" s="228">
        <f t="shared" si="54"/>
        <v>0</v>
      </c>
      <c r="I180" s="228">
        <f t="shared" si="54"/>
        <v>0</v>
      </c>
      <c r="J180" s="228">
        <f t="shared" si="54"/>
        <v>0</v>
      </c>
      <c r="K180" s="228">
        <f t="shared" si="54"/>
        <v>0</v>
      </c>
      <c r="L180" s="228">
        <f t="shared" si="54"/>
        <v>0</v>
      </c>
      <c r="M180" s="228">
        <f t="shared" si="54"/>
        <v>0</v>
      </c>
      <c r="N180" s="228">
        <f t="shared" si="54"/>
        <v>1.0000000001184617E-3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55">+C9</f>
        <v>Ref</v>
      </c>
      <c r="D182" s="193">
        <f t="shared" si="55"/>
        <v>2008</v>
      </c>
      <c r="E182" s="193">
        <f t="shared" si="55"/>
        <v>2009</v>
      </c>
      <c r="F182" s="193">
        <f t="shared" si="55"/>
        <v>2010</v>
      </c>
      <c r="G182" s="193">
        <f t="shared" si="55"/>
        <v>2011</v>
      </c>
      <c r="H182" s="193">
        <f t="shared" si="55"/>
        <v>2012</v>
      </c>
      <c r="I182" s="193">
        <f t="shared" si="55"/>
        <v>2013</v>
      </c>
      <c r="J182" s="193">
        <f t="shared" si="55"/>
        <v>2014</v>
      </c>
      <c r="K182" s="193">
        <f t="shared" si="55"/>
        <v>2015</v>
      </c>
      <c r="L182" s="193">
        <f t="shared" si="55"/>
        <v>2016</v>
      </c>
      <c r="M182" s="193">
        <f t="shared" si="55"/>
        <v>2017</v>
      </c>
      <c r="N182" s="193">
        <f t="shared" si="55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56">+(E118+E121)-(D118+D121)</f>
        <v>0</v>
      </c>
      <c r="F184" s="228">
        <f t="shared" si="56"/>
        <v>1.0000000003174137E-4</v>
      </c>
      <c r="G184" s="228">
        <f t="shared" si="56"/>
        <v>0</v>
      </c>
      <c r="H184" s="228">
        <f t="shared" si="56"/>
        <v>0</v>
      </c>
      <c r="I184" s="228">
        <f t="shared" si="56"/>
        <v>0</v>
      </c>
      <c r="J184" s="228">
        <f t="shared" si="56"/>
        <v>0</v>
      </c>
      <c r="K184" s="228">
        <f t="shared" si="56"/>
        <v>-1.0000000003174137E-4</v>
      </c>
      <c r="L184" s="228">
        <f t="shared" si="56"/>
        <v>38.344100000000026</v>
      </c>
      <c r="M184" s="228">
        <f t="shared" si="56"/>
        <v>-3.0000000003838068E-4</v>
      </c>
      <c r="N184" s="228">
        <f t="shared" si="56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57">(E119+E120+E122+E125+E126+E127+E128)-(D119+D120+D122+D125+D126+D127+D128)</f>
        <v>1836.6946099999986</v>
      </c>
      <c r="F185" s="228">
        <f t="shared" si="57"/>
        <v>2288.4727600000115</v>
      </c>
      <c r="G185" s="228">
        <f t="shared" si="57"/>
        <v>-781.14400000001478</v>
      </c>
      <c r="H185" s="228">
        <f t="shared" si="57"/>
        <v>-315.17799999999988</v>
      </c>
      <c r="I185" s="228">
        <f t="shared" si="57"/>
        <v>908.0170000000071</v>
      </c>
      <c r="J185" s="228">
        <f t="shared" si="57"/>
        <v>1946.5460000000021</v>
      </c>
      <c r="K185" s="228">
        <f t="shared" si="57"/>
        <v>2187.6080999999976</v>
      </c>
      <c r="L185" s="228">
        <f t="shared" si="57"/>
        <v>7765.8168999999907</v>
      </c>
      <c r="M185" s="228">
        <f t="shared" si="57"/>
        <v>13655.761300000013</v>
      </c>
      <c r="N185" s="228">
        <f t="shared" si="57"/>
        <v>1524.8799999999901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1836.6946099999986</v>
      </c>
      <c r="F186" s="251">
        <f>SUM(F184:F185)</f>
        <v>2288.4728600000117</v>
      </c>
      <c r="G186" s="251">
        <f>SUM(G184:G185)</f>
        <v>-781.14400000001478</v>
      </c>
      <c r="H186" s="251">
        <f t="shared" ref="H186:N186" si="58">SUM(H184:H185)</f>
        <v>-315.17799999999988</v>
      </c>
      <c r="I186" s="251">
        <f t="shared" si="58"/>
        <v>908.0170000000071</v>
      </c>
      <c r="J186" s="251">
        <f t="shared" si="58"/>
        <v>1946.5460000000021</v>
      </c>
      <c r="K186" s="251">
        <f t="shared" si="58"/>
        <v>2187.6079999999974</v>
      </c>
      <c r="L186" s="251">
        <f t="shared" si="58"/>
        <v>7804.160999999991</v>
      </c>
      <c r="M186" s="251">
        <f t="shared" si="58"/>
        <v>13655.761000000013</v>
      </c>
      <c r="N186" s="251">
        <f t="shared" si="58"/>
        <v>1524.8799999999901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1.0000000003174137E-4</v>
      </c>
      <c r="G192" s="192">
        <f>+G184-G188-G189-G190</f>
        <v>0</v>
      </c>
      <c r="H192" s="192">
        <f t="shared" ref="H192:N192" si="59">+H184-H188-H189-H190</f>
        <v>0</v>
      </c>
      <c r="I192" s="192">
        <f t="shared" si="59"/>
        <v>0</v>
      </c>
      <c r="J192" s="192">
        <f t="shared" si="59"/>
        <v>0</v>
      </c>
      <c r="K192" s="192">
        <f t="shared" si="59"/>
        <v>-1.0000000003174137E-4</v>
      </c>
      <c r="L192" s="192">
        <f t="shared" si="59"/>
        <v>38.344100000000026</v>
      </c>
      <c r="M192" s="192">
        <f t="shared" si="59"/>
        <v>-3.0000000003838068E-4</v>
      </c>
      <c r="N192" s="192">
        <f t="shared" si="59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60">+E126</f>
        <v>1836.69461</v>
      </c>
      <c r="F194" s="259">
        <f t="shared" si="60"/>
        <v>2288.473</v>
      </c>
      <c r="G194" s="259">
        <f t="shared" si="60"/>
        <v>-781.14400000000001</v>
      </c>
      <c r="H194" s="259">
        <f t="shared" si="60"/>
        <v>-315.178</v>
      </c>
      <c r="I194" s="259">
        <f t="shared" si="60"/>
        <v>908.01700000000005</v>
      </c>
      <c r="J194" s="259">
        <f t="shared" si="60"/>
        <v>1946.546</v>
      </c>
      <c r="K194" s="259">
        <f t="shared" si="60"/>
        <v>2187.61</v>
      </c>
      <c r="L194" s="259">
        <f t="shared" si="60"/>
        <v>5019.7910000000002</v>
      </c>
      <c r="M194" s="259">
        <f t="shared" si="60"/>
        <v>13655.762000000001</v>
      </c>
      <c r="N194" s="259">
        <f t="shared" si="60"/>
        <v>1524.8779999999999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61">-H188</f>
        <v>0</v>
      </c>
      <c r="I196" s="259">
        <f t="shared" si="61"/>
        <v>0</v>
      </c>
      <c r="J196" s="259">
        <f t="shared" si="61"/>
        <v>0</v>
      </c>
      <c r="K196" s="259">
        <f t="shared" si="61"/>
        <v>0</v>
      </c>
      <c r="L196" s="259">
        <f t="shared" si="61"/>
        <v>0</v>
      </c>
      <c r="M196" s="259">
        <f t="shared" si="61"/>
        <v>0</v>
      </c>
      <c r="N196" s="259">
        <f t="shared" si="61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-1.3642420526593924E-12</v>
      </c>
      <c r="F200" s="205">
        <f>+F185-F194-F195-F196-F197-F198</f>
        <v>-2.3999998848012183E-4</v>
      </c>
      <c r="G200" s="205">
        <f>+G185-G194-G195-G196-G197-G198</f>
        <v>-1.4779288903810084E-11</v>
      </c>
      <c r="H200" s="205">
        <f t="shared" ref="H200:N200" si="62">+H185-H194-H195-H196-H197-H198</f>
        <v>1.1368683772161603E-13</v>
      </c>
      <c r="I200" s="205">
        <f t="shared" si="62"/>
        <v>7.0485839387401938E-12</v>
      </c>
      <c r="J200" s="205">
        <f t="shared" si="62"/>
        <v>2.0463630789890885E-12</v>
      </c>
      <c r="K200" s="205">
        <f t="shared" si="62"/>
        <v>-1.9000000024789188E-3</v>
      </c>
      <c r="L200" s="205">
        <f t="shared" si="62"/>
        <v>2746.0258999999905</v>
      </c>
      <c r="M200" s="205">
        <f t="shared" si="62"/>
        <v>-6.9999998777348083E-4</v>
      </c>
      <c r="N200" s="205">
        <f t="shared" si="62"/>
        <v>1.9999999901756382E-3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63">+E9</f>
        <v>2009</v>
      </c>
      <c r="F205" s="206">
        <f t="shared" si="63"/>
        <v>2010</v>
      </c>
      <c r="G205" s="206">
        <f t="shared" si="63"/>
        <v>2011</v>
      </c>
      <c r="H205" s="206">
        <f t="shared" si="63"/>
        <v>2012</v>
      </c>
      <c r="I205" s="206">
        <f t="shared" si="63"/>
        <v>2013</v>
      </c>
      <c r="J205" s="206">
        <f t="shared" si="63"/>
        <v>2014</v>
      </c>
      <c r="K205" s="206">
        <f t="shared" si="63"/>
        <v>2015</v>
      </c>
      <c r="L205" s="206">
        <f t="shared" si="63"/>
        <v>2016</v>
      </c>
      <c r="M205" s="206">
        <f t="shared" si="63"/>
        <v>2017</v>
      </c>
      <c r="N205" s="206">
        <f t="shared" si="63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64">+E9</f>
        <v>2009</v>
      </c>
      <c r="F207" s="207">
        <f t="shared" si="64"/>
        <v>2010</v>
      </c>
      <c r="G207" s="207">
        <f t="shared" si="64"/>
        <v>2011</v>
      </c>
      <c r="H207" s="207">
        <f t="shared" si="64"/>
        <v>2012</v>
      </c>
      <c r="I207" s="207">
        <f t="shared" si="64"/>
        <v>2013</v>
      </c>
      <c r="J207" s="207">
        <f t="shared" si="64"/>
        <v>2014</v>
      </c>
      <c r="K207" s="207">
        <f t="shared" si="64"/>
        <v>2015</v>
      </c>
      <c r="L207" s="207">
        <f t="shared" si="64"/>
        <v>2016</v>
      </c>
      <c r="M207" s="207">
        <f t="shared" si="64"/>
        <v>2017</v>
      </c>
      <c r="N207" s="207">
        <f t="shared" si="64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65">+E16</f>
        <v>2511.06367</v>
      </c>
      <c r="F208" s="228">
        <f t="shared" si="65"/>
        <v>1766.165</v>
      </c>
      <c r="G208" s="228">
        <f t="shared" si="65"/>
        <v>1390.92</v>
      </c>
      <c r="H208" s="228">
        <f t="shared" si="65"/>
        <v>1312.201</v>
      </c>
      <c r="I208" s="228">
        <f t="shared" si="65"/>
        <v>2592.3829999999998</v>
      </c>
      <c r="J208" s="228">
        <f t="shared" si="65"/>
        <v>2334.924</v>
      </c>
      <c r="K208" s="228">
        <f t="shared" si="65"/>
        <v>1786.838</v>
      </c>
      <c r="L208" s="228">
        <f t="shared" si="65"/>
        <v>1899.999</v>
      </c>
      <c r="M208" s="228">
        <f t="shared" si="65"/>
        <v>954.13900000000001</v>
      </c>
      <c r="N208" s="228">
        <f t="shared" si="65"/>
        <v>843.51900000000001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66">+E17</f>
        <v>35302.0196</v>
      </c>
      <c r="F209" s="228">
        <f t="shared" si="66"/>
        <v>34534.374000000003</v>
      </c>
      <c r="G209" s="228">
        <f t="shared" si="66"/>
        <v>37940.817999999999</v>
      </c>
      <c r="H209" s="228">
        <f t="shared" si="66"/>
        <v>40482.987999999998</v>
      </c>
      <c r="I209" s="228">
        <f t="shared" si="66"/>
        <v>64774.872000000003</v>
      </c>
      <c r="J209" s="228">
        <f t="shared" si="66"/>
        <v>85720.888999999996</v>
      </c>
      <c r="K209" s="228">
        <f t="shared" si="66"/>
        <v>100997.553</v>
      </c>
      <c r="L209" s="228">
        <f t="shared" si="66"/>
        <v>110282.61</v>
      </c>
      <c r="M209" s="228">
        <f t="shared" si="66"/>
        <v>119163.41899999999</v>
      </c>
      <c r="N209" s="228">
        <f t="shared" si="66"/>
        <v>118198.575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67">+E19</f>
        <v>0</v>
      </c>
      <c r="F210" s="228">
        <f t="shared" si="67"/>
        <v>0</v>
      </c>
      <c r="G210" s="228">
        <f t="shared" si="67"/>
        <v>0</v>
      </c>
      <c r="H210" s="228">
        <f t="shared" si="67"/>
        <v>0</v>
      </c>
      <c r="I210" s="228">
        <f t="shared" si="67"/>
        <v>0</v>
      </c>
      <c r="J210" s="228">
        <f t="shared" si="67"/>
        <v>0</v>
      </c>
      <c r="K210" s="228">
        <f t="shared" si="67"/>
        <v>0</v>
      </c>
      <c r="L210" s="228">
        <f t="shared" si="67"/>
        <v>0</v>
      </c>
      <c r="M210" s="228">
        <f t="shared" si="67"/>
        <v>0</v>
      </c>
      <c r="N210" s="228">
        <f t="shared" si="67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68">+E27</f>
        <v>706.49748999999997</v>
      </c>
      <c r="F211" s="228">
        <f t="shared" si="68"/>
        <v>608.27800000000002</v>
      </c>
      <c r="G211" s="228">
        <f t="shared" si="68"/>
        <v>613.654</v>
      </c>
      <c r="H211" s="228">
        <f t="shared" si="68"/>
        <v>715.12199999999996</v>
      </c>
      <c r="I211" s="228">
        <f t="shared" si="68"/>
        <v>1470.8610000000001</v>
      </c>
      <c r="J211" s="228">
        <f t="shared" si="68"/>
        <v>1443.327</v>
      </c>
      <c r="K211" s="228">
        <f t="shared" si="68"/>
        <v>1585.8240000000001</v>
      </c>
      <c r="L211" s="228">
        <f t="shared" si="68"/>
        <v>1766.6890000000001</v>
      </c>
      <c r="M211" s="228">
        <f t="shared" si="68"/>
        <v>1902.6310000000001</v>
      </c>
      <c r="N211" s="228">
        <f t="shared" si="68"/>
        <v>1986.328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69">+E20</f>
        <v>0</v>
      </c>
      <c r="F212" s="228">
        <f t="shared" si="69"/>
        <v>0</v>
      </c>
      <c r="G212" s="228">
        <f t="shared" si="69"/>
        <v>0</v>
      </c>
      <c r="H212" s="228">
        <f t="shared" si="69"/>
        <v>0</v>
      </c>
      <c r="I212" s="228">
        <f t="shared" si="69"/>
        <v>0</v>
      </c>
      <c r="J212" s="228">
        <f t="shared" si="69"/>
        <v>0</v>
      </c>
      <c r="K212" s="228">
        <f t="shared" si="69"/>
        <v>0</v>
      </c>
      <c r="L212" s="228">
        <f t="shared" si="69"/>
        <v>0</v>
      </c>
      <c r="M212" s="228">
        <f t="shared" si="69"/>
        <v>0</v>
      </c>
      <c r="N212" s="228">
        <f t="shared" si="69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70">+E28</f>
        <v>5.1778599999999999</v>
      </c>
      <c r="F213" s="228">
        <f t="shared" si="70"/>
        <v>0</v>
      </c>
      <c r="G213" s="228">
        <f t="shared" si="70"/>
        <v>0</v>
      </c>
      <c r="H213" s="228">
        <f t="shared" si="70"/>
        <v>0</v>
      </c>
      <c r="I213" s="228">
        <f t="shared" si="70"/>
        <v>0</v>
      </c>
      <c r="J213" s="228">
        <f t="shared" si="70"/>
        <v>0</v>
      </c>
      <c r="K213" s="228">
        <f t="shared" si="70"/>
        <v>0</v>
      </c>
      <c r="L213" s="228">
        <f t="shared" si="70"/>
        <v>0</v>
      </c>
      <c r="M213" s="228">
        <f t="shared" si="70"/>
        <v>0</v>
      </c>
      <c r="N213" s="228">
        <f t="shared" si="70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38524.758620000008</v>
      </c>
      <c r="F214" s="251">
        <f>SUM(F208:F213)</f>
        <v>36908.817000000003</v>
      </c>
      <c r="G214" s="251">
        <f>SUM(G208:G213)</f>
        <v>39945.392</v>
      </c>
      <c r="H214" s="251">
        <f t="shared" ref="H214:N214" si="71">SUM(H208:H213)</f>
        <v>42510.311000000002</v>
      </c>
      <c r="I214" s="251">
        <f t="shared" si="71"/>
        <v>68838.116000000009</v>
      </c>
      <c r="J214" s="251">
        <f t="shared" si="71"/>
        <v>89499.14</v>
      </c>
      <c r="K214" s="251">
        <f t="shared" si="71"/>
        <v>104370.215</v>
      </c>
      <c r="L214" s="251">
        <f t="shared" si="71"/>
        <v>113949.298</v>
      </c>
      <c r="M214" s="251">
        <f t="shared" si="71"/>
        <v>122020.18899999998</v>
      </c>
      <c r="N214" s="251">
        <f t="shared" si="71"/>
        <v>121028.42199999999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72">+E9</f>
        <v>2009</v>
      </c>
      <c r="F216" s="207">
        <f t="shared" si="72"/>
        <v>2010</v>
      </c>
      <c r="G216" s="207">
        <f t="shared" si="72"/>
        <v>2011</v>
      </c>
      <c r="H216" s="207">
        <f t="shared" si="72"/>
        <v>2012</v>
      </c>
      <c r="I216" s="207">
        <f t="shared" si="72"/>
        <v>2013</v>
      </c>
      <c r="J216" s="207">
        <f t="shared" si="72"/>
        <v>2014</v>
      </c>
      <c r="K216" s="207">
        <f t="shared" si="72"/>
        <v>2015</v>
      </c>
      <c r="L216" s="207">
        <f t="shared" si="72"/>
        <v>2016</v>
      </c>
      <c r="M216" s="207">
        <f t="shared" si="72"/>
        <v>2017</v>
      </c>
      <c r="N216" s="207">
        <f t="shared" si="72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73">E22</f>
        <v>-1643.2539999999999</v>
      </c>
      <c r="F217" s="228">
        <f t="shared" si="73"/>
        <v>-1147.8779999999999</v>
      </c>
      <c r="G217" s="228">
        <f t="shared" si="73"/>
        <v>-890.42899999999997</v>
      </c>
      <c r="H217" s="228">
        <f t="shared" si="73"/>
        <v>-915.79100000000005</v>
      </c>
      <c r="I217" s="228">
        <f t="shared" si="73"/>
        <v>-1514.2059999999999</v>
      </c>
      <c r="J217" s="228">
        <f t="shared" si="73"/>
        <v>-962.94200000000001</v>
      </c>
      <c r="K217" s="228">
        <f t="shared" si="73"/>
        <v>-1202.019</v>
      </c>
      <c r="L217" s="228">
        <f t="shared" si="73"/>
        <v>-1096.4490000000001</v>
      </c>
      <c r="M217" s="228">
        <f t="shared" si="73"/>
        <v>-507.98500000000001</v>
      </c>
      <c r="N217" s="228">
        <f t="shared" si="73"/>
        <v>-361.78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74">+E23</f>
        <v>-5412.6409999999996</v>
      </c>
      <c r="F218" s="228">
        <f t="shared" si="74"/>
        <v>-6132.31</v>
      </c>
      <c r="G218" s="228">
        <f t="shared" si="74"/>
        <v>-8017.3729999999996</v>
      </c>
      <c r="H218" s="228">
        <f t="shared" si="74"/>
        <v>-8131.7860000000001</v>
      </c>
      <c r="I218" s="228">
        <f t="shared" si="74"/>
        <v>-14134.563</v>
      </c>
      <c r="J218" s="228">
        <f t="shared" si="74"/>
        <v>-18916.219000000001</v>
      </c>
      <c r="K218" s="228">
        <f t="shared" si="74"/>
        <v>-20332.822</v>
      </c>
      <c r="L218" s="228">
        <f t="shared" si="74"/>
        <v>-22144.109</v>
      </c>
      <c r="M218" s="228">
        <f t="shared" si="74"/>
        <v>-23267.477999999999</v>
      </c>
      <c r="N218" s="228">
        <f t="shared" si="74"/>
        <v>-22386.896000000001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75">+E24</f>
        <v>-624.81524000000002</v>
      </c>
      <c r="F219" s="228">
        <f t="shared" si="75"/>
        <v>-601.73400000000004</v>
      </c>
      <c r="G219" s="228">
        <f t="shared" si="75"/>
        <v>-676.51300000000003</v>
      </c>
      <c r="H219" s="228">
        <f t="shared" si="75"/>
        <v>-680.96299999999997</v>
      </c>
      <c r="I219" s="228">
        <f t="shared" si="75"/>
        <v>-1865.7170000000001</v>
      </c>
      <c r="J219" s="228">
        <f t="shared" si="75"/>
        <v>-4358.47</v>
      </c>
      <c r="K219" s="228">
        <f t="shared" si="75"/>
        <v>-5090.058</v>
      </c>
      <c r="L219" s="228">
        <f t="shared" si="75"/>
        <v>-5534.6909999999998</v>
      </c>
      <c r="M219" s="228">
        <f t="shared" si="75"/>
        <v>-5945.2920000000004</v>
      </c>
      <c r="N219" s="228">
        <f t="shared" si="75"/>
        <v>-5371.86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76">+E25</f>
        <v>0</v>
      </c>
      <c r="F220" s="228">
        <f t="shared" si="76"/>
        <v>0</v>
      </c>
      <c r="G220" s="228">
        <f t="shared" si="76"/>
        <v>0</v>
      </c>
      <c r="H220" s="228">
        <f t="shared" si="76"/>
        <v>0</v>
      </c>
      <c r="I220" s="228">
        <f t="shared" si="76"/>
        <v>0</v>
      </c>
      <c r="J220" s="228">
        <f t="shared" si="76"/>
        <v>0</v>
      </c>
      <c r="K220" s="228">
        <f t="shared" si="76"/>
        <v>0</v>
      </c>
      <c r="L220" s="228">
        <f t="shared" si="76"/>
        <v>0</v>
      </c>
      <c r="M220" s="228">
        <f t="shared" si="76"/>
        <v>0</v>
      </c>
      <c r="N220" s="228">
        <f t="shared" si="76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77">+E34</f>
        <v>-8331.5021099999994</v>
      </c>
      <c r="F221" s="228">
        <f t="shared" si="77"/>
        <v>-7233.3360000000002</v>
      </c>
      <c r="G221" s="228">
        <f t="shared" si="77"/>
        <v>-7232.8950000000004</v>
      </c>
      <c r="H221" s="228">
        <f t="shared" si="77"/>
        <v>-8614.7039999999997</v>
      </c>
      <c r="I221" s="228">
        <f t="shared" si="77"/>
        <v>-16779.213</v>
      </c>
      <c r="J221" s="228">
        <f t="shared" si="77"/>
        <v>-24667.859</v>
      </c>
      <c r="K221" s="228">
        <f t="shared" si="77"/>
        <v>-28604.112000000001</v>
      </c>
      <c r="L221" s="228">
        <f t="shared" si="77"/>
        <v>-30211.517</v>
      </c>
      <c r="M221" s="228">
        <f t="shared" si="77"/>
        <v>-32154.391</v>
      </c>
      <c r="N221" s="228">
        <f t="shared" si="77"/>
        <v>-35069.32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78">+E37</f>
        <v>0</v>
      </c>
      <c r="F222" s="236">
        <f t="shared" si="78"/>
        <v>0</v>
      </c>
      <c r="G222" s="236">
        <f t="shared" si="78"/>
        <v>0</v>
      </c>
      <c r="H222" s="236">
        <f t="shared" si="78"/>
        <v>0</v>
      </c>
      <c r="I222" s="236">
        <f t="shared" si="78"/>
        <v>-14.618</v>
      </c>
      <c r="J222" s="236">
        <f t="shared" si="78"/>
        <v>-15.337</v>
      </c>
      <c r="K222" s="236">
        <f t="shared" si="78"/>
        <v>-26.460999999999999</v>
      </c>
      <c r="L222" s="236">
        <f t="shared" si="78"/>
        <v>-25.808</v>
      </c>
      <c r="M222" s="236">
        <f t="shared" si="78"/>
        <v>-24.623999999999999</v>
      </c>
      <c r="N222" s="236">
        <f t="shared" si="78"/>
        <v>-22.434999999999999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79">+E38</f>
        <v>0</v>
      </c>
      <c r="F223" s="236">
        <f t="shared" si="79"/>
        <v>0</v>
      </c>
      <c r="G223" s="236">
        <f t="shared" si="79"/>
        <v>0</v>
      </c>
      <c r="H223" s="236">
        <f t="shared" si="79"/>
        <v>0</v>
      </c>
      <c r="I223" s="236">
        <f t="shared" si="79"/>
        <v>0</v>
      </c>
      <c r="J223" s="236">
        <f t="shared" si="79"/>
        <v>0</v>
      </c>
      <c r="K223" s="236">
        <f t="shared" si="79"/>
        <v>0</v>
      </c>
      <c r="L223" s="236">
        <f t="shared" si="79"/>
        <v>0</v>
      </c>
      <c r="M223" s="236">
        <f t="shared" si="79"/>
        <v>0</v>
      </c>
      <c r="N223" s="236">
        <f t="shared" si="79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-16012.212349999998</v>
      </c>
      <c r="F224" s="253">
        <f>SUM(F217:F223)</f>
        <v>-15115.258000000002</v>
      </c>
      <c r="G224" s="253">
        <f>SUM(G217:G223)</f>
        <v>-16817.21</v>
      </c>
      <c r="H224" s="253">
        <f t="shared" ref="H224:N224" si="80">SUM(H217:H223)</f>
        <v>-18343.243999999999</v>
      </c>
      <c r="I224" s="253">
        <f t="shared" si="80"/>
        <v>-34308.317000000003</v>
      </c>
      <c r="J224" s="253">
        <f t="shared" si="80"/>
        <v>-48920.827000000005</v>
      </c>
      <c r="K224" s="253">
        <f t="shared" si="80"/>
        <v>-55255.472000000002</v>
      </c>
      <c r="L224" s="253">
        <f t="shared" si="80"/>
        <v>-59012.574000000001</v>
      </c>
      <c r="M224" s="253">
        <f t="shared" si="80"/>
        <v>-61899.770000000004</v>
      </c>
      <c r="N224" s="253">
        <f t="shared" si="80"/>
        <v>-63212.290999999997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-16012.212349999998</v>
      </c>
      <c r="F227" s="240">
        <f>+F224</f>
        <v>-15115.258000000002</v>
      </c>
      <c r="G227" s="240">
        <f>+G224</f>
        <v>-16817.21</v>
      </c>
      <c r="H227" s="240">
        <f t="shared" ref="H227:N227" si="81">+H224</f>
        <v>-18343.243999999999</v>
      </c>
      <c r="I227" s="240">
        <f t="shared" si="81"/>
        <v>-34308.317000000003</v>
      </c>
      <c r="J227" s="240">
        <f t="shared" si="81"/>
        <v>-48920.827000000005</v>
      </c>
      <c r="K227" s="240">
        <f t="shared" si="81"/>
        <v>-55255.472000000002</v>
      </c>
      <c r="L227" s="240">
        <f t="shared" si="81"/>
        <v>-59012.574000000001</v>
      </c>
      <c r="M227" s="240">
        <f t="shared" si="81"/>
        <v>-61899.770000000004</v>
      </c>
      <c r="N227" s="240">
        <f t="shared" si="81"/>
        <v>-63212.290999999997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82">-(E101-D101)</f>
        <v>158.71380000000002</v>
      </c>
      <c r="F228" s="240">
        <f t="shared" si="82"/>
        <v>46.986180000000019</v>
      </c>
      <c r="G228" s="240">
        <f t="shared" si="82"/>
        <v>25.463609999999989</v>
      </c>
      <c r="H228" s="240">
        <f t="shared" si="82"/>
        <v>-12.073000000000008</v>
      </c>
      <c r="I228" s="240">
        <f t="shared" si="82"/>
        <v>-78.195999999999998</v>
      </c>
      <c r="J228" s="240">
        <f t="shared" si="82"/>
        <v>32.498999999999995</v>
      </c>
      <c r="K228" s="240">
        <f t="shared" si="82"/>
        <v>9.1970000000000027</v>
      </c>
      <c r="L228" s="240">
        <f t="shared" si="82"/>
        <v>6.0960000000000036</v>
      </c>
      <c r="M228" s="240">
        <f t="shared" si="82"/>
        <v>117.78100000000001</v>
      </c>
      <c r="N228" s="240">
        <f t="shared" si="82"/>
        <v>2.3039999999999949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83">-(E102-D102)</f>
        <v>-37.640390000000025</v>
      </c>
      <c r="F229" s="240">
        <f t="shared" si="83"/>
        <v>-88.206500000000005</v>
      </c>
      <c r="G229" s="240">
        <f t="shared" si="83"/>
        <v>73.299379999999985</v>
      </c>
      <c r="H229" s="240">
        <f t="shared" si="83"/>
        <v>27.969000000000051</v>
      </c>
      <c r="I229" s="240">
        <f t="shared" si="83"/>
        <v>-330.95700000000005</v>
      </c>
      <c r="J229" s="240">
        <f t="shared" si="83"/>
        <v>-108.46299999999997</v>
      </c>
      <c r="K229" s="240">
        <f t="shared" si="83"/>
        <v>-51.787000000000035</v>
      </c>
      <c r="L229" s="240">
        <f t="shared" si="83"/>
        <v>-35.447999999999979</v>
      </c>
      <c r="M229" s="240">
        <f t="shared" si="83"/>
        <v>-33.557000000000016</v>
      </c>
      <c r="N229" s="240">
        <f t="shared" si="83"/>
        <v>37.774999999999977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-15891.138939999999</v>
      </c>
      <c r="F230" s="242">
        <f>SUM(F227:F229)</f>
        <v>-15156.478320000002</v>
      </c>
      <c r="G230" s="242">
        <f>SUM(G227:G229)</f>
        <v>-16718.44701</v>
      </c>
      <c r="H230" s="242">
        <f t="shared" ref="H230:N230" si="84">SUM(H227:H229)</f>
        <v>-18327.347999999998</v>
      </c>
      <c r="I230" s="242">
        <f t="shared" si="84"/>
        <v>-34717.470000000008</v>
      </c>
      <c r="J230" s="242">
        <f t="shared" si="84"/>
        <v>-48996.791000000005</v>
      </c>
      <c r="K230" s="242">
        <f t="shared" si="84"/>
        <v>-55298.061999999998</v>
      </c>
      <c r="L230" s="242">
        <f t="shared" si="84"/>
        <v>-59041.925999999999</v>
      </c>
      <c r="M230" s="242">
        <f t="shared" si="84"/>
        <v>-61815.546000000002</v>
      </c>
      <c r="N230" s="242">
        <f t="shared" si="84"/>
        <v>-63172.212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85">+E9</f>
        <v>2009</v>
      </c>
      <c r="F232" s="207">
        <f t="shared" si="85"/>
        <v>2010</v>
      </c>
      <c r="G232" s="207">
        <f t="shared" si="85"/>
        <v>2011</v>
      </c>
      <c r="H232" s="207">
        <f t="shared" si="85"/>
        <v>2012</v>
      </c>
      <c r="I232" s="207">
        <f t="shared" si="85"/>
        <v>2013</v>
      </c>
      <c r="J232" s="207">
        <f t="shared" si="85"/>
        <v>2014</v>
      </c>
      <c r="K232" s="207">
        <f t="shared" si="85"/>
        <v>2015</v>
      </c>
      <c r="L232" s="207">
        <f t="shared" si="85"/>
        <v>2016</v>
      </c>
      <c r="M232" s="207">
        <f t="shared" si="85"/>
        <v>2017</v>
      </c>
      <c r="N232" s="207">
        <f t="shared" si="85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86">+E39</f>
        <v>-4512.6676200000002</v>
      </c>
      <c r="F233" s="228">
        <f t="shared" si="86"/>
        <v>-5163.9319999999998</v>
      </c>
      <c r="G233" s="228">
        <f t="shared" si="86"/>
        <v>-4901.8940000000002</v>
      </c>
      <c r="H233" s="228">
        <f t="shared" si="86"/>
        <v>-5208.5200000000004</v>
      </c>
      <c r="I233" s="228">
        <f t="shared" si="86"/>
        <v>-5188.3900000000003</v>
      </c>
      <c r="J233" s="228">
        <f t="shared" si="86"/>
        <v>-5590.6480000000001</v>
      </c>
      <c r="K233" s="228">
        <f t="shared" si="86"/>
        <v>-6779.9989999999998</v>
      </c>
      <c r="L233" s="228">
        <f t="shared" si="86"/>
        <v>-7726.0720000000001</v>
      </c>
      <c r="M233" s="228">
        <f t="shared" si="86"/>
        <v>-9883.2150000000001</v>
      </c>
      <c r="N233" s="228">
        <f t="shared" si="86"/>
        <v>-10254.243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87">+E43</f>
        <v>-203.09299999999999</v>
      </c>
      <c r="F234" s="228">
        <f t="shared" si="87"/>
        <v>0</v>
      </c>
      <c r="G234" s="228">
        <f t="shared" si="87"/>
        <v>0</v>
      </c>
      <c r="H234" s="228">
        <f t="shared" si="87"/>
        <v>0</v>
      </c>
      <c r="I234" s="228">
        <f t="shared" si="87"/>
        <v>0</v>
      </c>
      <c r="J234" s="228">
        <f t="shared" si="87"/>
        <v>0</v>
      </c>
      <c r="K234" s="228">
        <f t="shared" si="87"/>
        <v>0</v>
      </c>
      <c r="L234" s="228">
        <f t="shared" si="87"/>
        <v>0</v>
      </c>
      <c r="M234" s="228">
        <f t="shared" si="87"/>
        <v>0</v>
      </c>
      <c r="N234" s="228">
        <f t="shared" si="87"/>
        <v>-2455.3989999999999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-4715.76062</v>
      </c>
      <c r="F235" s="251">
        <f>SUM(F233:F234)</f>
        <v>-5163.9319999999998</v>
      </c>
      <c r="G235" s="251">
        <f>SUM(G233:G234)</f>
        <v>-4901.8940000000002</v>
      </c>
      <c r="H235" s="251">
        <f t="shared" ref="H235:N235" si="88">SUM(H233:H234)</f>
        <v>-5208.5200000000004</v>
      </c>
      <c r="I235" s="251">
        <f t="shared" si="88"/>
        <v>-5188.3900000000003</v>
      </c>
      <c r="J235" s="251">
        <f t="shared" si="88"/>
        <v>-5590.6480000000001</v>
      </c>
      <c r="K235" s="251">
        <f t="shared" si="88"/>
        <v>-6779.9989999999998</v>
      </c>
      <c r="L235" s="251">
        <f t="shared" si="88"/>
        <v>-7726.0720000000001</v>
      </c>
      <c r="M235" s="251">
        <f t="shared" si="88"/>
        <v>-9883.2150000000001</v>
      </c>
      <c r="N235" s="251">
        <f t="shared" si="88"/>
        <v>-12709.642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89">+E9</f>
        <v>2009</v>
      </c>
      <c r="F237" s="207">
        <f t="shared" si="89"/>
        <v>2010</v>
      </c>
      <c r="G237" s="207">
        <f t="shared" si="89"/>
        <v>2011</v>
      </c>
      <c r="H237" s="207">
        <f t="shared" si="89"/>
        <v>2012</v>
      </c>
      <c r="I237" s="207">
        <f t="shared" si="89"/>
        <v>2013</v>
      </c>
      <c r="J237" s="207">
        <f t="shared" si="89"/>
        <v>2014</v>
      </c>
      <c r="K237" s="207">
        <f t="shared" si="89"/>
        <v>2015</v>
      </c>
      <c r="L237" s="207">
        <f t="shared" si="89"/>
        <v>2016</v>
      </c>
      <c r="M237" s="207">
        <f t="shared" si="89"/>
        <v>2017</v>
      </c>
      <c r="N237" s="207">
        <f t="shared" si="89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38524.758620000008</v>
      </c>
      <c r="F238" s="228">
        <f>+F214</f>
        <v>36908.817000000003</v>
      </c>
      <c r="G238" s="228">
        <f>+G214</f>
        <v>39945.392</v>
      </c>
      <c r="H238" s="228">
        <f t="shared" ref="H238:N238" si="90">+H214</f>
        <v>42510.311000000002</v>
      </c>
      <c r="I238" s="228">
        <f t="shared" si="90"/>
        <v>68838.116000000009</v>
      </c>
      <c r="J238" s="228">
        <f t="shared" si="90"/>
        <v>89499.14</v>
      </c>
      <c r="K238" s="228">
        <f t="shared" si="90"/>
        <v>104370.215</v>
      </c>
      <c r="L238" s="228">
        <f t="shared" si="90"/>
        <v>113949.298</v>
      </c>
      <c r="M238" s="228">
        <f t="shared" si="90"/>
        <v>122020.18899999998</v>
      </c>
      <c r="N238" s="228">
        <f t="shared" si="90"/>
        <v>121028.42199999999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-16012.212349999998</v>
      </c>
      <c r="F239" s="228">
        <f>+F224</f>
        <v>-15115.258000000002</v>
      </c>
      <c r="G239" s="228">
        <f>+G224</f>
        <v>-16817.21</v>
      </c>
      <c r="H239" s="228">
        <f t="shared" ref="H239:N239" si="91">+H224</f>
        <v>-18343.243999999999</v>
      </c>
      <c r="I239" s="228">
        <f t="shared" si="91"/>
        <v>-34308.317000000003</v>
      </c>
      <c r="J239" s="228">
        <f t="shared" si="91"/>
        <v>-48920.827000000005</v>
      </c>
      <c r="K239" s="228">
        <f t="shared" si="91"/>
        <v>-55255.472000000002</v>
      </c>
      <c r="L239" s="228">
        <f t="shared" si="91"/>
        <v>-59012.574000000001</v>
      </c>
      <c r="M239" s="228">
        <f t="shared" si="91"/>
        <v>-61899.770000000004</v>
      </c>
      <c r="N239" s="228">
        <f t="shared" si="91"/>
        <v>-63212.290999999997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-4715.76062</v>
      </c>
      <c r="F240" s="228">
        <f>+F235</f>
        <v>-5163.9319999999998</v>
      </c>
      <c r="G240" s="228">
        <f>+G235</f>
        <v>-4901.8940000000002</v>
      </c>
      <c r="H240" s="228">
        <f t="shared" ref="H240:N240" si="92">+H235</f>
        <v>-5208.5200000000004</v>
      </c>
      <c r="I240" s="228">
        <f t="shared" si="92"/>
        <v>-5188.3900000000003</v>
      </c>
      <c r="J240" s="228">
        <f t="shared" si="92"/>
        <v>-5590.6480000000001</v>
      </c>
      <c r="K240" s="228">
        <f t="shared" si="92"/>
        <v>-6779.9989999999998</v>
      </c>
      <c r="L240" s="228">
        <f t="shared" si="92"/>
        <v>-7726.0720000000001</v>
      </c>
      <c r="M240" s="228">
        <f t="shared" si="92"/>
        <v>-9883.2150000000001</v>
      </c>
      <c r="N240" s="228">
        <f t="shared" si="92"/>
        <v>-12709.642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17796.785650000009</v>
      </c>
      <c r="F241" s="251">
        <f>SUM(F238:F240)</f>
        <v>16629.627</v>
      </c>
      <c r="G241" s="251">
        <f>SUM(G238:G240)</f>
        <v>18226.288</v>
      </c>
      <c r="H241" s="251">
        <f t="shared" ref="H241:N241" si="93">SUM(H238:H240)</f>
        <v>18958.547000000002</v>
      </c>
      <c r="I241" s="251">
        <f t="shared" si="93"/>
        <v>29341.409000000007</v>
      </c>
      <c r="J241" s="251">
        <f t="shared" si="93"/>
        <v>34987.664999999994</v>
      </c>
      <c r="K241" s="251">
        <f t="shared" si="93"/>
        <v>42334.743999999992</v>
      </c>
      <c r="L241" s="251">
        <f t="shared" si="93"/>
        <v>47210.651999999995</v>
      </c>
      <c r="M241" s="251">
        <f t="shared" si="93"/>
        <v>50237.203999999983</v>
      </c>
      <c r="N241" s="251">
        <f t="shared" si="93"/>
        <v>45106.488999999994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94">+E9</f>
        <v>2009</v>
      </c>
      <c r="F243" s="207">
        <f t="shared" si="94"/>
        <v>2010</v>
      </c>
      <c r="G243" s="207">
        <f t="shared" si="94"/>
        <v>2011</v>
      </c>
      <c r="H243" s="207">
        <f t="shared" si="94"/>
        <v>2012</v>
      </c>
      <c r="I243" s="207">
        <f t="shared" si="94"/>
        <v>2013</v>
      </c>
      <c r="J243" s="207">
        <f t="shared" si="94"/>
        <v>2014</v>
      </c>
      <c r="K243" s="207">
        <f t="shared" si="94"/>
        <v>2015</v>
      </c>
      <c r="L243" s="207">
        <f t="shared" si="94"/>
        <v>2016</v>
      </c>
      <c r="M243" s="207">
        <f t="shared" si="94"/>
        <v>2017</v>
      </c>
      <c r="N243" s="207">
        <f t="shared" si="94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17796.785650000009</v>
      </c>
      <c r="F244" s="228">
        <f>F241</f>
        <v>16629.627</v>
      </c>
      <c r="G244" s="228">
        <f>G241</f>
        <v>18226.288</v>
      </c>
      <c r="H244" s="228">
        <f t="shared" ref="H244:N244" si="95">H241</f>
        <v>18958.547000000002</v>
      </c>
      <c r="I244" s="228">
        <f t="shared" si="95"/>
        <v>29341.409000000007</v>
      </c>
      <c r="J244" s="228">
        <f t="shared" si="95"/>
        <v>34987.664999999994</v>
      </c>
      <c r="K244" s="228">
        <f t="shared" si="95"/>
        <v>42334.743999999992</v>
      </c>
      <c r="L244" s="228">
        <f t="shared" si="95"/>
        <v>47210.651999999995</v>
      </c>
      <c r="M244" s="228">
        <f t="shared" si="95"/>
        <v>50237.203999999983</v>
      </c>
      <c r="N244" s="228">
        <f t="shared" si="95"/>
        <v>45106.488999999994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96">+E30</f>
        <v>-12406.13609</v>
      </c>
      <c r="F245" s="228">
        <f t="shared" si="96"/>
        <v>-11887.299000000001</v>
      </c>
      <c r="G245" s="228">
        <f t="shared" si="96"/>
        <v>-13275.573</v>
      </c>
      <c r="H245" s="228">
        <f t="shared" si="96"/>
        <v>-14239.296</v>
      </c>
      <c r="I245" s="228">
        <f t="shared" si="96"/>
        <v>-20737.255000000001</v>
      </c>
      <c r="J245" s="228">
        <f t="shared" si="96"/>
        <v>-24532.16</v>
      </c>
      <c r="K245" s="228">
        <f t="shared" si="96"/>
        <v>-28219.615000000002</v>
      </c>
      <c r="L245" s="228">
        <f t="shared" si="96"/>
        <v>-30969.643</v>
      </c>
      <c r="M245" s="228">
        <f t="shared" si="96"/>
        <v>-31467.655999999999</v>
      </c>
      <c r="N245" s="228">
        <f t="shared" si="96"/>
        <v>-33011.864999999998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97">+E31</f>
        <v>-3744.6343200000001</v>
      </c>
      <c r="F246" s="228">
        <f t="shared" si="97"/>
        <v>-3610.0169999999998</v>
      </c>
      <c r="G246" s="228">
        <f t="shared" si="97"/>
        <v>-4137.6409999999996</v>
      </c>
      <c r="H246" s="228">
        <f t="shared" si="97"/>
        <v>-4211.0159999999996</v>
      </c>
      <c r="I246" s="228">
        <f t="shared" si="97"/>
        <v>-6522.09</v>
      </c>
      <c r="J246" s="228">
        <f t="shared" si="97"/>
        <v>-8437.2999999999993</v>
      </c>
      <c r="K246" s="228">
        <f t="shared" si="97"/>
        <v>-9639.4989999999998</v>
      </c>
      <c r="L246" s="228">
        <f t="shared" si="97"/>
        <v>-10059.298000000001</v>
      </c>
      <c r="M246" s="228">
        <f t="shared" si="97"/>
        <v>-10654.312</v>
      </c>
      <c r="N246" s="228">
        <f t="shared" si="97"/>
        <v>-11584.05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98">+E32</f>
        <v>-56</v>
      </c>
      <c r="F247" s="228">
        <f t="shared" si="98"/>
        <v>-104.818</v>
      </c>
      <c r="G247" s="228">
        <f t="shared" si="98"/>
        <v>-48.497</v>
      </c>
      <c r="H247" s="228">
        <f t="shared" si="98"/>
        <v>0</v>
      </c>
      <c r="I247" s="228">
        <f t="shared" si="98"/>
        <v>-22.863</v>
      </c>
      <c r="J247" s="228">
        <f t="shared" si="98"/>
        <v>0</v>
      </c>
      <c r="K247" s="228">
        <f t="shared" si="98"/>
        <v>0</v>
      </c>
      <c r="L247" s="228">
        <f t="shared" si="98"/>
        <v>0</v>
      </c>
      <c r="M247" s="228">
        <f t="shared" si="98"/>
        <v>0</v>
      </c>
      <c r="N247" s="228">
        <f t="shared" si="98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99">E35</f>
        <v>-543.02200000000005</v>
      </c>
      <c r="F248" s="228">
        <f t="shared" si="99"/>
        <v>-534.49900000000002</v>
      </c>
      <c r="G248" s="228">
        <f t="shared" si="99"/>
        <v>-532.84500000000003</v>
      </c>
      <c r="H248" s="228">
        <f t="shared" si="99"/>
        <v>-626.98099999999999</v>
      </c>
      <c r="I248" s="228">
        <f t="shared" si="99"/>
        <v>-834.60799999999995</v>
      </c>
      <c r="J248" s="228">
        <f t="shared" si="99"/>
        <v>-945.73400000000004</v>
      </c>
      <c r="K248" s="228">
        <f t="shared" si="99"/>
        <v>-1045.43</v>
      </c>
      <c r="L248" s="228">
        <f t="shared" si="99"/>
        <v>-1301.1379999999999</v>
      </c>
      <c r="M248" s="228">
        <f t="shared" si="99"/>
        <v>-1268.364</v>
      </c>
      <c r="N248" s="228">
        <f t="shared" si="99"/>
        <v>-1232.847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1046.9932400000089</v>
      </c>
      <c r="F249" s="251">
        <f>SUM(F244:F248)</f>
        <v>492.99399999999969</v>
      </c>
      <c r="G249" s="251">
        <f>SUM(G244:G248)</f>
        <v>231.73200000000054</v>
      </c>
      <c r="H249" s="251">
        <f t="shared" ref="H249:N249" si="100">SUM(H244:H248)</f>
        <v>-118.74599999999759</v>
      </c>
      <c r="I249" s="251">
        <f t="shared" si="100"/>
        <v>1224.593000000006</v>
      </c>
      <c r="J249" s="251">
        <f t="shared" si="100"/>
        <v>1072.4709999999945</v>
      </c>
      <c r="K249" s="251">
        <f t="shared" si="100"/>
        <v>3430.1999999999898</v>
      </c>
      <c r="L249" s="251">
        <f t="shared" si="100"/>
        <v>4880.572999999994</v>
      </c>
      <c r="M249" s="251">
        <f t="shared" si="100"/>
        <v>6846.8719999999848</v>
      </c>
      <c r="N249" s="251">
        <f t="shared" si="100"/>
        <v>-722.27300000000309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01">+E9</f>
        <v>2009</v>
      </c>
      <c r="F251" s="207">
        <f t="shared" si="101"/>
        <v>2010</v>
      </c>
      <c r="G251" s="207">
        <f t="shared" si="101"/>
        <v>2011</v>
      </c>
      <c r="H251" s="207">
        <f t="shared" si="101"/>
        <v>2012</v>
      </c>
      <c r="I251" s="207">
        <f t="shared" si="101"/>
        <v>2013</v>
      </c>
      <c r="J251" s="207">
        <f t="shared" si="101"/>
        <v>2014</v>
      </c>
      <c r="K251" s="207">
        <f t="shared" si="101"/>
        <v>2015</v>
      </c>
      <c r="L251" s="207">
        <f t="shared" si="101"/>
        <v>2016</v>
      </c>
      <c r="M251" s="207">
        <f t="shared" si="101"/>
        <v>2017</v>
      </c>
      <c r="N251" s="207">
        <f t="shared" si="101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1046.9932400000089</v>
      </c>
      <c r="F252" s="228">
        <f>+F249</f>
        <v>492.99399999999969</v>
      </c>
      <c r="G252" s="228">
        <f>+G249</f>
        <v>231.73200000000054</v>
      </c>
      <c r="H252" s="228">
        <f t="shared" ref="H252:N252" si="102">+H249</f>
        <v>-118.74599999999759</v>
      </c>
      <c r="I252" s="228">
        <f t="shared" si="102"/>
        <v>1224.593000000006</v>
      </c>
      <c r="J252" s="228">
        <f t="shared" si="102"/>
        <v>1072.4709999999945</v>
      </c>
      <c r="K252" s="228">
        <f t="shared" si="102"/>
        <v>3430.1999999999898</v>
      </c>
      <c r="L252" s="228">
        <f t="shared" si="102"/>
        <v>4880.572999999994</v>
      </c>
      <c r="M252" s="228">
        <f t="shared" si="102"/>
        <v>6846.8719999999848</v>
      </c>
      <c r="N252" s="228">
        <f t="shared" si="102"/>
        <v>-722.27300000000309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03">+E18</f>
        <v>0</v>
      </c>
      <c r="F253" s="228">
        <f t="shared" si="103"/>
        <v>0</v>
      </c>
      <c r="G253" s="228">
        <f t="shared" si="103"/>
        <v>0</v>
      </c>
      <c r="H253" s="228">
        <f t="shared" si="103"/>
        <v>0</v>
      </c>
      <c r="I253" s="228">
        <f t="shared" si="103"/>
        <v>0</v>
      </c>
      <c r="J253" s="228">
        <f t="shared" si="103"/>
        <v>0</v>
      </c>
      <c r="K253" s="228">
        <f t="shared" si="103"/>
        <v>0</v>
      </c>
      <c r="L253" s="228">
        <f t="shared" si="103"/>
        <v>0</v>
      </c>
      <c r="M253" s="228">
        <f t="shared" si="103"/>
        <v>0</v>
      </c>
      <c r="N253" s="228">
        <f t="shared" si="10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04">+E48</f>
        <v>272.68166000000002</v>
      </c>
      <c r="F254" s="228">
        <f t="shared" si="104"/>
        <v>157.97200000000001</v>
      </c>
      <c r="G254" s="228">
        <f t="shared" si="104"/>
        <v>155.65899999999999</v>
      </c>
      <c r="H254" s="228">
        <f t="shared" si="104"/>
        <v>181.98599999999999</v>
      </c>
      <c r="I254" s="228">
        <f t="shared" si="104"/>
        <v>367.62200000000001</v>
      </c>
      <c r="J254" s="228">
        <f t="shared" si="104"/>
        <v>665.23400000000004</v>
      </c>
      <c r="K254" s="228">
        <f t="shared" si="104"/>
        <v>655.54700000000003</v>
      </c>
      <c r="L254" s="228">
        <f t="shared" si="104"/>
        <v>461.07900000000001</v>
      </c>
      <c r="M254" s="228">
        <f t="shared" si="104"/>
        <v>559.26099999999997</v>
      </c>
      <c r="N254" s="228">
        <f t="shared" si="104"/>
        <v>290.42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05">+E55</f>
        <v>0</v>
      </c>
      <c r="F255" s="228">
        <f t="shared" si="105"/>
        <v>0</v>
      </c>
      <c r="G255" s="228">
        <f t="shared" si="105"/>
        <v>0</v>
      </c>
      <c r="H255" s="228">
        <f t="shared" si="105"/>
        <v>0</v>
      </c>
      <c r="I255" s="228">
        <f t="shared" si="105"/>
        <v>0</v>
      </c>
      <c r="J255" s="228">
        <f t="shared" si="105"/>
        <v>0</v>
      </c>
      <c r="K255" s="228">
        <f t="shared" si="105"/>
        <v>0</v>
      </c>
      <c r="L255" s="228">
        <f t="shared" si="105"/>
        <v>0</v>
      </c>
      <c r="M255" s="228">
        <f t="shared" si="105"/>
        <v>0</v>
      </c>
      <c r="N255" s="228">
        <f t="shared" si="10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06">+E49</f>
        <v>-35.140709999999999</v>
      </c>
      <c r="F256" s="228">
        <f t="shared" si="106"/>
        <v>-54.847999999999999</v>
      </c>
      <c r="G256" s="228">
        <f t="shared" si="106"/>
        <v>-91.212000000000003</v>
      </c>
      <c r="H256" s="228">
        <f t="shared" si="106"/>
        <v>-92.57</v>
      </c>
      <c r="I256" s="228">
        <f t="shared" si="106"/>
        <v>-330.62799999999999</v>
      </c>
      <c r="J256" s="228">
        <f t="shared" si="106"/>
        <v>-661.49</v>
      </c>
      <c r="K256" s="228">
        <f t="shared" si="106"/>
        <v>-1195.577</v>
      </c>
      <c r="L256" s="228">
        <f t="shared" si="106"/>
        <v>-969.40200000000004</v>
      </c>
      <c r="M256" s="228">
        <f t="shared" si="106"/>
        <v>-551.27599999999995</v>
      </c>
      <c r="N256" s="228">
        <f t="shared" si="106"/>
        <v>-71.424999999999997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1284.5341900000089</v>
      </c>
      <c r="F257" s="251">
        <f>SUM(F252:F256)</f>
        <v>596.11799999999971</v>
      </c>
      <c r="G257" s="251">
        <f>SUM(G252:G256)</f>
        <v>296.17900000000054</v>
      </c>
      <c r="H257" s="251">
        <f t="shared" ref="H257:N257" si="107">SUM(H252:H256)</f>
        <v>-29.329999999997597</v>
      </c>
      <c r="I257" s="251">
        <f t="shared" si="107"/>
        <v>1261.5870000000061</v>
      </c>
      <c r="J257" s="251">
        <f t="shared" si="107"/>
        <v>1076.2149999999945</v>
      </c>
      <c r="K257" s="251">
        <f t="shared" si="107"/>
        <v>2890.1699999999901</v>
      </c>
      <c r="L257" s="251">
        <f t="shared" si="107"/>
        <v>4372.2499999999936</v>
      </c>
      <c r="M257" s="251">
        <f t="shared" si="107"/>
        <v>6854.8569999999854</v>
      </c>
      <c r="N257" s="251">
        <f t="shared" si="107"/>
        <v>-503.27800000000309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08">+E9</f>
        <v>2009</v>
      </c>
      <c r="F259" s="207">
        <f t="shared" si="108"/>
        <v>2010</v>
      </c>
      <c r="G259" s="207">
        <f t="shared" si="108"/>
        <v>2011</v>
      </c>
      <c r="H259" s="207">
        <f t="shared" si="108"/>
        <v>2012</v>
      </c>
      <c r="I259" s="207">
        <f t="shared" si="108"/>
        <v>2013</v>
      </c>
      <c r="J259" s="207">
        <f t="shared" si="108"/>
        <v>2014</v>
      </c>
      <c r="K259" s="207">
        <f t="shared" si="108"/>
        <v>2015</v>
      </c>
      <c r="L259" s="207">
        <f t="shared" si="108"/>
        <v>2016</v>
      </c>
      <c r="M259" s="207">
        <f t="shared" si="108"/>
        <v>2017</v>
      </c>
      <c r="N259" s="207">
        <f t="shared" si="10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1284.5341900000089</v>
      </c>
      <c r="F260" s="228">
        <f>+F257</f>
        <v>596.11799999999971</v>
      </c>
      <c r="G260" s="228">
        <f>+G257</f>
        <v>296.17900000000054</v>
      </c>
      <c r="H260" s="228">
        <f t="shared" ref="H260:N260" si="109">+H257</f>
        <v>-29.329999999997597</v>
      </c>
      <c r="I260" s="228">
        <f t="shared" si="109"/>
        <v>1261.5870000000061</v>
      </c>
      <c r="J260" s="228">
        <f t="shared" si="109"/>
        <v>1076.2149999999945</v>
      </c>
      <c r="K260" s="228">
        <f t="shared" si="109"/>
        <v>2890.1699999999901</v>
      </c>
      <c r="L260" s="228">
        <f t="shared" si="109"/>
        <v>4372.2499999999936</v>
      </c>
      <c r="M260" s="228">
        <f t="shared" si="109"/>
        <v>6854.8569999999854</v>
      </c>
      <c r="N260" s="228">
        <f t="shared" si="109"/>
        <v>-503.27800000000309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10">+E46</f>
        <v>22.162749999999999</v>
      </c>
      <c r="F261" s="228">
        <f t="shared" si="110"/>
        <v>-4.1779999999999999</v>
      </c>
      <c r="G261" s="228">
        <f t="shared" si="110"/>
        <v>-0.221</v>
      </c>
      <c r="H261" s="228">
        <f t="shared" si="110"/>
        <v>-27.65</v>
      </c>
      <c r="I261" s="228">
        <f t="shared" si="110"/>
        <v>0</v>
      </c>
      <c r="J261" s="228">
        <f t="shared" si="110"/>
        <v>0</v>
      </c>
      <c r="K261" s="228">
        <f t="shared" si="110"/>
        <v>0</v>
      </c>
      <c r="L261" s="228">
        <f t="shared" si="110"/>
        <v>0</v>
      </c>
      <c r="M261" s="228">
        <f t="shared" si="110"/>
        <v>0</v>
      </c>
      <c r="N261" s="228">
        <f t="shared" si="110"/>
        <v>-167.309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11">E61</f>
        <v>661.78448000000003</v>
      </c>
      <c r="F262" s="228">
        <f t="shared" si="111"/>
        <v>1821.9480000000001</v>
      </c>
      <c r="G262" s="228">
        <f t="shared" si="111"/>
        <v>-933.65800000000002</v>
      </c>
      <c r="H262" s="228">
        <f t="shared" si="111"/>
        <v>-261.86599999999999</v>
      </c>
      <c r="I262" s="228">
        <f t="shared" si="111"/>
        <v>-9.9359999999999999</v>
      </c>
      <c r="J262" s="228">
        <f t="shared" si="111"/>
        <v>967.33399999999995</v>
      </c>
      <c r="K262" s="228">
        <f t="shared" si="111"/>
        <v>-428.23200000000003</v>
      </c>
      <c r="L262" s="228">
        <f t="shared" si="111"/>
        <v>7343.8689999999997</v>
      </c>
      <c r="M262" s="228">
        <f t="shared" si="111"/>
        <v>-474.221</v>
      </c>
      <c r="N262" s="228">
        <f t="shared" si="111"/>
        <v>1354.98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1968.4814200000089</v>
      </c>
      <c r="F263" s="251">
        <f>SUM(F260:F262)</f>
        <v>2413.8879999999999</v>
      </c>
      <c r="G263" s="251">
        <f>SUM(G260:G262)</f>
        <v>-637.69999999999948</v>
      </c>
      <c r="H263" s="251">
        <f t="shared" ref="H263:N263" si="112">SUM(H260:H262)</f>
        <v>-318.84599999999756</v>
      </c>
      <c r="I263" s="251">
        <f t="shared" si="112"/>
        <v>1251.6510000000062</v>
      </c>
      <c r="J263" s="251">
        <f t="shared" si="112"/>
        <v>2043.5489999999945</v>
      </c>
      <c r="K263" s="251">
        <f t="shared" si="112"/>
        <v>2461.9379999999901</v>
      </c>
      <c r="L263" s="251">
        <f t="shared" si="112"/>
        <v>11716.118999999993</v>
      </c>
      <c r="M263" s="251">
        <f t="shared" si="112"/>
        <v>6380.6359999999859</v>
      </c>
      <c r="N263" s="251">
        <f t="shared" si="112"/>
        <v>684.39299999999696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13">+E9</f>
        <v>2009</v>
      </c>
      <c r="F265" s="265">
        <f t="shared" si="113"/>
        <v>2010</v>
      </c>
      <c r="G265" s="265">
        <f t="shared" si="113"/>
        <v>2011</v>
      </c>
      <c r="H265" s="265">
        <f t="shared" si="113"/>
        <v>2012</v>
      </c>
      <c r="I265" s="265">
        <f t="shared" si="113"/>
        <v>2013</v>
      </c>
      <c r="J265" s="265">
        <f t="shared" si="113"/>
        <v>2014</v>
      </c>
      <c r="K265" s="265">
        <f t="shared" si="113"/>
        <v>2015</v>
      </c>
      <c r="L265" s="265">
        <f t="shared" si="113"/>
        <v>2016</v>
      </c>
      <c r="M265" s="265">
        <f t="shared" si="113"/>
        <v>2017</v>
      </c>
      <c r="N265" s="265">
        <f t="shared" si="11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1968.4814200000089</v>
      </c>
      <c r="F266" s="228">
        <f>+F263</f>
        <v>2413.8879999999999</v>
      </c>
      <c r="G266" s="228">
        <f>+G263</f>
        <v>-637.69999999999948</v>
      </c>
      <c r="H266" s="228">
        <f t="shared" ref="H266:N266" si="114">+H263</f>
        <v>-318.84599999999756</v>
      </c>
      <c r="I266" s="228">
        <f t="shared" si="114"/>
        <v>1251.6510000000062</v>
      </c>
      <c r="J266" s="228">
        <f t="shared" si="114"/>
        <v>2043.5489999999945</v>
      </c>
      <c r="K266" s="228">
        <f t="shared" si="114"/>
        <v>2461.9379999999901</v>
      </c>
      <c r="L266" s="228">
        <f t="shared" si="114"/>
        <v>11716.118999999993</v>
      </c>
      <c r="M266" s="228">
        <f t="shared" si="114"/>
        <v>6380.6359999999859</v>
      </c>
      <c r="N266" s="228">
        <f t="shared" si="114"/>
        <v>684.39299999999696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15">H195</f>
        <v>0</v>
      </c>
      <c r="I267" s="228">
        <f t="shared" si="115"/>
        <v>0</v>
      </c>
      <c r="J267" s="228">
        <f t="shared" si="115"/>
        <v>0</v>
      </c>
      <c r="K267" s="228">
        <f t="shared" si="115"/>
        <v>0</v>
      </c>
      <c r="L267" s="228">
        <f t="shared" si="115"/>
        <v>0</v>
      </c>
      <c r="M267" s="228">
        <f t="shared" si="115"/>
        <v>0</v>
      </c>
      <c r="N267" s="228">
        <f t="shared" si="115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1968.4814200000089</v>
      </c>
      <c r="F268" s="251">
        <f>SUM(F266:F267)</f>
        <v>2413.8879999999999</v>
      </c>
      <c r="G268" s="251">
        <f>SUM(G266:G267)</f>
        <v>-637.69999999999948</v>
      </c>
      <c r="H268" s="251">
        <f t="shared" ref="H268:N268" si="116">SUM(H266:H267)</f>
        <v>-318.84599999999756</v>
      </c>
      <c r="I268" s="251">
        <f t="shared" si="116"/>
        <v>1251.6510000000062</v>
      </c>
      <c r="J268" s="251">
        <f t="shared" si="116"/>
        <v>2043.5489999999945</v>
      </c>
      <c r="K268" s="251">
        <f t="shared" si="116"/>
        <v>2461.9379999999901</v>
      </c>
      <c r="L268" s="251">
        <f t="shared" si="116"/>
        <v>11716.118999999993</v>
      </c>
      <c r="M268" s="251">
        <f t="shared" si="116"/>
        <v>6380.6359999999859</v>
      </c>
      <c r="N268" s="251">
        <f t="shared" si="116"/>
        <v>684.39299999999696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17">+E9</f>
        <v>2009</v>
      </c>
      <c r="F270" s="206">
        <f t="shared" si="117"/>
        <v>2010</v>
      </c>
      <c r="G270" s="206">
        <f t="shared" si="117"/>
        <v>2011</v>
      </c>
      <c r="H270" s="206">
        <f t="shared" si="117"/>
        <v>2012</v>
      </c>
      <c r="I270" s="206">
        <f t="shared" si="117"/>
        <v>2013</v>
      </c>
      <c r="J270" s="206">
        <f t="shared" si="117"/>
        <v>2014</v>
      </c>
      <c r="K270" s="206">
        <f t="shared" si="117"/>
        <v>2015</v>
      </c>
      <c r="L270" s="206">
        <f t="shared" si="117"/>
        <v>2016</v>
      </c>
      <c r="M270" s="206">
        <f t="shared" si="117"/>
        <v>2017</v>
      </c>
      <c r="N270" s="206">
        <f t="shared" si="117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18">+E9</f>
        <v>2009</v>
      </c>
      <c r="F272" s="207">
        <f t="shared" si="118"/>
        <v>2010</v>
      </c>
      <c r="G272" s="207">
        <f t="shared" si="118"/>
        <v>2011</v>
      </c>
      <c r="H272" s="207">
        <f t="shared" si="118"/>
        <v>2012</v>
      </c>
      <c r="I272" s="207">
        <f t="shared" si="118"/>
        <v>2013</v>
      </c>
      <c r="J272" s="207">
        <f t="shared" si="118"/>
        <v>2014</v>
      </c>
      <c r="K272" s="207">
        <f t="shared" si="118"/>
        <v>2015</v>
      </c>
      <c r="L272" s="207">
        <f t="shared" si="118"/>
        <v>2016</v>
      </c>
      <c r="M272" s="207">
        <f t="shared" si="118"/>
        <v>2017</v>
      </c>
      <c r="N272" s="207">
        <f t="shared" si="118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1836.6946099999986</v>
      </c>
      <c r="F273" s="259">
        <f>+F186</f>
        <v>2288.4728600000117</v>
      </c>
      <c r="G273" s="259">
        <f>+G186</f>
        <v>-781.14400000001478</v>
      </c>
      <c r="H273" s="259">
        <f t="shared" ref="H273:N273" si="119">+H186</f>
        <v>-315.17799999999988</v>
      </c>
      <c r="I273" s="259">
        <f t="shared" si="119"/>
        <v>908.0170000000071</v>
      </c>
      <c r="J273" s="259">
        <f t="shared" si="119"/>
        <v>1946.5460000000021</v>
      </c>
      <c r="K273" s="259">
        <f t="shared" si="119"/>
        <v>2187.6079999999974</v>
      </c>
      <c r="L273" s="259">
        <f t="shared" si="119"/>
        <v>7804.160999999991</v>
      </c>
      <c r="M273" s="259">
        <f t="shared" si="119"/>
        <v>13655.761000000013</v>
      </c>
      <c r="N273" s="259">
        <f t="shared" si="119"/>
        <v>1524.8799999999901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20">-E194</f>
        <v>-1836.69461</v>
      </c>
      <c r="F274" s="259">
        <f t="shared" si="120"/>
        <v>-2288.473</v>
      </c>
      <c r="G274" s="259">
        <f t="shared" si="120"/>
        <v>781.14400000000001</v>
      </c>
      <c r="H274" s="259">
        <f t="shared" ref="H274:N274" si="121">-H194</f>
        <v>315.178</v>
      </c>
      <c r="I274" s="259">
        <f t="shared" si="121"/>
        <v>-908.01700000000005</v>
      </c>
      <c r="J274" s="259">
        <f t="shared" si="121"/>
        <v>-1946.546</v>
      </c>
      <c r="K274" s="259">
        <f t="shared" si="121"/>
        <v>-2187.61</v>
      </c>
      <c r="L274" s="259">
        <f t="shared" si="121"/>
        <v>-5019.7910000000002</v>
      </c>
      <c r="M274" s="259">
        <f t="shared" si="121"/>
        <v>-13655.762000000001</v>
      </c>
      <c r="N274" s="259">
        <f t="shared" si="121"/>
        <v>-1524.8779999999999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20"/>
        <v>0</v>
      </c>
      <c r="F275" s="259">
        <f t="shared" si="120"/>
        <v>0</v>
      </c>
      <c r="G275" s="259">
        <f t="shared" si="120"/>
        <v>0</v>
      </c>
      <c r="H275" s="259">
        <f t="shared" ref="H275:N275" si="122">-H195</f>
        <v>0</v>
      </c>
      <c r="I275" s="259">
        <f t="shared" si="122"/>
        <v>0</v>
      </c>
      <c r="J275" s="259">
        <f t="shared" si="122"/>
        <v>0</v>
      </c>
      <c r="K275" s="259">
        <f t="shared" si="122"/>
        <v>0</v>
      </c>
      <c r="L275" s="259">
        <f t="shared" si="122"/>
        <v>0</v>
      </c>
      <c r="M275" s="259">
        <f t="shared" si="122"/>
        <v>0</v>
      </c>
      <c r="N275" s="259">
        <f t="shared" si="122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-1.3642420526593924E-12</v>
      </c>
      <c r="F276" s="259">
        <f>SUM(F273:F275)</f>
        <v>-1.3999998827785021E-4</v>
      </c>
      <c r="G276" s="259">
        <f>SUM(G273:G275)</f>
        <v>-1.4779288903810084E-11</v>
      </c>
      <c r="H276" s="259">
        <f t="shared" ref="H276:N276" si="123">SUM(H273:H275)</f>
        <v>1.1368683772161603E-13</v>
      </c>
      <c r="I276" s="259">
        <f t="shared" si="123"/>
        <v>7.0485839387401938E-12</v>
      </c>
      <c r="J276" s="259">
        <f t="shared" si="123"/>
        <v>2.0463630789890885E-12</v>
      </c>
      <c r="K276" s="259">
        <f t="shared" si="123"/>
        <v>-2.0000000026811904E-3</v>
      </c>
      <c r="L276" s="259">
        <f t="shared" si="123"/>
        <v>2784.3699999999908</v>
      </c>
      <c r="M276" s="259">
        <f t="shared" si="123"/>
        <v>-9.9999998747080099E-4</v>
      </c>
      <c r="N276" s="259">
        <f t="shared" si="123"/>
        <v>1.9999999901756382E-3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-1.3642420526593924E-12</v>
      </c>
      <c r="F277" s="251">
        <f>+F276</f>
        <v>-1.3999998827785021E-4</v>
      </c>
      <c r="G277" s="251">
        <f>+G276</f>
        <v>-1.4779288903810084E-11</v>
      </c>
      <c r="H277" s="251">
        <f t="shared" ref="H277:N277" si="124">+H276</f>
        <v>1.1368683772161603E-13</v>
      </c>
      <c r="I277" s="251">
        <f t="shared" si="124"/>
        <v>7.0485839387401938E-12</v>
      </c>
      <c r="J277" s="251">
        <f t="shared" si="124"/>
        <v>2.0463630789890885E-12</v>
      </c>
      <c r="K277" s="251">
        <f t="shared" si="124"/>
        <v>-2.0000000026811904E-3</v>
      </c>
      <c r="L277" s="251">
        <f t="shared" si="124"/>
        <v>2784.3699999999908</v>
      </c>
      <c r="M277" s="251">
        <f t="shared" si="124"/>
        <v>-9.9999998747080099E-4</v>
      </c>
      <c r="N277" s="251">
        <f t="shared" si="124"/>
        <v>1.9999999901756382E-3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25">+E9</f>
        <v>2009</v>
      </c>
      <c r="F279" s="207">
        <f t="shared" si="125"/>
        <v>2010</v>
      </c>
      <c r="G279" s="207">
        <f t="shared" si="125"/>
        <v>2011</v>
      </c>
      <c r="H279" s="207">
        <f t="shared" si="125"/>
        <v>2012</v>
      </c>
      <c r="I279" s="207">
        <f t="shared" si="125"/>
        <v>2013</v>
      </c>
      <c r="J279" s="207">
        <f t="shared" si="125"/>
        <v>2014</v>
      </c>
      <c r="K279" s="207">
        <f t="shared" si="125"/>
        <v>2015</v>
      </c>
      <c r="L279" s="207">
        <f t="shared" si="125"/>
        <v>2016</v>
      </c>
      <c r="M279" s="207">
        <f t="shared" si="125"/>
        <v>2017</v>
      </c>
      <c r="N279" s="207">
        <f t="shared" si="125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26">+E158</f>
        <v>0</v>
      </c>
      <c r="F280" s="228">
        <f t="shared" si="126"/>
        <v>107.151</v>
      </c>
      <c r="G280" s="228">
        <f t="shared" si="126"/>
        <v>22.207999999999998</v>
      </c>
      <c r="H280" s="228">
        <f t="shared" si="126"/>
        <v>63.24</v>
      </c>
      <c r="I280" s="228">
        <f t="shared" si="126"/>
        <v>0</v>
      </c>
      <c r="J280" s="228">
        <f t="shared" si="126"/>
        <v>0</v>
      </c>
      <c r="K280" s="228">
        <f t="shared" si="126"/>
        <v>0</v>
      </c>
      <c r="L280" s="228">
        <f t="shared" si="126"/>
        <v>0</v>
      </c>
      <c r="M280" s="228">
        <f t="shared" si="126"/>
        <v>2250</v>
      </c>
      <c r="N280" s="228">
        <f t="shared" si="126"/>
        <v>3.5</v>
      </c>
    </row>
    <row r="281" spans="1:16" ht="48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27">+E166</f>
        <v>-54.798000000000002</v>
      </c>
      <c r="F281" s="228">
        <f t="shared" si="127"/>
        <v>-65.700999999999993</v>
      </c>
      <c r="G281" s="228">
        <f t="shared" si="127"/>
        <v>-67.22</v>
      </c>
      <c r="H281" s="228">
        <f t="shared" si="127"/>
        <v>-51.249000000000002</v>
      </c>
      <c r="I281" s="228">
        <f t="shared" si="127"/>
        <v>-17.158000000000001</v>
      </c>
      <c r="J281" s="228">
        <f t="shared" si="127"/>
        <v>-12.215</v>
      </c>
      <c r="K281" s="228">
        <f t="shared" si="127"/>
        <v>-34.081000000000003</v>
      </c>
      <c r="L281" s="228">
        <f t="shared" si="127"/>
        <v>-15.407</v>
      </c>
      <c r="M281" s="228">
        <f t="shared" si="127"/>
        <v>-1095.4069999999999</v>
      </c>
      <c r="N281" s="228">
        <f t="shared" si="127"/>
        <v>-1095.4069999999999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28">+E40</f>
        <v>54.798479999999998</v>
      </c>
      <c r="F282" s="228">
        <f t="shared" si="128"/>
        <v>65.700999999999993</v>
      </c>
      <c r="G282" s="228">
        <f t="shared" si="128"/>
        <v>67.22</v>
      </c>
      <c r="H282" s="228">
        <f t="shared" si="128"/>
        <v>51.249000000000002</v>
      </c>
      <c r="I282" s="228">
        <f t="shared" si="128"/>
        <v>17.158000000000001</v>
      </c>
      <c r="J282" s="228">
        <f t="shared" si="128"/>
        <v>12.215</v>
      </c>
      <c r="K282" s="228">
        <f t="shared" si="128"/>
        <v>34.081000000000003</v>
      </c>
      <c r="L282" s="228">
        <f t="shared" si="128"/>
        <v>15.407</v>
      </c>
      <c r="M282" s="228">
        <f t="shared" si="128"/>
        <v>1095.4069999999999</v>
      </c>
      <c r="N282" s="228">
        <f t="shared" si="128"/>
        <v>1095.4079999999999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4.7999999999603915E-4</v>
      </c>
      <c r="F283" s="261">
        <f>SUM(F280:F282)</f>
        <v>107.151</v>
      </c>
      <c r="G283" s="261">
        <f>SUM(G280:G282)</f>
        <v>22.207999999999998</v>
      </c>
      <c r="H283" s="261">
        <f t="shared" ref="H283:N283" si="129">SUM(H280:H282)</f>
        <v>63.24</v>
      </c>
      <c r="I283" s="261">
        <f t="shared" si="129"/>
        <v>0</v>
      </c>
      <c r="J283" s="261">
        <f t="shared" si="129"/>
        <v>0</v>
      </c>
      <c r="K283" s="261">
        <f t="shared" si="129"/>
        <v>0</v>
      </c>
      <c r="L283" s="261">
        <f t="shared" si="129"/>
        <v>0</v>
      </c>
      <c r="M283" s="261">
        <f t="shared" si="129"/>
        <v>2250</v>
      </c>
      <c r="N283" s="261">
        <f t="shared" si="129"/>
        <v>3.5009999999999764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>IF(F283&gt;=0,"ok", "error")</f>
        <v>ok</v>
      </c>
      <c r="G285" s="215" t="str">
        <f>IF(G283&gt;=0,"ok", "error")</f>
        <v>ok</v>
      </c>
      <c r="H285" s="215" t="str">
        <f t="shared" ref="H285:N285" si="130">IF(H283&gt;=0,"ok", "error")</f>
        <v>ok</v>
      </c>
      <c r="I285" s="215" t="str">
        <f t="shared" si="130"/>
        <v>ok</v>
      </c>
      <c r="J285" s="215" t="str">
        <f t="shared" si="130"/>
        <v>ok</v>
      </c>
      <c r="K285" s="215" t="str">
        <f t="shared" si="130"/>
        <v>ok</v>
      </c>
      <c r="L285" s="215" t="str">
        <f t="shared" si="130"/>
        <v>ok</v>
      </c>
      <c r="M285" s="215" t="str">
        <f t="shared" si="130"/>
        <v>ok</v>
      </c>
      <c r="N285" s="215" t="str">
        <f t="shared" si="130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31">+E9</f>
        <v>2009</v>
      </c>
      <c r="F287" s="207">
        <f t="shared" si="131"/>
        <v>2010</v>
      </c>
      <c r="G287" s="207">
        <f t="shared" si="131"/>
        <v>2011</v>
      </c>
      <c r="H287" s="207">
        <f t="shared" si="131"/>
        <v>2012</v>
      </c>
      <c r="I287" s="207">
        <f t="shared" si="131"/>
        <v>2013</v>
      </c>
      <c r="J287" s="207">
        <f t="shared" si="131"/>
        <v>2014</v>
      </c>
      <c r="K287" s="207">
        <f t="shared" si="131"/>
        <v>2015</v>
      </c>
      <c r="L287" s="207">
        <f t="shared" si="131"/>
        <v>2016</v>
      </c>
      <c r="M287" s="207">
        <f t="shared" si="131"/>
        <v>2017</v>
      </c>
      <c r="N287" s="207">
        <f t="shared" si="131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32">+E9</f>
        <v>2009</v>
      </c>
      <c r="F290" s="207">
        <f t="shared" si="132"/>
        <v>2010</v>
      </c>
      <c r="G290" s="207">
        <f t="shared" si="132"/>
        <v>2011</v>
      </c>
      <c r="H290" s="207">
        <f t="shared" si="132"/>
        <v>2012</v>
      </c>
      <c r="I290" s="207">
        <f t="shared" si="132"/>
        <v>2013</v>
      </c>
      <c r="J290" s="207">
        <f t="shared" si="132"/>
        <v>2014</v>
      </c>
      <c r="K290" s="207">
        <f t="shared" si="132"/>
        <v>2015</v>
      </c>
      <c r="L290" s="207">
        <f t="shared" si="132"/>
        <v>2016</v>
      </c>
      <c r="M290" s="207">
        <f t="shared" si="132"/>
        <v>2017</v>
      </c>
      <c r="N290" s="207">
        <f t="shared" si="132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33">+E268</f>
        <v>1968.4814200000089</v>
      </c>
      <c r="F291" s="228">
        <f t="shared" si="133"/>
        <v>2413.8879999999999</v>
      </c>
      <c r="G291" s="228">
        <f t="shared" si="133"/>
        <v>-637.69999999999948</v>
      </c>
      <c r="H291" s="228">
        <f t="shared" si="133"/>
        <v>-318.84599999999756</v>
      </c>
      <c r="I291" s="228">
        <f t="shared" si="133"/>
        <v>1251.6510000000062</v>
      </c>
      <c r="J291" s="228">
        <f t="shared" si="133"/>
        <v>2043.5489999999945</v>
      </c>
      <c r="K291" s="228">
        <f t="shared" si="133"/>
        <v>2461.9379999999901</v>
      </c>
      <c r="L291" s="228">
        <f t="shared" si="133"/>
        <v>11716.118999999993</v>
      </c>
      <c r="M291" s="228">
        <f t="shared" si="133"/>
        <v>6380.6359999999859</v>
      </c>
      <c r="N291" s="228">
        <f t="shared" si="133"/>
        <v>684.39299999999696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34">+E277</f>
        <v>-1.3642420526593924E-12</v>
      </c>
      <c r="F292" s="228">
        <f t="shared" si="134"/>
        <v>-1.3999998827785021E-4</v>
      </c>
      <c r="G292" s="228">
        <f t="shared" si="134"/>
        <v>-1.4779288903810084E-11</v>
      </c>
      <c r="H292" s="228">
        <f t="shared" si="134"/>
        <v>1.1368683772161603E-13</v>
      </c>
      <c r="I292" s="228">
        <f t="shared" si="134"/>
        <v>7.0485839387401938E-12</v>
      </c>
      <c r="J292" s="228">
        <f t="shared" si="134"/>
        <v>2.0463630789890885E-12</v>
      </c>
      <c r="K292" s="228">
        <f t="shared" si="134"/>
        <v>-2.0000000026811904E-3</v>
      </c>
      <c r="L292" s="228">
        <f t="shared" si="134"/>
        <v>2784.3699999999908</v>
      </c>
      <c r="M292" s="228">
        <f t="shared" si="134"/>
        <v>-9.9999998747080099E-4</v>
      </c>
      <c r="N292" s="228">
        <f t="shared" si="134"/>
        <v>1.9999999901756382E-3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35">+E283</f>
        <v>4.7999999999603915E-4</v>
      </c>
      <c r="F293" s="228">
        <f t="shared" si="135"/>
        <v>107.151</v>
      </c>
      <c r="G293" s="228">
        <f t="shared" si="135"/>
        <v>22.207999999999998</v>
      </c>
      <c r="H293" s="228">
        <f t="shared" si="135"/>
        <v>63.24</v>
      </c>
      <c r="I293" s="228">
        <f t="shared" si="135"/>
        <v>0</v>
      </c>
      <c r="J293" s="228">
        <f t="shared" si="135"/>
        <v>0</v>
      </c>
      <c r="K293" s="228">
        <f t="shared" si="135"/>
        <v>0</v>
      </c>
      <c r="L293" s="228">
        <f t="shared" si="135"/>
        <v>0</v>
      </c>
      <c r="M293" s="228">
        <f t="shared" si="135"/>
        <v>2250</v>
      </c>
      <c r="N293" s="228">
        <f t="shared" si="135"/>
        <v>3.5009999999999764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>+F288</f>
        <v>0</v>
      </c>
      <c r="G294" s="228">
        <f>+G288</f>
        <v>0</v>
      </c>
      <c r="H294" s="228">
        <f t="shared" ref="H294:N294" si="136">+H288</f>
        <v>0</v>
      </c>
      <c r="I294" s="228">
        <f t="shared" si="136"/>
        <v>0</v>
      </c>
      <c r="J294" s="228">
        <f t="shared" si="136"/>
        <v>0</v>
      </c>
      <c r="K294" s="228">
        <f t="shared" si="136"/>
        <v>0</v>
      </c>
      <c r="L294" s="228">
        <f t="shared" si="136"/>
        <v>0</v>
      </c>
      <c r="M294" s="228">
        <f t="shared" si="136"/>
        <v>0</v>
      </c>
      <c r="N294" s="228">
        <f t="shared" si="136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1968.4819000000075</v>
      </c>
      <c r="F295" s="233">
        <f>SUM(F291:F294)</f>
        <v>2521.0388600000115</v>
      </c>
      <c r="G295" s="233">
        <f>SUM(G291:G294)</f>
        <v>-615.49200000001429</v>
      </c>
      <c r="H295" s="233">
        <f t="shared" ref="H295:N295" si="137">SUM(H291:H294)</f>
        <v>-255.60599999999744</v>
      </c>
      <c r="I295" s="233">
        <f t="shared" si="137"/>
        <v>1251.6510000000133</v>
      </c>
      <c r="J295" s="233">
        <f t="shared" si="137"/>
        <v>2043.5489999999966</v>
      </c>
      <c r="K295" s="233">
        <f t="shared" si="137"/>
        <v>2461.9359999999874</v>
      </c>
      <c r="L295" s="233">
        <f t="shared" si="137"/>
        <v>14500.488999999983</v>
      </c>
      <c r="M295" s="233">
        <f t="shared" si="137"/>
        <v>8630.6349999999984</v>
      </c>
      <c r="N295" s="233">
        <f t="shared" si="137"/>
        <v>687.89599999998711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38">+E9</f>
        <v>2009</v>
      </c>
      <c r="F297" s="207">
        <f t="shared" si="138"/>
        <v>2010</v>
      </c>
      <c r="G297" s="207">
        <f t="shared" si="138"/>
        <v>2011</v>
      </c>
      <c r="H297" s="207">
        <f t="shared" si="138"/>
        <v>2012</v>
      </c>
      <c r="I297" s="207">
        <f t="shared" si="138"/>
        <v>2013</v>
      </c>
      <c r="J297" s="207">
        <f t="shared" si="138"/>
        <v>2014</v>
      </c>
      <c r="K297" s="207">
        <f t="shared" si="138"/>
        <v>2015</v>
      </c>
      <c r="L297" s="207">
        <f t="shared" si="138"/>
        <v>2016</v>
      </c>
      <c r="M297" s="207">
        <f t="shared" si="138"/>
        <v>2017</v>
      </c>
      <c r="N297" s="207">
        <f t="shared" si="138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1968.4819000000075</v>
      </c>
      <c r="F298" s="228">
        <f>F295</f>
        <v>2521.0388600000115</v>
      </c>
      <c r="G298" s="228">
        <f>G295</f>
        <v>-615.49200000001429</v>
      </c>
      <c r="H298" s="228">
        <f t="shared" ref="H298:N298" si="139">H295</f>
        <v>-255.60599999999744</v>
      </c>
      <c r="I298" s="228">
        <f t="shared" si="139"/>
        <v>1251.6510000000133</v>
      </c>
      <c r="J298" s="228">
        <f t="shared" si="139"/>
        <v>2043.5489999999966</v>
      </c>
      <c r="K298" s="228">
        <f t="shared" si="139"/>
        <v>2461.9359999999874</v>
      </c>
      <c r="L298" s="228">
        <f t="shared" si="139"/>
        <v>14500.488999999983</v>
      </c>
      <c r="M298" s="228">
        <f t="shared" si="139"/>
        <v>8630.6349999999984</v>
      </c>
      <c r="N298" s="228">
        <f t="shared" si="139"/>
        <v>687.89599999998711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40">+E41</f>
        <v>0</v>
      </c>
      <c r="F299" s="228">
        <f t="shared" si="140"/>
        <v>0</v>
      </c>
      <c r="G299" s="228">
        <f t="shared" si="140"/>
        <v>0</v>
      </c>
      <c r="H299" s="228">
        <f t="shared" si="140"/>
        <v>34.652000000000001</v>
      </c>
      <c r="I299" s="228">
        <f t="shared" si="140"/>
        <v>0</v>
      </c>
      <c r="J299" s="228">
        <f t="shared" si="140"/>
        <v>0</v>
      </c>
      <c r="K299" s="228">
        <f t="shared" si="140"/>
        <v>0</v>
      </c>
      <c r="L299" s="228">
        <f t="shared" si="140"/>
        <v>0</v>
      </c>
      <c r="M299" s="228">
        <f t="shared" si="140"/>
        <v>6140.96</v>
      </c>
      <c r="N299" s="228">
        <f t="shared" si="140"/>
        <v>0</v>
      </c>
    </row>
    <row r="300" spans="1:15" ht="94.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41">+E44</f>
        <v>-217.72889000000001</v>
      </c>
      <c r="F300" s="228">
        <f t="shared" si="141"/>
        <v>-186.12799999999999</v>
      </c>
      <c r="G300" s="228">
        <f t="shared" si="141"/>
        <v>-182.22800000000001</v>
      </c>
      <c r="H300" s="228">
        <f t="shared" si="141"/>
        <v>-81.180999999999997</v>
      </c>
      <c r="I300" s="228">
        <f t="shared" si="141"/>
        <v>-160.07</v>
      </c>
      <c r="J300" s="228">
        <f t="shared" si="141"/>
        <v>-267.49900000000002</v>
      </c>
      <c r="K300" s="228">
        <f t="shared" si="141"/>
        <v>-57.119</v>
      </c>
      <c r="L300" s="228">
        <f t="shared" si="141"/>
        <v>-181.08</v>
      </c>
      <c r="M300" s="228">
        <f t="shared" si="141"/>
        <v>-130.84100000000001</v>
      </c>
      <c r="N300" s="228">
        <f t="shared" si="141"/>
        <v>-121.985</v>
      </c>
    </row>
    <row r="301" spans="1:15" ht="48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142">E54</f>
        <v>58.927770000000002</v>
      </c>
      <c r="F301" s="228">
        <f t="shared" si="142"/>
        <v>0</v>
      </c>
      <c r="G301" s="228">
        <f t="shared" si="142"/>
        <v>0</v>
      </c>
      <c r="H301" s="228">
        <f t="shared" si="142"/>
        <v>0</v>
      </c>
      <c r="I301" s="228">
        <f t="shared" si="142"/>
        <v>0</v>
      </c>
      <c r="J301" s="228">
        <f t="shared" si="142"/>
        <v>0</v>
      </c>
      <c r="K301" s="228">
        <f t="shared" si="142"/>
        <v>0</v>
      </c>
      <c r="L301" s="228">
        <f t="shared" si="142"/>
        <v>0</v>
      </c>
      <c r="M301" s="228">
        <f t="shared" si="142"/>
        <v>0</v>
      </c>
      <c r="N301" s="228">
        <f t="shared" si="142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143">+E45</f>
        <v>0</v>
      </c>
      <c r="F302" s="228">
        <f t="shared" si="143"/>
        <v>0</v>
      </c>
      <c r="G302" s="228">
        <f t="shared" si="143"/>
        <v>0</v>
      </c>
      <c r="H302" s="228">
        <f t="shared" si="143"/>
        <v>0</v>
      </c>
      <c r="I302" s="228">
        <f t="shared" si="143"/>
        <v>0</v>
      </c>
      <c r="J302" s="228">
        <f t="shared" si="143"/>
        <v>0</v>
      </c>
      <c r="K302" s="228">
        <f t="shared" si="143"/>
        <v>0</v>
      </c>
      <c r="L302" s="228">
        <f t="shared" si="143"/>
        <v>0</v>
      </c>
      <c r="M302" s="228">
        <f t="shared" si="143"/>
        <v>0</v>
      </c>
      <c r="N302" s="228">
        <f t="shared" si="143"/>
        <v>0</v>
      </c>
    </row>
    <row r="303" spans="1:15" ht="48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144">+E169</f>
        <v>0</v>
      </c>
      <c r="F303" s="228">
        <f t="shared" si="144"/>
        <v>0</v>
      </c>
      <c r="G303" s="228">
        <f t="shared" si="144"/>
        <v>0</v>
      </c>
      <c r="H303" s="228">
        <f t="shared" si="144"/>
        <v>0</v>
      </c>
      <c r="I303" s="228">
        <f t="shared" si="144"/>
        <v>0</v>
      </c>
      <c r="J303" s="228">
        <f t="shared" si="144"/>
        <v>0</v>
      </c>
      <c r="K303" s="228">
        <f t="shared" si="144"/>
        <v>0</v>
      </c>
      <c r="L303" s="228">
        <f t="shared" si="144"/>
        <v>0</v>
      </c>
      <c r="M303" s="228">
        <f t="shared" si="144"/>
        <v>270</v>
      </c>
      <c r="N303" s="228">
        <f t="shared" si="144"/>
        <v>270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145">+E162</f>
        <v>0</v>
      </c>
      <c r="F304" s="228">
        <f t="shared" si="145"/>
        <v>0</v>
      </c>
      <c r="G304" s="228">
        <f t="shared" si="145"/>
        <v>0</v>
      </c>
      <c r="H304" s="228">
        <f t="shared" si="145"/>
        <v>0</v>
      </c>
      <c r="I304" s="228">
        <f t="shared" si="145"/>
        <v>0</v>
      </c>
      <c r="J304" s="228">
        <f t="shared" si="145"/>
        <v>0</v>
      </c>
      <c r="K304" s="228">
        <f t="shared" si="145"/>
        <v>0</v>
      </c>
      <c r="L304" s="228">
        <f t="shared" si="145"/>
        <v>0</v>
      </c>
      <c r="M304" s="228">
        <f t="shared" si="145"/>
        <v>-562.50099999999998</v>
      </c>
      <c r="N304" s="228">
        <f t="shared" si="145"/>
        <v>0</v>
      </c>
      <c r="O304" s="216"/>
    </row>
    <row r="305" spans="1:14" ht="48" thickTop="1" thickBot="1" x14ac:dyDescent="0.4">
      <c r="A305" s="287"/>
      <c r="B305" s="232" t="s">
        <v>582</v>
      </c>
      <c r="C305" s="356"/>
      <c r="D305" s="228"/>
      <c r="E305" s="233">
        <f t="shared" ref="E305:N305" si="146">SUM(E306:E318)</f>
        <v>-27.78417</v>
      </c>
      <c r="F305" s="233">
        <f t="shared" si="146"/>
        <v>-4.9879999999999995</v>
      </c>
      <c r="G305" s="233">
        <f t="shared" si="146"/>
        <v>-28.436</v>
      </c>
      <c r="H305" s="233">
        <f t="shared" si="146"/>
        <v>-1.052</v>
      </c>
      <c r="I305" s="233">
        <f t="shared" si="146"/>
        <v>-200.72200000000001</v>
      </c>
      <c r="J305" s="233">
        <f t="shared" si="146"/>
        <v>158.28100000000001</v>
      </c>
      <c r="K305" s="233">
        <f t="shared" si="146"/>
        <v>-251.29</v>
      </c>
      <c r="L305" s="233">
        <f t="shared" si="146"/>
        <v>-6530.6549999999997</v>
      </c>
      <c r="M305" s="233">
        <f t="shared" si="146"/>
        <v>169.6</v>
      </c>
      <c r="N305" s="233">
        <f t="shared" si="146"/>
        <v>-132.93799999999999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147">+E36</f>
        <v>-27.541709999999998</v>
      </c>
      <c r="F306" s="228">
        <f t="shared" si="147"/>
        <v>-4.9189999999999996</v>
      </c>
      <c r="G306" s="228">
        <f t="shared" si="147"/>
        <v>-28.413</v>
      </c>
      <c r="H306" s="228">
        <f t="shared" si="147"/>
        <v>-1.034</v>
      </c>
      <c r="I306" s="228">
        <f t="shared" si="147"/>
        <v>-200.72200000000001</v>
      </c>
      <c r="J306" s="228">
        <f t="shared" si="147"/>
        <v>158.28100000000001</v>
      </c>
      <c r="K306" s="228">
        <f t="shared" si="147"/>
        <v>-251.29</v>
      </c>
      <c r="L306" s="228">
        <f t="shared" si="147"/>
        <v>-6328.2669999999998</v>
      </c>
      <c r="M306" s="228">
        <f t="shared" si="147"/>
        <v>146.33799999999999</v>
      </c>
      <c r="N306" s="228">
        <f t="shared" si="147"/>
        <v>-134.27199999999999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148">E50</f>
        <v>0</v>
      </c>
      <c r="F307" s="228">
        <f t="shared" si="148"/>
        <v>0</v>
      </c>
      <c r="G307" s="228">
        <f t="shared" si="148"/>
        <v>0</v>
      </c>
      <c r="H307" s="228">
        <f t="shared" si="148"/>
        <v>0</v>
      </c>
      <c r="I307" s="228">
        <f t="shared" si="148"/>
        <v>0</v>
      </c>
      <c r="J307" s="228">
        <f t="shared" si="148"/>
        <v>0</v>
      </c>
      <c r="K307" s="228">
        <f t="shared" si="148"/>
        <v>0</v>
      </c>
      <c r="L307" s="228">
        <f t="shared" si="148"/>
        <v>0</v>
      </c>
      <c r="M307" s="228">
        <f t="shared" si="148"/>
        <v>0</v>
      </c>
      <c r="N307" s="228">
        <f t="shared" si="148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149">+E51</f>
        <v>-0.24246000000000001</v>
      </c>
      <c r="F308" s="228">
        <f t="shared" si="149"/>
        <v>-6.9000000000000006E-2</v>
      </c>
      <c r="G308" s="228">
        <f t="shared" si="149"/>
        <v>-2.3E-2</v>
      </c>
      <c r="H308" s="228">
        <f t="shared" si="149"/>
        <v>-1.7999999999999999E-2</v>
      </c>
      <c r="I308" s="228">
        <f t="shared" si="149"/>
        <v>0</v>
      </c>
      <c r="J308" s="228">
        <f t="shared" si="149"/>
        <v>0</v>
      </c>
      <c r="K308" s="228">
        <f t="shared" si="149"/>
        <v>0</v>
      </c>
      <c r="L308" s="228">
        <f t="shared" si="149"/>
        <v>0</v>
      </c>
      <c r="M308" s="228">
        <f t="shared" si="149"/>
        <v>23.262</v>
      </c>
      <c r="N308" s="228">
        <f t="shared" si="149"/>
        <v>1.3340000000000001</v>
      </c>
    </row>
    <row r="309" spans="1:14" ht="48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150">+E53</f>
        <v>0</v>
      </c>
      <c r="F309" s="228">
        <f t="shared" si="150"/>
        <v>0</v>
      </c>
      <c r="G309" s="228">
        <f t="shared" si="150"/>
        <v>0</v>
      </c>
      <c r="H309" s="228">
        <f t="shared" si="150"/>
        <v>0</v>
      </c>
      <c r="I309" s="228">
        <f t="shared" si="150"/>
        <v>0</v>
      </c>
      <c r="J309" s="228">
        <f t="shared" si="150"/>
        <v>0</v>
      </c>
      <c r="K309" s="228">
        <f t="shared" si="150"/>
        <v>0</v>
      </c>
      <c r="L309" s="228">
        <f t="shared" si="150"/>
        <v>-202.38800000000001</v>
      </c>
      <c r="M309" s="228">
        <f t="shared" si="150"/>
        <v>0</v>
      </c>
      <c r="N309" s="228">
        <f t="shared" si="150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151">+E156</f>
        <v>0</v>
      </c>
      <c r="F310" s="228">
        <f t="shared" si="151"/>
        <v>0</v>
      </c>
      <c r="G310" s="228">
        <f t="shared" si="151"/>
        <v>0</v>
      </c>
      <c r="H310" s="228">
        <f t="shared" si="151"/>
        <v>0</v>
      </c>
      <c r="I310" s="228">
        <f t="shared" si="151"/>
        <v>0</v>
      </c>
      <c r="J310" s="228">
        <f t="shared" si="151"/>
        <v>0</v>
      </c>
      <c r="K310" s="228">
        <f t="shared" si="151"/>
        <v>0</v>
      </c>
      <c r="L310" s="228">
        <f t="shared" si="151"/>
        <v>0</v>
      </c>
      <c r="M310" s="228">
        <f t="shared" si="151"/>
        <v>0</v>
      </c>
      <c r="N310" s="228">
        <f t="shared" si="151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152">+E157</f>
        <v>0</v>
      </c>
      <c r="F311" s="228">
        <f t="shared" si="152"/>
        <v>0</v>
      </c>
      <c r="G311" s="228">
        <f t="shared" si="152"/>
        <v>0</v>
      </c>
      <c r="H311" s="228">
        <f t="shared" si="152"/>
        <v>0</v>
      </c>
      <c r="I311" s="228">
        <f t="shared" si="152"/>
        <v>0</v>
      </c>
      <c r="J311" s="228">
        <f t="shared" si="152"/>
        <v>0</v>
      </c>
      <c r="K311" s="228">
        <f t="shared" si="152"/>
        <v>0</v>
      </c>
      <c r="L311" s="228">
        <f t="shared" si="152"/>
        <v>0</v>
      </c>
      <c r="M311" s="228">
        <f t="shared" si="152"/>
        <v>0</v>
      </c>
      <c r="N311" s="228">
        <f t="shared" si="152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153">+E159</f>
        <v>0</v>
      </c>
      <c r="F312" s="228">
        <f t="shared" si="153"/>
        <v>0</v>
      </c>
      <c r="G312" s="228">
        <f t="shared" si="153"/>
        <v>0</v>
      </c>
      <c r="H312" s="228">
        <f t="shared" si="153"/>
        <v>0</v>
      </c>
      <c r="I312" s="228">
        <f t="shared" si="153"/>
        <v>0</v>
      </c>
      <c r="J312" s="228">
        <f t="shared" si="153"/>
        <v>0</v>
      </c>
      <c r="K312" s="228">
        <f t="shared" si="153"/>
        <v>0</v>
      </c>
      <c r="L312" s="228">
        <f t="shared" si="153"/>
        <v>0</v>
      </c>
      <c r="M312" s="228">
        <f t="shared" si="153"/>
        <v>0</v>
      </c>
      <c r="N312" s="228">
        <f t="shared" si="153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154">+E160</f>
        <v>0</v>
      </c>
      <c r="F313" s="228">
        <f t="shared" si="154"/>
        <v>0</v>
      </c>
      <c r="G313" s="228">
        <f t="shared" si="154"/>
        <v>0</v>
      </c>
      <c r="H313" s="228">
        <f t="shared" si="154"/>
        <v>0</v>
      </c>
      <c r="I313" s="228">
        <f t="shared" si="154"/>
        <v>0</v>
      </c>
      <c r="J313" s="228">
        <f t="shared" si="154"/>
        <v>0</v>
      </c>
      <c r="K313" s="228">
        <f t="shared" si="154"/>
        <v>0</v>
      </c>
      <c r="L313" s="228">
        <f t="shared" si="154"/>
        <v>0</v>
      </c>
      <c r="M313" s="228">
        <f t="shared" si="154"/>
        <v>0</v>
      </c>
      <c r="N313" s="228">
        <f t="shared" si="154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155">+E161</f>
        <v>0</v>
      </c>
      <c r="F314" s="228">
        <f t="shared" si="155"/>
        <v>0</v>
      </c>
      <c r="G314" s="228">
        <f t="shared" si="155"/>
        <v>0</v>
      </c>
      <c r="H314" s="228">
        <f t="shared" si="155"/>
        <v>0</v>
      </c>
      <c r="I314" s="228">
        <f t="shared" si="155"/>
        <v>0</v>
      </c>
      <c r="J314" s="228">
        <f t="shared" si="155"/>
        <v>0</v>
      </c>
      <c r="K314" s="228">
        <f t="shared" si="155"/>
        <v>0</v>
      </c>
      <c r="L314" s="228">
        <f t="shared" si="155"/>
        <v>0</v>
      </c>
      <c r="M314" s="228">
        <f t="shared" si="155"/>
        <v>0</v>
      </c>
      <c r="N314" s="228">
        <f t="shared" si="155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156">+E164</f>
        <v>0</v>
      </c>
      <c r="F315" s="228">
        <f t="shared" si="156"/>
        <v>0</v>
      </c>
      <c r="G315" s="228">
        <f t="shared" si="156"/>
        <v>0</v>
      </c>
      <c r="H315" s="228">
        <f t="shared" si="156"/>
        <v>0</v>
      </c>
      <c r="I315" s="228">
        <f t="shared" si="156"/>
        <v>0</v>
      </c>
      <c r="J315" s="228">
        <f t="shared" si="156"/>
        <v>0</v>
      </c>
      <c r="K315" s="228">
        <f t="shared" si="156"/>
        <v>0</v>
      </c>
      <c r="L315" s="228">
        <f t="shared" si="156"/>
        <v>0</v>
      </c>
      <c r="M315" s="228">
        <f t="shared" si="156"/>
        <v>0</v>
      </c>
      <c r="N315" s="228">
        <f t="shared" si="156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157">+E165</f>
        <v>0</v>
      </c>
      <c r="F316" s="228">
        <f t="shared" si="157"/>
        <v>0</v>
      </c>
      <c r="G316" s="228">
        <f t="shared" si="157"/>
        <v>0</v>
      </c>
      <c r="H316" s="228">
        <f t="shared" si="157"/>
        <v>0</v>
      </c>
      <c r="I316" s="228">
        <f t="shared" si="157"/>
        <v>0</v>
      </c>
      <c r="J316" s="228">
        <f t="shared" si="157"/>
        <v>0</v>
      </c>
      <c r="K316" s="228">
        <f t="shared" si="157"/>
        <v>0</v>
      </c>
      <c r="L316" s="228">
        <f t="shared" si="157"/>
        <v>0</v>
      </c>
      <c r="M316" s="228">
        <f t="shared" si="157"/>
        <v>0</v>
      </c>
      <c r="N316" s="228">
        <f t="shared" si="157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158">+E167</f>
        <v>0</v>
      </c>
      <c r="F317" s="228">
        <f t="shared" si="158"/>
        <v>0</v>
      </c>
      <c r="G317" s="228">
        <f t="shared" si="158"/>
        <v>0</v>
      </c>
      <c r="H317" s="228">
        <f t="shared" si="158"/>
        <v>0</v>
      </c>
      <c r="I317" s="228">
        <f t="shared" si="158"/>
        <v>0</v>
      </c>
      <c r="J317" s="228">
        <f t="shared" si="158"/>
        <v>0</v>
      </c>
      <c r="K317" s="228">
        <f t="shared" si="158"/>
        <v>0</v>
      </c>
      <c r="L317" s="228">
        <f t="shared" si="158"/>
        <v>0</v>
      </c>
      <c r="M317" s="228">
        <f t="shared" si="158"/>
        <v>0</v>
      </c>
      <c r="N317" s="228">
        <f t="shared" si="158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159">+E168</f>
        <v>0</v>
      </c>
      <c r="F318" s="228">
        <f t="shared" si="159"/>
        <v>0</v>
      </c>
      <c r="G318" s="228">
        <f t="shared" si="159"/>
        <v>0</v>
      </c>
      <c r="H318" s="228">
        <f t="shared" si="159"/>
        <v>0</v>
      </c>
      <c r="I318" s="228">
        <f t="shared" si="159"/>
        <v>0</v>
      </c>
      <c r="J318" s="228">
        <f t="shared" si="159"/>
        <v>0</v>
      </c>
      <c r="K318" s="228">
        <f t="shared" si="159"/>
        <v>0</v>
      </c>
      <c r="L318" s="228">
        <f t="shared" si="159"/>
        <v>0</v>
      </c>
      <c r="M318" s="228">
        <f t="shared" si="159"/>
        <v>0</v>
      </c>
      <c r="N318" s="228">
        <f t="shared" si="159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160">+SUM(E298:E305)</f>
        <v>1781.8966100000075</v>
      </c>
      <c r="F319" s="233">
        <f t="shared" si="160"/>
        <v>2329.9228600000115</v>
      </c>
      <c r="G319" s="233">
        <f t="shared" si="160"/>
        <v>-826.15600000001439</v>
      </c>
      <c r="H319" s="233">
        <f t="shared" si="160"/>
        <v>-303.18699999999745</v>
      </c>
      <c r="I319" s="233">
        <f t="shared" si="160"/>
        <v>890.85900000001334</v>
      </c>
      <c r="J319" s="233">
        <f t="shared" si="160"/>
        <v>1934.3309999999965</v>
      </c>
      <c r="K319" s="233">
        <f t="shared" si="160"/>
        <v>2153.5269999999873</v>
      </c>
      <c r="L319" s="233">
        <f t="shared" si="160"/>
        <v>7788.7539999999835</v>
      </c>
      <c r="M319" s="233">
        <f t="shared" si="160"/>
        <v>14517.852999999997</v>
      </c>
      <c r="N319" s="233">
        <f t="shared" si="160"/>
        <v>702.97299999998711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161">+E9</f>
        <v>2009</v>
      </c>
      <c r="F321" s="207">
        <f t="shared" si="161"/>
        <v>2010</v>
      </c>
      <c r="G321" s="207">
        <f t="shared" si="161"/>
        <v>2011</v>
      </c>
      <c r="H321" s="207">
        <f t="shared" si="161"/>
        <v>2012</v>
      </c>
      <c r="I321" s="207">
        <f t="shared" si="161"/>
        <v>2013</v>
      </c>
      <c r="J321" s="207">
        <f t="shared" si="161"/>
        <v>2014</v>
      </c>
      <c r="K321" s="207">
        <f t="shared" si="161"/>
        <v>2015</v>
      </c>
      <c r="L321" s="207">
        <f t="shared" si="161"/>
        <v>2016</v>
      </c>
      <c r="M321" s="207">
        <f t="shared" si="161"/>
        <v>2017</v>
      </c>
      <c r="N321" s="207">
        <f t="shared" si="161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162">+E101-D101</f>
        <v>-158.71380000000002</v>
      </c>
      <c r="F322" s="228">
        <f t="shared" si="162"/>
        <v>-46.986180000000019</v>
      </c>
      <c r="G322" s="228">
        <f t="shared" si="162"/>
        <v>-25.463609999999989</v>
      </c>
      <c r="H322" s="228">
        <f t="shared" si="162"/>
        <v>12.073000000000008</v>
      </c>
      <c r="I322" s="228">
        <f t="shared" si="162"/>
        <v>78.195999999999998</v>
      </c>
      <c r="J322" s="228">
        <f t="shared" si="162"/>
        <v>-32.498999999999995</v>
      </c>
      <c r="K322" s="228">
        <f t="shared" si="162"/>
        <v>-9.1970000000000027</v>
      </c>
      <c r="L322" s="228">
        <f t="shared" si="162"/>
        <v>-6.0960000000000036</v>
      </c>
      <c r="M322" s="228">
        <f t="shared" si="162"/>
        <v>-117.78100000000001</v>
      </c>
      <c r="N322" s="228">
        <f t="shared" si="162"/>
        <v>-2.3039999999999949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163">+E102-D102</f>
        <v>37.640390000000025</v>
      </c>
      <c r="F323" s="228">
        <f t="shared" si="163"/>
        <v>88.206500000000005</v>
      </c>
      <c r="G323" s="228">
        <f t="shared" si="163"/>
        <v>-73.299379999999985</v>
      </c>
      <c r="H323" s="228">
        <f t="shared" si="163"/>
        <v>-27.969000000000051</v>
      </c>
      <c r="I323" s="228">
        <f t="shared" si="163"/>
        <v>330.95700000000005</v>
      </c>
      <c r="J323" s="228">
        <f t="shared" si="163"/>
        <v>108.46299999999997</v>
      </c>
      <c r="K323" s="228">
        <f t="shared" si="163"/>
        <v>51.787000000000035</v>
      </c>
      <c r="L323" s="228">
        <f t="shared" si="163"/>
        <v>35.447999999999979</v>
      </c>
      <c r="M323" s="228">
        <f t="shared" si="163"/>
        <v>33.557000000000016</v>
      </c>
      <c r="N323" s="228">
        <f t="shared" si="163"/>
        <v>-37.774999999999977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164">+E103-D103</f>
        <v>0</v>
      </c>
      <c r="F324" s="228">
        <f t="shared" si="164"/>
        <v>0</v>
      </c>
      <c r="G324" s="228">
        <f t="shared" si="164"/>
        <v>0</v>
      </c>
      <c r="H324" s="228">
        <f t="shared" si="164"/>
        <v>0</v>
      </c>
      <c r="I324" s="228">
        <f t="shared" si="164"/>
        <v>0</v>
      </c>
      <c r="J324" s="228">
        <f t="shared" si="164"/>
        <v>0</v>
      </c>
      <c r="K324" s="228">
        <f t="shared" si="164"/>
        <v>0</v>
      </c>
      <c r="L324" s="228">
        <f t="shared" si="164"/>
        <v>0</v>
      </c>
      <c r="M324" s="228">
        <f t="shared" si="164"/>
        <v>0</v>
      </c>
      <c r="N324" s="228">
        <f t="shared" si="164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165">+E104-D104</f>
        <v>0</v>
      </c>
      <c r="F325" s="228">
        <f t="shared" si="165"/>
        <v>0</v>
      </c>
      <c r="G325" s="228">
        <f t="shared" si="165"/>
        <v>0</v>
      </c>
      <c r="H325" s="228">
        <f t="shared" si="165"/>
        <v>0</v>
      </c>
      <c r="I325" s="228">
        <f t="shared" si="165"/>
        <v>0</v>
      </c>
      <c r="J325" s="228">
        <f t="shared" si="165"/>
        <v>0</v>
      </c>
      <c r="K325" s="228">
        <f t="shared" si="165"/>
        <v>0</v>
      </c>
      <c r="L325" s="228">
        <f t="shared" si="165"/>
        <v>0</v>
      </c>
      <c r="M325" s="228">
        <f t="shared" si="165"/>
        <v>0</v>
      </c>
      <c r="N325" s="228">
        <f t="shared" si="165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166">+E105-D105</f>
        <v>0</v>
      </c>
      <c r="F326" s="228">
        <f t="shared" si="166"/>
        <v>0</v>
      </c>
      <c r="G326" s="228">
        <f t="shared" si="166"/>
        <v>0</v>
      </c>
      <c r="H326" s="228">
        <f t="shared" si="166"/>
        <v>0</v>
      </c>
      <c r="I326" s="228">
        <f t="shared" si="166"/>
        <v>0</v>
      </c>
      <c r="J326" s="228">
        <f t="shared" si="166"/>
        <v>0</v>
      </c>
      <c r="K326" s="228">
        <f t="shared" si="166"/>
        <v>0</v>
      </c>
      <c r="L326" s="228">
        <f t="shared" si="166"/>
        <v>0</v>
      </c>
      <c r="M326" s="228">
        <f t="shared" si="166"/>
        <v>0</v>
      </c>
      <c r="N326" s="228">
        <f t="shared" si="166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-121.07341</v>
      </c>
      <c r="F327" s="233">
        <f>SUM(F322:F326)</f>
        <v>41.220319999999987</v>
      </c>
      <c r="G327" s="233">
        <f>SUM(G322:G326)</f>
        <v>-98.762989999999974</v>
      </c>
      <c r="H327" s="233">
        <f t="shared" ref="H327:N327" si="167">SUM(H322:H326)</f>
        <v>-15.896000000000043</v>
      </c>
      <c r="I327" s="233">
        <f t="shared" si="167"/>
        <v>409.15300000000002</v>
      </c>
      <c r="J327" s="233">
        <f t="shared" si="167"/>
        <v>75.96399999999997</v>
      </c>
      <c r="K327" s="233">
        <f t="shared" si="167"/>
        <v>42.590000000000032</v>
      </c>
      <c r="L327" s="233">
        <f t="shared" si="167"/>
        <v>29.351999999999975</v>
      </c>
      <c r="M327" s="233">
        <f t="shared" si="167"/>
        <v>-84.22399999999999</v>
      </c>
      <c r="N327" s="233">
        <f t="shared" si="167"/>
        <v>-40.078999999999972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168">+E19</f>
        <v>0</v>
      </c>
      <c r="F330" s="228">
        <f t="shared" si="168"/>
        <v>0</v>
      </c>
      <c r="G330" s="228">
        <f t="shared" si="168"/>
        <v>0</v>
      </c>
      <c r="H330" s="228">
        <f t="shared" si="168"/>
        <v>0</v>
      </c>
      <c r="I330" s="228">
        <f t="shared" si="168"/>
        <v>0</v>
      </c>
      <c r="J330" s="228">
        <f t="shared" si="168"/>
        <v>0</v>
      </c>
      <c r="K330" s="228">
        <f t="shared" si="168"/>
        <v>0</v>
      </c>
      <c r="L330" s="228">
        <f t="shared" si="168"/>
        <v>0</v>
      </c>
      <c r="M330" s="228">
        <f t="shared" si="168"/>
        <v>0</v>
      </c>
      <c r="N330" s="228">
        <f t="shared" si="168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169">+F324</f>
        <v>0</v>
      </c>
      <c r="G331" s="228">
        <f t="shared" si="169"/>
        <v>0</v>
      </c>
      <c r="H331" s="228">
        <f t="shared" si="169"/>
        <v>0</v>
      </c>
      <c r="I331" s="228">
        <f t="shared" si="169"/>
        <v>0</v>
      </c>
      <c r="J331" s="228">
        <f t="shared" si="169"/>
        <v>0</v>
      </c>
      <c r="K331" s="228">
        <f t="shared" si="169"/>
        <v>0</v>
      </c>
      <c r="L331" s="228">
        <f t="shared" si="169"/>
        <v>0</v>
      </c>
      <c r="M331" s="228">
        <f t="shared" si="169"/>
        <v>0</v>
      </c>
      <c r="N331" s="228">
        <f t="shared" si="169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170">+E325</f>
        <v>0</v>
      </c>
      <c r="F332" s="228">
        <f t="shared" si="170"/>
        <v>0</v>
      </c>
      <c r="G332" s="228">
        <f t="shared" si="170"/>
        <v>0</v>
      </c>
      <c r="H332" s="228">
        <f t="shared" si="170"/>
        <v>0</v>
      </c>
      <c r="I332" s="228">
        <f t="shared" si="170"/>
        <v>0</v>
      </c>
      <c r="J332" s="228">
        <f t="shared" si="170"/>
        <v>0</v>
      </c>
      <c r="K332" s="228">
        <f t="shared" si="170"/>
        <v>0</v>
      </c>
      <c r="L332" s="228">
        <f t="shared" si="170"/>
        <v>0</v>
      </c>
      <c r="M332" s="228">
        <f t="shared" si="170"/>
        <v>0</v>
      </c>
      <c r="N332" s="228">
        <f t="shared" si="170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170"/>
        <v>0</v>
      </c>
      <c r="F333" s="228">
        <f t="shared" si="170"/>
        <v>0</v>
      </c>
      <c r="G333" s="228">
        <f t="shared" si="170"/>
        <v>0</v>
      </c>
      <c r="H333" s="228">
        <f t="shared" si="170"/>
        <v>0</v>
      </c>
      <c r="I333" s="228">
        <f t="shared" si="170"/>
        <v>0</v>
      </c>
      <c r="J333" s="228">
        <f t="shared" si="170"/>
        <v>0</v>
      </c>
      <c r="K333" s="228">
        <f t="shared" si="170"/>
        <v>0</v>
      </c>
      <c r="L333" s="228">
        <f t="shared" si="170"/>
        <v>0</v>
      </c>
      <c r="M333" s="228">
        <f t="shared" si="170"/>
        <v>0</v>
      </c>
      <c r="N333" s="228">
        <f t="shared" si="170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171">F330-SUM(F331:F333)</f>
        <v>0</v>
      </c>
      <c r="G334" s="228">
        <f t="shared" si="171"/>
        <v>0</v>
      </c>
      <c r="H334" s="228">
        <f t="shared" si="171"/>
        <v>0</v>
      </c>
      <c r="I334" s="228">
        <f t="shared" si="171"/>
        <v>0</v>
      </c>
      <c r="J334" s="228">
        <f t="shared" si="171"/>
        <v>0</v>
      </c>
      <c r="K334" s="228">
        <f t="shared" si="171"/>
        <v>0</v>
      </c>
      <c r="L334" s="228">
        <f t="shared" si="171"/>
        <v>0</v>
      </c>
      <c r="M334" s="228">
        <f t="shared" si="171"/>
        <v>0</v>
      </c>
      <c r="N334" s="228">
        <f t="shared" si="171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172">+E9</f>
        <v>2009</v>
      </c>
      <c r="F336" s="207">
        <f t="shared" si="172"/>
        <v>2010</v>
      </c>
      <c r="G336" s="207">
        <f t="shared" si="172"/>
        <v>2011</v>
      </c>
      <c r="H336" s="207">
        <f t="shared" si="172"/>
        <v>2012</v>
      </c>
      <c r="I336" s="207">
        <f t="shared" si="172"/>
        <v>2013</v>
      </c>
      <c r="J336" s="207">
        <f t="shared" si="172"/>
        <v>2014</v>
      </c>
      <c r="K336" s="207">
        <f t="shared" si="172"/>
        <v>2015</v>
      </c>
      <c r="L336" s="207">
        <f t="shared" si="172"/>
        <v>2016</v>
      </c>
      <c r="M336" s="207">
        <f t="shared" si="172"/>
        <v>2017</v>
      </c>
      <c r="N336" s="207">
        <f t="shared" si="172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6925.1786600000005</v>
      </c>
      <c r="F338" s="233">
        <f>SUM(F339:F342)</f>
        <v>2779.4628599999965</v>
      </c>
      <c r="G338" s="233">
        <f>SUM(G339:G342)</f>
        <v>3878.4170000000017</v>
      </c>
      <c r="H338" s="233">
        <f t="shared" ref="H338:N338" si="173">SUM(H339:H342)</f>
        <v>-763.79300000000433</v>
      </c>
      <c r="I338" s="233">
        <f t="shared" si="173"/>
        <v>-1000.7340000000027</v>
      </c>
      <c r="J338" s="233">
        <f t="shared" si="173"/>
        <v>7175.4900000000043</v>
      </c>
      <c r="K338" s="233">
        <f t="shared" si="173"/>
        <v>8112.1530000000048</v>
      </c>
      <c r="L338" s="233">
        <f t="shared" si="173"/>
        <v>894.67299999999091</v>
      </c>
      <c r="M338" s="233">
        <f t="shared" si="173"/>
        <v>-2547.4189999999935</v>
      </c>
      <c r="N338" s="233">
        <f t="shared" si="173"/>
        <v>-4199.4739999999929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174">+E91-D91</f>
        <v>-4.0600999999999914</v>
      </c>
      <c r="F339" s="228">
        <f t="shared" si="174"/>
        <v>-27.204620000000006</v>
      </c>
      <c r="G339" s="228">
        <f t="shared" si="174"/>
        <v>88.481000000000009</v>
      </c>
      <c r="H339" s="228">
        <f t="shared" si="174"/>
        <v>-14.629000000000019</v>
      </c>
      <c r="I339" s="228">
        <f t="shared" si="174"/>
        <v>158.547</v>
      </c>
      <c r="J339" s="228">
        <f t="shared" si="174"/>
        <v>-70.832999999999998</v>
      </c>
      <c r="K339" s="228">
        <f t="shared" si="174"/>
        <v>-21.155000000000001</v>
      </c>
      <c r="L339" s="228">
        <f t="shared" si="174"/>
        <v>-28.335999999999984</v>
      </c>
      <c r="M339" s="228">
        <f t="shared" si="174"/>
        <v>5.7990000000000066</v>
      </c>
      <c r="N339" s="228">
        <f t="shared" si="174"/>
        <v>-36.900000000000006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175">+E92-D92</f>
        <v>6929.2387600000002</v>
      </c>
      <c r="F340" s="228">
        <f t="shared" si="175"/>
        <v>2806.6674799999964</v>
      </c>
      <c r="G340" s="228">
        <f t="shared" si="175"/>
        <v>3789.9360000000015</v>
      </c>
      <c r="H340" s="228">
        <f t="shared" si="175"/>
        <v>-749.16400000000431</v>
      </c>
      <c r="I340" s="228">
        <f t="shared" si="175"/>
        <v>-1159.2810000000027</v>
      </c>
      <c r="J340" s="228">
        <f t="shared" si="175"/>
        <v>7246.323000000004</v>
      </c>
      <c r="K340" s="228">
        <f t="shared" si="175"/>
        <v>8133.3080000000045</v>
      </c>
      <c r="L340" s="228">
        <f t="shared" si="175"/>
        <v>923.00899999999092</v>
      </c>
      <c r="M340" s="228">
        <f t="shared" si="175"/>
        <v>-2553.2179999999935</v>
      </c>
      <c r="N340" s="228">
        <f t="shared" si="175"/>
        <v>-4162.5739999999932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176">+E93-D93</f>
        <v>0</v>
      </c>
      <c r="F341" s="228">
        <f t="shared" si="176"/>
        <v>0</v>
      </c>
      <c r="G341" s="228">
        <f t="shared" si="176"/>
        <v>0</v>
      </c>
      <c r="H341" s="228">
        <f t="shared" si="176"/>
        <v>0</v>
      </c>
      <c r="I341" s="228">
        <f t="shared" si="176"/>
        <v>0</v>
      </c>
      <c r="J341" s="228">
        <f t="shared" si="176"/>
        <v>0</v>
      </c>
      <c r="K341" s="228">
        <f t="shared" si="176"/>
        <v>0</v>
      </c>
      <c r="L341" s="228">
        <f t="shared" si="176"/>
        <v>0</v>
      </c>
      <c r="M341" s="228">
        <f t="shared" si="176"/>
        <v>0</v>
      </c>
      <c r="N341" s="228">
        <f t="shared" si="176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177">+E99-D99</f>
        <v>0</v>
      </c>
      <c r="F342" s="228">
        <f t="shared" si="177"/>
        <v>0</v>
      </c>
      <c r="G342" s="228">
        <f t="shared" si="177"/>
        <v>0</v>
      </c>
      <c r="H342" s="228">
        <f t="shared" si="177"/>
        <v>0</v>
      </c>
      <c r="I342" s="228">
        <f t="shared" si="177"/>
        <v>0</v>
      </c>
      <c r="J342" s="228">
        <f t="shared" si="177"/>
        <v>0</v>
      </c>
      <c r="K342" s="228">
        <f t="shared" si="177"/>
        <v>0</v>
      </c>
      <c r="L342" s="228">
        <f t="shared" si="177"/>
        <v>0</v>
      </c>
      <c r="M342" s="228">
        <f t="shared" si="177"/>
        <v>0</v>
      </c>
      <c r="N342" s="228">
        <f t="shared" si="177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4715.76062</v>
      </c>
      <c r="F343" s="233">
        <f>SUM(F344:F345)</f>
        <v>5163.9319999999998</v>
      </c>
      <c r="G343" s="233">
        <f>SUM(G344:G345)</f>
        <v>4901.8940000000002</v>
      </c>
      <c r="H343" s="233">
        <f t="shared" ref="H343:N343" si="178">SUM(H344:H345)</f>
        <v>5208.5200000000004</v>
      </c>
      <c r="I343" s="233">
        <f t="shared" si="178"/>
        <v>5188.3900000000003</v>
      </c>
      <c r="J343" s="233">
        <f t="shared" si="178"/>
        <v>5590.6480000000001</v>
      </c>
      <c r="K343" s="233">
        <f t="shared" si="178"/>
        <v>6779.9989999999998</v>
      </c>
      <c r="L343" s="233">
        <f t="shared" si="178"/>
        <v>7726.0720000000001</v>
      </c>
      <c r="M343" s="233">
        <f t="shared" si="178"/>
        <v>9883.2150000000001</v>
      </c>
      <c r="N343" s="233">
        <f t="shared" si="178"/>
        <v>12709.642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179">-E39</f>
        <v>4512.6676200000002</v>
      </c>
      <c r="F344" s="228">
        <f t="shared" si="179"/>
        <v>5163.9319999999998</v>
      </c>
      <c r="G344" s="228">
        <f t="shared" si="179"/>
        <v>4901.8940000000002</v>
      </c>
      <c r="H344" s="228">
        <f t="shared" si="179"/>
        <v>5208.5200000000004</v>
      </c>
      <c r="I344" s="228">
        <f t="shared" si="179"/>
        <v>5188.3900000000003</v>
      </c>
      <c r="J344" s="228">
        <f t="shared" si="179"/>
        <v>5590.6480000000001</v>
      </c>
      <c r="K344" s="228">
        <f t="shared" si="179"/>
        <v>6779.9989999999998</v>
      </c>
      <c r="L344" s="228">
        <f t="shared" si="179"/>
        <v>7726.0720000000001</v>
      </c>
      <c r="M344" s="228">
        <f t="shared" si="179"/>
        <v>9883.2150000000001</v>
      </c>
      <c r="N344" s="228">
        <f t="shared" si="179"/>
        <v>10254.243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180">-E43</f>
        <v>203.09299999999999</v>
      </c>
      <c r="F345" s="228">
        <f t="shared" si="180"/>
        <v>0</v>
      </c>
      <c r="G345" s="228">
        <f t="shared" si="180"/>
        <v>0</v>
      </c>
      <c r="H345" s="228">
        <f t="shared" si="180"/>
        <v>0</v>
      </c>
      <c r="I345" s="228">
        <f t="shared" si="180"/>
        <v>0</v>
      </c>
      <c r="J345" s="228">
        <f t="shared" si="180"/>
        <v>0</v>
      </c>
      <c r="K345" s="228">
        <f t="shared" si="180"/>
        <v>0</v>
      </c>
      <c r="L345" s="228">
        <f t="shared" si="180"/>
        <v>0</v>
      </c>
      <c r="M345" s="228">
        <f t="shared" si="180"/>
        <v>0</v>
      </c>
      <c r="N345" s="228">
        <f t="shared" si="180"/>
        <v>2455.3989999999999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11640.939280000001</v>
      </c>
      <c r="F346" s="233">
        <f>+F338+F343</f>
        <v>7943.3948599999967</v>
      </c>
      <c r="G346" s="233">
        <f>+G338+G343</f>
        <v>8780.3110000000015</v>
      </c>
      <c r="H346" s="233">
        <f t="shared" ref="H346:N346" si="181">+H338+H343</f>
        <v>4444.7269999999962</v>
      </c>
      <c r="I346" s="233">
        <f t="shared" si="181"/>
        <v>4187.6559999999972</v>
      </c>
      <c r="J346" s="233">
        <f t="shared" si="181"/>
        <v>12766.138000000004</v>
      </c>
      <c r="K346" s="233">
        <f t="shared" si="181"/>
        <v>14892.152000000006</v>
      </c>
      <c r="L346" s="233">
        <f t="shared" si="181"/>
        <v>8620.7449999999917</v>
      </c>
      <c r="M346" s="233">
        <f t="shared" si="181"/>
        <v>7335.7960000000066</v>
      </c>
      <c r="N346" s="233">
        <f t="shared" si="181"/>
        <v>8510.1680000000069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11640.939280000001</v>
      </c>
      <c r="F349" s="228">
        <f>+F346</f>
        <v>7943.3948599999967</v>
      </c>
      <c r="G349" s="228">
        <f>+G346</f>
        <v>8780.3110000000015</v>
      </c>
      <c r="H349" s="228">
        <f t="shared" ref="H349:N349" si="182">+H346</f>
        <v>4444.7269999999962</v>
      </c>
      <c r="I349" s="228">
        <f t="shared" si="182"/>
        <v>4187.6559999999972</v>
      </c>
      <c r="J349" s="228">
        <f t="shared" si="182"/>
        <v>12766.138000000004</v>
      </c>
      <c r="K349" s="228">
        <f t="shared" si="182"/>
        <v>14892.152000000006</v>
      </c>
      <c r="L349" s="228">
        <f t="shared" si="182"/>
        <v>8620.7449999999917</v>
      </c>
      <c r="M349" s="228">
        <f t="shared" si="182"/>
        <v>7335.7960000000066</v>
      </c>
      <c r="N349" s="228">
        <f t="shared" si="182"/>
        <v>8510.1680000000069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183">-E20</f>
        <v>0</v>
      </c>
      <c r="F350" s="228">
        <f t="shared" si="183"/>
        <v>0</v>
      </c>
      <c r="G350" s="228">
        <f t="shared" si="183"/>
        <v>0</v>
      </c>
      <c r="H350" s="228">
        <f t="shared" si="183"/>
        <v>0</v>
      </c>
      <c r="I350" s="228">
        <f t="shared" si="183"/>
        <v>0</v>
      </c>
      <c r="J350" s="228">
        <f t="shared" si="183"/>
        <v>0</v>
      </c>
      <c r="K350" s="228">
        <f t="shared" si="183"/>
        <v>0</v>
      </c>
      <c r="L350" s="228">
        <f t="shared" si="183"/>
        <v>0</v>
      </c>
      <c r="M350" s="228">
        <f t="shared" si="183"/>
        <v>0</v>
      </c>
      <c r="N350" s="228">
        <f t="shared" si="18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11640.939280000001</v>
      </c>
      <c r="F351" s="233">
        <f>F349+F350</f>
        <v>7943.3948599999967</v>
      </c>
      <c r="G351" s="233">
        <f>G349+G350</f>
        <v>8780.3110000000015</v>
      </c>
      <c r="H351" s="233">
        <f t="shared" ref="H351:N351" si="184">H349+H350</f>
        <v>4444.7269999999962</v>
      </c>
      <c r="I351" s="233">
        <f t="shared" si="184"/>
        <v>4187.6559999999972</v>
      </c>
      <c r="J351" s="233">
        <f t="shared" si="184"/>
        <v>12766.138000000004</v>
      </c>
      <c r="K351" s="233">
        <f t="shared" si="184"/>
        <v>14892.152000000006</v>
      </c>
      <c r="L351" s="233">
        <f t="shared" si="184"/>
        <v>8620.7449999999917</v>
      </c>
      <c r="M351" s="233">
        <f t="shared" si="184"/>
        <v>7335.7960000000066</v>
      </c>
      <c r="N351" s="233">
        <f t="shared" si="184"/>
        <v>8510.1680000000069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11640.939280000001</v>
      </c>
      <c r="F353" s="228">
        <f>+F351</f>
        <v>7943.3948599999967</v>
      </c>
      <c r="G353" s="228">
        <f>+G351</f>
        <v>8780.3110000000015</v>
      </c>
      <c r="H353" s="228">
        <f t="shared" ref="H353:N353" si="185">+H351</f>
        <v>4444.7269999999962</v>
      </c>
      <c r="I353" s="228">
        <f t="shared" si="185"/>
        <v>4187.6559999999972</v>
      </c>
      <c r="J353" s="228">
        <f t="shared" si="185"/>
        <v>12766.138000000004</v>
      </c>
      <c r="K353" s="228">
        <f t="shared" si="185"/>
        <v>14892.152000000006</v>
      </c>
      <c r="L353" s="228">
        <f t="shared" si="185"/>
        <v>8620.7449999999917</v>
      </c>
      <c r="M353" s="228">
        <f t="shared" si="185"/>
        <v>7335.7960000000066</v>
      </c>
      <c r="N353" s="228">
        <f t="shared" si="185"/>
        <v>8510.1680000000069</v>
      </c>
    </row>
    <row r="354" spans="1:14" ht="48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186">+E44</f>
        <v>-217.72889000000001</v>
      </c>
      <c r="F354" s="228">
        <f t="shared" si="186"/>
        <v>-186.12799999999999</v>
      </c>
      <c r="G354" s="228">
        <f t="shared" si="186"/>
        <v>-182.22800000000001</v>
      </c>
      <c r="H354" s="228">
        <f t="shared" si="186"/>
        <v>-81.180999999999997</v>
      </c>
      <c r="I354" s="228">
        <f t="shared" si="186"/>
        <v>-160.07</v>
      </c>
      <c r="J354" s="228">
        <f t="shared" si="186"/>
        <v>-267.49900000000002</v>
      </c>
      <c r="K354" s="228">
        <f t="shared" si="186"/>
        <v>-57.119</v>
      </c>
      <c r="L354" s="228">
        <f t="shared" si="186"/>
        <v>-181.08</v>
      </c>
      <c r="M354" s="228">
        <f t="shared" si="186"/>
        <v>-130.84100000000001</v>
      </c>
      <c r="N354" s="228">
        <f t="shared" si="186"/>
        <v>-121.985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11423.21039</v>
      </c>
      <c r="F355" s="233">
        <f>F353+F354</f>
        <v>7757.266859999997</v>
      </c>
      <c r="G355" s="233">
        <f>G353+G354</f>
        <v>8598.0830000000024</v>
      </c>
      <c r="H355" s="233">
        <f t="shared" ref="H355:N355" si="187">H353+H354</f>
        <v>4363.5459999999966</v>
      </c>
      <c r="I355" s="233">
        <f t="shared" si="187"/>
        <v>4027.5859999999971</v>
      </c>
      <c r="J355" s="233">
        <f t="shared" si="187"/>
        <v>12498.639000000005</v>
      </c>
      <c r="K355" s="233">
        <f t="shared" si="187"/>
        <v>14835.033000000005</v>
      </c>
      <c r="L355" s="233">
        <f t="shared" si="187"/>
        <v>8439.6649999999918</v>
      </c>
      <c r="M355" s="233">
        <f t="shared" si="187"/>
        <v>7204.9550000000063</v>
      </c>
      <c r="N355" s="233">
        <f t="shared" si="187"/>
        <v>8388.1830000000064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188">ROUND(E10*E355,0)</f>
        <v>0</v>
      </c>
      <c r="F356" s="233">
        <f t="shared" si="188"/>
        <v>0</v>
      </c>
      <c r="G356" s="233">
        <f t="shared" si="188"/>
        <v>0</v>
      </c>
      <c r="H356" s="233">
        <f t="shared" si="188"/>
        <v>0</v>
      </c>
      <c r="I356" s="233">
        <f t="shared" si="188"/>
        <v>0</v>
      </c>
      <c r="J356" s="233">
        <f t="shared" si="188"/>
        <v>0</v>
      </c>
      <c r="K356" s="233">
        <f t="shared" si="188"/>
        <v>0</v>
      </c>
      <c r="L356" s="233">
        <f t="shared" si="188"/>
        <v>0</v>
      </c>
      <c r="M356" s="233">
        <f t="shared" si="188"/>
        <v>0</v>
      </c>
      <c r="N356" s="233">
        <f t="shared" si="188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189">+E9</f>
        <v>2009</v>
      </c>
      <c r="F358" s="207">
        <f t="shared" si="189"/>
        <v>2010</v>
      </c>
      <c r="G358" s="207">
        <f t="shared" si="189"/>
        <v>2011</v>
      </c>
      <c r="H358" s="207">
        <f t="shared" si="189"/>
        <v>2012</v>
      </c>
      <c r="I358" s="207">
        <f t="shared" si="189"/>
        <v>2013</v>
      </c>
      <c r="J358" s="207">
        <f t="shared" si="189"/>
        <v>2014</v>
      </c>
      <c r="K358" s="207">
        <f t="shared" si="189"/>
        <v>2015</v>
      </c>
      <c r="L358" s="207">
        <f t="shared" si="189"/>
        <v>2016</v>
      </c>
      <c r="M358" s="207">
        <f t="shared" si="189"/>
        <v>2017</v>
      </c>
      <c r="N358" s="207">
        <f t="shared" si="189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190">+E64</f>
        <v>0</v>
      </c>
      <c r="F359" s="228">
        <f t="shared" si="190"/>
        <v>0</v>
      </c>
      <c r="G359" s="228">
        <f t="shared" si="190"/>
        <v>0</v>
      </c>
      <c r="H359" s="228">
        <f t="shared" si="190"/>
        <v>0</v>
      </c>
      <c r="I359" s="228">
        <f t="shared" si="190"/>
        <v>0</v>
      </c>
      <c r="J359" s="228">
        <f t="shared" si="190"/>
        <v>0</v>
      </c>
      <c r="K359" s="228">
        <f t="shared" si="190"/>
        <v>0</v>
      </c>
      <c r="L359" s="228">
        <f t="shared" si="190"/>
        <v>0</v>
      </c>
      <c r="M359" s="228">
        <f t="shared" si="190"/>
        <v>0</v>
      </c>
      <c r="N359" s="228">
        <f t="shared" si="190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191">+F359</f>
        <v>0</v>
      </c>
      <c r="G360" s="233">
        <f t="shared" si="191"/>
        <v>0</v>
      </c>
      <c r="H360" s="233">
        <f t="shared" si="191"/>
        <v>0</v>
      </c>
      <c r="I360" s="233">
        <f t="shared" si="191"/>
        <v>0</v>
      </c>
      <c r="J360" s="233">
        <f t="shared" si="191"/>
        <v>0</v>
      </c>
      <c r="K360" s="233">
        <f t="shared" si="191"/>
        <v>0</v>
      </c>
      <c r="L360" s="233">
        <f t="shared" si="191"/>
        <v>0</v>
      </c>
      <c r="M360" s="233">
        <f t="shared" si="191"/>
        <v>0</v>
      </c>
      <c r="N360" s="233">
        <f t="shared" si="191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192">+E9</f>
        <v>2009</v>
      </c>
      <c r="F362" s="207">
        <f t="shared" si="192"/>
        <v>2010</v>
      </c>
      <c r="G362" s="207">
        <f t="shared" si="192"/>
        <v>2011</v>
      </c>
      <c r="H362" s="207">
        <f t="shared" si="192"/>
        <v>2012</v>
      </c>
      <c r="I362" s="207">
        <f t="shared" si="192"/>
        <v>2013</v>
      </c>
      <c r="J362" s="207">
        <f t="shared" si="192"/>
        <v>2014</v>
      </c>
      <c r="K362" s="207">
        <f t="shared" si="192"/>
        <v>2015</v>
      </c>
      <c r="L362" s="207">
        <f t="shared" si="192"/>
        <v>2016</v>
      </c>
      <c r="M362" s="207">
        <f t="shared" si="192"/>
        <v>2017</v>
      </c>
      <c r="N362" s="207">
        <f t="shared" si="192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193">+E319</f>
        <v>1781.8966100000075</v>
      </c>
      <c r="F363" s="228">
        <f t="shared" si="193"/>
        <v>2329.9228600000115</v>
      </c>
      <c r="G363" s="228">
        <f t="shared" si="193"/>
        <v>-826.15600000001439</v>
      </c>
      <c r="H363" s="228">
        <f t="shared" si="193"/>
        <v>-303.18699999999745</v>
      </c>
      <c r="I363" s="228">
        <f t="shared" si="193"/>
        <v>890.85900000001334</v>
      </c>
      <c r="J363" s="228">
        <f t="shared" si="193"/>
        <v>1934.3309999999965</v>
      </c>
      <c r="K363" s="228">
        <f t="shared" si="193"/>
        <v>2153.5269999999873</v>
      </c>
      <c r="L363" s="228">
        <f t="shared" si="193"/>
        <v>7788.7539999999835</v>
      </c>
      <c r="M363" s="228">
        <f t="shared" si="193"/>
        <v>14517.852999999997</v>
      </c>
      <c r="N363" s="228">
        <f t="shared" si="193"/>
        <v>702.97299999998711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194">-E327</f>
        <v>121.07341</v>
      </c>
      <c r="F364" s="228">
        <f t="shared" si="194"/>
        <v>-41.220319999999987</v>
      </c>
      <c r="G364" s="228">
        <f t="shared" si="194"/>
        <v>98.762989999999974</v>
      </c>
      <c r="H364" s="228">
        <f t="shared" si="194"/>
        <v>15.896000000000043</v>
      </c>
      <c r="I364" s="228">
        <f t="shared" si="194"/>
        <v>-409.15300000000002</v>
      </c>
      <c r="J364" s="228">
        <f t="shared" si="194"/>
        <v>-75.96399999999997</v>
      </c>
      <c r="K364" s="228">
        <f t="shared" si="194"/>
        <v>-42.590000000000032</v>
      </c>
      <c r="L364" s="228">
        <f t="shared" si="194"/>
        <v>-29.351999999999975</v>
      </c>
      <c r="M364" s="228">
        <f t="shared" si="194"/>
        <v>84.22399999999999</v>
      </c>
      <c r="N364" s="228">
        <f t="shared" si="194"/>
        <v>40.078999999999972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195">-E346</f>
        <v>-11640.939280000001</v>
      </c>
      <c r="F365" s="228">
        <f t="shared" si="195"/>
        <v>-7943.3948599999967</v>
      </c>
      <c r="G365" s="228">
        <f t="shared" si="195"/>
        <v>-8780.3110000000015</v>
      </c>
      <c r="H365" s="228">
        <f t="shared" si="195"/>
        <v>-4444.7269999999962</v>
      </c>
      <c r="I365" s="228">
        <f t="shared" si="195"/>
        <v>-4187.6559999999972</v>
      </c>
      <c r="J365" s="228">
        <f t="shared" si="195"/>
        <v>-12766.138000000004</v>
      </c>
      <c r="K365" s="228">
        <f t="shared" si="195"/>
        <v>-14892.152000000006</v>
      </c>
      <c r="L365" s="228">
        <f t="shared" si="195"/>
        <v>-8620.7449999999917</v>
      </c>
      <c r="M365" s="228">
        <f t="shared" si="195"/>
        <v>-7335.7960000000066</v>
      </c>
      <c r="N365" s="228">
        <f t="shared" si="195"/>
        <v>-8510.1680000000069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196">-E235</f>
        <v>4715.76062</v>
      </c>
      <c r="F366" s="228">
        <f t="shared" si="196"/>
        <v>5163.9319999999998</v>
      </c>
      <c r="G366" s="228">
        <f t="shared" si="196"/>
        <v>4901.8940000000002</v>
      </c>
      <c r="H366" s="228">
        <f t="shared" si="196"/>
        <v>5208.5200000000004</v>
      </c>
      <c r="I366" s="228">
        <f t="shared" si="196"/>
        <v>5188.3900000000003</v>
      </c>
      <c r="J366" s="228">
        <f t="shared" si="196"/>
        <v>5590.6480000000001</v>
      </c>
      <c r="K366" s="228">
        <f t="shared" si="196"/>
        <v>6779.9989999999998</v>
      </c>
      <c r="L366" s="228">
        <f t="shared" si="196"/>
        <v>7726.0720000000001</v>
      </c>
      <c r="M366" s="228">
        <f t="shared" si="196"/>
        <v>9883.2150000000001</v>
      </c>
      <c r="N366" s="228">
        <f t="shared" si="196"/>
        <v>12709.642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197">+F360</f>
        <v>0</v>
      </c>
      <c r="G367" s="228">
        <f t="shared" si="197"/>
        <v>0</v>
      </c>
      <c r="H367" s="228">
        <f t="shared" si="197"/>
        <v>0</v>
      </c>
      <c r="I367" s="228">
        <f t="shared" si="197"/>
        <v>0</v>
      </c>
      <c r="J367" s="228">
        <f t="shared" si="197"/>
        <v>0</v>
      </c>
      <c r="K367" s="228">
        <f t="shared" si="197"/>
        <v>0</v>
      </c>
      <c r="L367" s="228">
        <f t="shared" si="197"/>
        <v>0</v>
      </c>
      <c r="M367" s="228">
        <f t="shared" si="197"/>
        <v>0</v>
      </c>
      <c r="N367" s="228">
        <f t="shared" si="197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-5022.2086399999926</v>
      </c>
      <c r="F368" s="233">
        <f t="shared" ref="F368:N368" si="198">SUM(F363:F367)</f>
        <v>-490.76031999998577</v>
      </c>
      <c r="G368" s="233">
        <f t="shared" si="198"/>
        <v>-4605.8100100000156</v>
      </c>
      <c r="H368" s="233">
        <f t="shared" si="198"/>
        <v>476.50200000000677</v>
      </c>
      <c r="I368" s="233">
        <f t="shared" si="198"/>
        <v>1482.4400000000164</v>
      </c>
      <c r="J368" s="233">
        <f t="shared" si="198"/>
        <v>-5317.1230000000078</v>
      </c>
      <c r="K368" s="233">
        <f t="shared" si="198"/>
        <v>-6001.2160000000185</v>
      </c>
      <c r="L368" s="233">
        <f t="shared" si="198"/>
        <v>6864.7289999999921</v>
      </c>
      <c r="M368" s="233">
        <f t="shared" si="198"/>
        <v>17149.495999999992</v>
      </c>
      <c r="N368" s="233">
        <f t="shared" si="198"/>
        <v>4942.5259999999798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199">+E9</f>
        <v>2009</v>
      </c>
      <c r="F370" s="206">
        <f t="shared" si="199"/>
        <v>2010</v>
      </c>
      <c r="G370" s="206">
        <f t="shared" si="199"/>
        <v>2011</v>
      </c>
      <c r="H370" s="206">
        <f t="shared" si="199"/>
        <v>2012</v>
      </c>
      <c r="I370" s="206">
        <f t="shared" si="199"/>
        <v>2013</v>
      </c>
      <c r="J370" s="206">
        <f t="shared" si="199"/>
        <v>2014</v>
      </c>
      <c r="K370" s="206">
        <f t="shared" si="199"/>
        <v>2015</v>
      </c>
      <c r="L370" s="206">
        <f t="shared" si="199"/>
        <v>2016</v>
      </c>
      <c r="M370" s="206">
        <f t="shared" si="199"/>
        <v>2017</v>
      </c>
      <c r="N370" s="206">
        <f t="shared" si="199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00">+E9</f>
        <v>2009</v>
      </c>
      <c r="F372" s="207">
        <f t="shared" si="200"/>
        <v>2010</v>
      </c>
      <c r="G372" s="207">
        <f t="shared" si="200"/>
        <v>2011</v>
      </c>
      <c r="H372" s="207">
        <f t="shared" si="200"/>
        <v>2012</v>
      </c>
      <c r="I372" s="207">
        <f t="shared" si="200"/>
        <v>2013</v>
      </c>
      <c r="J372" s="207">
        <f t="shared" si="200"/>
        <v>2014</v>
      </c>
      <c r="K372" s="207">
        <f t="shared" si="200"/>
        <v>2015</v>
      </c>
      <c r="L372" s="207">
        <f t="shared" si="200"/>
        <v>2016</v>
      </c>
      <c r="M372" s="207">
        <f t="shared" si="200"/>
        <v>2017</v>
      </c>
      <c r="N372" s="207">
        <f t="shared" si="200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01">+E94-D94</f>
        <v>0</v>
      </c>
      <c r="F373" s="228">
        <f t="shared" si="201"/>
        <v>0</v>
      </c>
      <c r="G373" s="228">
        <f t="shared" si="201"/>
        <v>0</v>
      </c>
      <c r="H373" s="228">
        <f t="shared" si="201"/>
        <v>0</v>
      </c>
      <c r="I373" s="228">
        <f t="shared" si="201"/>
        <v>0</v>
      </c>
      <c r="J373" s="228">
        <f t="shared" si="201"/>
        <v>0</v>
      </c>
      <c r="K373" s="228">
        <f t="shared" si="201"/>
        <v>0</v>
      </c>
      <c r="L373" s="228">
        <f t="shared" si="201"/>
        <v>0</v>
      </c>
      <c r="M373" s="228">
        <f t="shared" si="201"/>
        <v>0</v>
      </c>
      <c r="N373" s="228">
        <f t="shared" si="201"/>
        <v>0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02">+E95-D95</f>
        <v>30</v>
      </c>
      <c r="F374" s="228">
        <f t="shared" si="202"/>
        <v>-28.764199999999995</v>
      </c>
      <c r="G374" s="228">
        <f t="shared" si="202"/>
        <v>0</v>
      </c>
      <c r="H374" s="228">
        <f t="shared" si="202"/>
        <v>2161.0500000000002</v>
      </c>
      <c r="I374" s="228">
        <f t="shared" si="202"/>
        <v>5395.0429999999997</v>
      </c>
      <c r="J374" s="228">
        <f t="shared" si="202"/>
        <v>5889.616</v>
      </c>
      <c r="K374" s="228">
        <f t="shared" si="202"/>
        <v>-581.07300000000032</v>
      </c>
      <c r="L374" s="228">
        <f t="shared" si="202"/>
        <v>-1997.991</v>
      </c>
      <c r="M374" s="228">
        <f t="shared" si="202"/>
        <v>-2769.174</v>
      </c>
      <c r="N374" s="228">
        <f t="shared" si="202"/>
        <v>-1796.7299999999996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03">+E108-D108</f>
        <v>-3046.2150399999991</v>
      </c>
      <c r="F375" s="228">
        <f t="shared" si="203"/>
        <v>1607.6294799999996</v>
      </c>
      <c r="G375" s="228">
        <f t="shared" si="203"/>
        <v>-2055.712</v>
      </c>
      <c r="H375" s="228">
        <f t="shared" si="203"/>
        <v>149.96300000000019</v>
      </c>
      <c r="I375" s="228">
        <f t="shared" si="203"/>
        <v>2454.683</v>
      </c>
      <c r="J375" s="228">
        <f t="shared" si="203"/>
        <v>-1571.7179999999998</v>
      </c>
      <c r="K375" s="228">
        <f t="shared" si="203"/>
        <v>6446.8909999999996</v>
      </c>
      <c r="L375" s="228">
        <f t="shared" si="203"/>
        <v>-10634.021000000001</v>
      </c>
      <c r="M375" s="228">
        <f t="shared" si="203"/>
        <v>7018.348</v>
      </c>
      <c r="N375" s="228">
        <f t="shared" si="203"/>
        <v>277.24099999999999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04">+E109-D109</f>
        <v>-3909.4271200000003</v>
      </c>
      <c r="F376" s="228">
        <f t="shared" si="204"/>
        <v>-47.828029999999998</v>
      </c>
      <c r="G376" s="228">
        <f t="shared" si="204"/>
        <v>9.7000000000001307E-2</v>
      </c>
      <c r="H376" s="228">
        <f t="shared" si="204"/>
        <v>-28.742999999999999</v>
      </c>
      <c r="I376" s="228">
        <f t="shared" si="204"/>
        <v>699.30500000000006</v>
      </c>
      <c r="J376" s="228">
        <f t="shared" si="204"/>
        <v>444.48899999999992</v>
      </c>
      <c r="K376" s="228">
        <f t="shared" si="204"/>
        <v>450.06000000000017</v>
      </c>
      <c r="L376" s="228">
        <f t="shared" si="204"/>
        <v>479.64200000000005</v>
      </c>
      <c r="M376" s="228">
        <f t="shared" si="204"/>
        <v>-657.66100000000006</v>
      </c>
      <c r="N376" s="228">
        <f t="shared" si="204"/>
        <v>-878.2120000000001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05">+E111-D111</f>
        <v>315.83199000000013</v>
      </c>
      <c r="F377" s="228">
        <f t="shared" si="205"/>
        <v>-1354.0408400000001</v>
      </c>
      <c r="G377" s="228">
        <f t="shared" si="205"/>
        <v>1084.0889999999999</v>
      </c>
      <c r="H377" s="228">
        <f t="shared" si="205"/>
        <v>-1398.2389999999998</v>
      </c>
      <c r="I377" s="228">
        <f t="shared" si="205"/>
        <v>2101.2920000000004</v>
      </c>
      <c r="J377" s="228">
        <f t="shared" si="205"/>
        <v>2077.5539999999996</v>
      </c>
      <c r="K377" s="228">
        <f t="shared" si="205"/>
        <v>-365.88599999999951</v>
      </c>
      <c r="L377" s="228">
        <f t="shared" si="205"/>
        <v>4829.8829999999989</v>
      </c>
      <c r="M377" s="228">
        <f t="shared" si="205"/>
        <v>-7228.927999999999</v>
      </c>
      <c r="N377" s="228">
        <f t="shared" si="205"/>
        <v>-409.29300000000012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-6609.8101699999988</v>
      </c>
      <c r="F378" s="233">
        <f>SUM(F373:F377)</f>
        <v>176.99640999999951</v>
      </c>
      <c r="G378" s="233">
        <f>SUM(G373:G377)</f>
        <v>-971.52599999999984</v>
      </c>
      <c r="H378" s="233">
        <f t="shared" ref="H378:N378" si="206">SUM(H373:H377)</f>
        <v>884.03100000000063</v>
      </c>
      <c r="I378" s="233">
        <f t="shared" si="206"/>
        <v>10650.323</v>
      </c>
      <c r="J378" s="233">
        <f t="shared" si="206"/>
        <v>6839.9409999999989</v>
      </c>
      <c r="K378" s="233">
        <f t="shared" si="206"/>
        <v>5949.9920000000002</v>
      </c>
      <c r="L378" s="233">
        <f t="shared" si="206"/>
        <v>-7322.4870000000019</v>
      </c>
      <c r="M378" s="233">
        <f t="shared" si="206"/>
        <v>-3637.4149999999991</v>
      </c>
      <c r="N378" s="233">
        <f t="shared" si="206"/>
        <v>-2806.9939999999997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07">+E96-D96</f>
        <v>800.82093999999995</v>
      </c>
      <c r="F379" s="228">
        <f t="shared" si="207"/>
        <v>1821.9480599999997</v>
      </c>
      <c r="G379" s="228">
        <f t="shared" si="207"/>
        <v>-933.65799999999967</v>
      </c>
      <c r="H379" s="228">
        <f t="shared" si="207"/>
        <v>-261.86600000000021</v>
      </c>
      <c r="I379" s="228">
        <f t="shared" si="207"/>
        <v>-9.9359999999999218</v>
      </c>
      <c r="J379" s="228">
        <f t="shared" si="207"/>
        <v>967.33400000000006</v>
      </c>
      <c r="K379" s="228">
        <f t="shared" si="207"/>
        <v>-428.23199999999997</v>
      </c>
      <c r="L379" s="228">
        <f t="shared" si="207"/>
        <v>2191.6880000000001</v>
      </c>
      <c r="M379" s="228">
        <f t="shared" si="207"/>
        <v>-961.05000000000018</v>
      </c>
      <c r="N379" s="228">
        <f t="shared" si="207"/>
        <v>335.5300000000002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08">+E97-D97</f>
        <v>0</v>
      </c>
      <c r="F380" s="228">
        <f t="shared" si="208"/>
        <v>0</v>
      </c>
      <c r="G380" s="228">
        <f t="shared" si="208"/>
        <v>0</v>
      </c>
      <c r="H380" s="228">
        <f t="shared" si="208"/>
        <v>0</v>
      </c>
      <c r="I380" s="228">
        <f t="shared" si="208"/>
        <v>0</v>
      </c>
      <c r="J380" s="228">
        <f t="shared" si="208"/>
        <v>0</v>
      </c>
      <c r="K380" s="228">
        <f t="shared" si="208"/>
        <v>0</v>
      </c>
      <c r="L380" s="228">
        <f t="shared" si="208"/>
        <v>0</v>
      </c>
      <c r="M380" s="228">
        <f t="shared" si="208"/>
        <v>0</v>
      </c>
      <c r="N380" s="228">
        <f t="shared" si="208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09">+E106-D106</f>
        <v>0</v>
      </c>
      <c r="F381" s="228">
        <f t="shared" si="209"/>
        <v>0.30701000000000001</v>
      </c>
      <c r="G381" s="228">
        <f t="shared" si="209"/>
        <v>-1.0000000000065512E-5</v>
      </c>
      <c r="H381" s="228">
        <f t="shared" si="209"/>
        <v>94.417999999999992</v>
      </c>
      <c r="I381" s="228">
        <f t="shared" si="209"/>
        <v>-92.417999999999992</v>
      </c>
      <c r="J381" s="228">
        <f t="shared" si="209"/>
        <v>25.673000000000002</v>
      </c>
      <c r="K381" s="228">
        <f t="shared" si="209"/>
        <v>-27.98</v>
      </c>
      <c r="L381" s="228">
        <f t="shared" si="209"/>
        <v>0</v>
      </c>
      <c r="M381" s="228">
        <f t="shared" si="209"/>
        <v>0</v>
      </c>
      <c r="N381" s="228">
        <f t="shared" si="209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10">+E107-D107</f>
        <v>2512.1895000000004</v>
      </c>
      <c r="F382" s="228">
        <f t="shared" si="210"/>
        <v>810.41471999999885</v>
      </c>
      <c r="G382" s="228">
        <f t="shared" si="210"/>
        <v>-2440.226999999999</v>
      </c>
      <c r="H382" s="228">
        <f t="shared" si="210"/>
        <v>1326.3359999999993</v>
      </c>
      <c r="I382" s="228">
        <f t="shared" si="210"/>
        <v>11031.706000000002</v>
      </c>
      <c r="J382" s="228">
        <f t="shared" si="210"/>
        <v>-1789.9940000000024</v>
      </c>
      <c r="K382" s="228">
        <f t="shared" si="210"/>
        <v>-1553.3940000000002</v>
      </c>
      <c r="L382" s="228">
        <f t="shared" si="210"/>
        <v>4099.1630000000005</v>
      </c>
      <c r="M382" s="228">
        <f t="shared" si="210"/>
        <v>4946.6660000000011</v>
      </c>
      <c r="N382" s="228">
        <f t="shared" si="210"/>
        <v>2024.9860000000008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11">+E110-D110</f>
        <v>-6.7886000000000024</v>
      </c>
      <c r="F383" s="228">
        <f t="shared" si="211"/>
        <v>-3.1189500000000123</v>
      </c>
      <c r="G383" s="228">
        <f t="shared" si="211"/>
        <v>173.09900000000002</v>
      </c>
      <c r="H383" s="228">
        <f t="shared" si="211"/>
        <v>778.6160000000001</v>
      </c>
      <c r="I383" s="228">
        <f t="shared" si="211"/>
        <v>2322.855</v>
      </c>
      <c r="J383" s="228">
        <f t="shared" si="211"/>
        <v>-358.07400000000007</v>
      </c>
      <c r="K383" s="228">
        <f t="shared" si="211"/>
        <v>-145.00900000000001</v>
      </c>
      <c r="L383" s="228">
        <f t="shared" si="211"/>
        <v>-379.64699999999993</v>
      </c>
      <c r="M383" s="228">
        <f t="shared" si="211"/>
        <v>-719.37100000000009</v>
      </c>
      <c r="N383" s="228">
        <f t="shared" si="211"/>
        <v>4189.9349999999995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3306.2218400000006</v>
      </c>
      <c r="F384" s="233">
        <f>SUM(F379:F383)</f>
        <v>2629.5508399999985</v>
      </c>
      <c r="G384" s="233">
        <f>SUM(G379:G383)</f>
        <v>-3200.7860099999984</v>
      </c>
      <c r="H384" s="233">
        <f t="shared" ref="H384:N384" si="212">SUM(H379:H383)</f>
        <v>1937.503999999999</v>
      </c>
      <c r="I384" s="233">
        <f t="shared" si="212"/>
        <v>13252.207000000002</v>
      </c>
      <c r="J384" s="233">
        <f t="shared" si="212"/>
        <v>-1155.0610000000024</v>
      </c>
      <c r="K384" s="233">
        <f t="shared" si="212"/>
        <v>-2154.6150000000002</v>
      </c>
      <c r="L384" s="233">
        <f t="shared" si="212"/>
        <v>5911.2040000000006</v>
      </c>
      <c r="M384" s="233">
        <f t="shared" si="212"/>
        <v>3266.2450000000008</v>
      </c>
      <c r="N384" s="233">
        <f t="shared" si="212"/>
        <v>6550.4510000000009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-3303.5883299999982</v>
      </c>
      <c r="F385" s="233">
        <f>+F378+F384</f>
        <v>2806.5472499999978</v>
      </c>
      <c r="G385" s="233">
        <f>+G378+G384</f>
        <v>-4172.3120099999978</v>
      </c>
      <c r="H385" s="233">
        <f t="shared" ref="H385:N385" si="213">+H378+H384</f>
        <v>2821.5349999999999</v>
      </c>
      <c r="I385" s="233">
        <f t="shared" si="213"/>
        <v>23902.530000000002</v>
      </c>
      <c r="J385" s="233">
        <f t="shared" si="213"/>
        <v>5684.8799999999965</v>
      </c>
      <c r="K385" s="233">
        <f t="shared" si="213"/>
        <v>3795.377</v>
      </c>
      <c r="L385" s="233">
        <f t="shared" si="213"/>
        <v>-1411.2830000000013</v>
      </c>
      <c r="M385" s="233">
        <f t="shared" si="213"/>
        <v>-371.16999999999825</v>
      </c>
      <c r="N385" s="233">
        <f t="shared" si="213"/>
        <v>3743.4570000000012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14">+E9</f>
        <v>2009</v>
      </c>
      <c r="F387" s="207">
        <f t="shared" si="214"/>
        <v>2010</v>
      </c>
      <c r="G387" s="207">
        <f t="shared" si="214"/>
        <v>2011</v>
      </c>
      <c r="H387" s="207">
        <f t="shared" si="214"/>
        <v>2012</v>
      </c>
      <c r="I387" s="207">
        <f t="shared" si="214"/>
        <v>2013</v>
      </c>
      <c r="J387" s="207">
        <f t="shared" si="214"/>
        <v>2014</v>
      </c>
      <c r="K387" s="207">
        <f t="shared" si="214"/>
        <v>2015</v>
      </c>
      <c r="L387" s="207">
        <f t="shared" si="214"/>
        <v>2016</v>
      </c>
      <c r="M387" s="207">
        <f t="shared" si="214"/>
        <v>2017</v>
      </c>
      <c r="N387" s="207">
        <f t="shared" si="214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15">+E133-D133</f>
        <v>801.00579999999991</v>
      </c>
      <c r="F388" s="228">
        <f t="shared" si="215"/>
        <v>458.92879000000016</v>
      </c>
      <c r="G388" s="228">
        <f t="shared" si="215"/>
        <v>-366.95500000000015</v>
      </c>
      <c r="H388" s="228">
        <f t="shared" si="215"/>
        <v>-384.51199999999994</v>
      </c>
      <c r="I388" s="228">
        <f t="shared" si="215"/>
        <v>-358.58600000000001</v>
      </c>
      <c r="J388" s="228">
        <f t="shared" si="215"/>
        <v>-117.54899999999999</v>
      </c>
      <c r="K388" s="228">
        <f t="shared" si="215"/>
        <v>-68.48</v>
      </c>
      <c r="L388" s="228">
        <f t="shared" si="215"/>
        <v>3700.68</v>
      </c>
      <c r="M388" s="228">
        <f t="shared" si="215"/>
        <v>-990.52199999999993</v>
      </c>
      <c r="N388" s="228">
        <f t="shared" si="215"/>
        <v>-1004.4779999999998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16">+E134-D134</f>
        <v>0</v>
      </c>
      <c r="F389" s="228">
        <f t="shared" si="216"/>
        <v>0</v>
      </c>
      <c r="G389" s="228">
        <f t="shared" si="216"/>
        <v>0</v>
      </c>
      <c r="H389" s="228">
        <f t="shared" si="216"/>
        <v>2000.001</v>
      </c>
      <c r="I389" s="228">
        <f t="shared" si="216"/>
        <v>5399.9989999999998</v>
      </c>
      <c r="J389" s="228">
        <f t="shared" si="216"/>
        <v>6900</v>
      </c>
      <c r="K389" s="228">
        <f t="shared" si="216"/>
        <v>794.52000000000044</v>
      </c>
      <c r="L389" s="228">
        <f t="shared" si="216"/>
        <v>-11244.52</v>
      </c>
      <c r="M389" s="228">
        <f t="shared" si="216"/>
        <v>-2500</v>
      </c>
      <c r="N389" s="228">
        <f t="shared" si="216"/>
        <v>-1350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17">+E138-D138</f>
        <v>0</v>
      </c>
      <c r="F390" s="228">
        <f t="shared" si="217"/>
        <v>0</v>
      </c>
      <c r="G390" s="228">
        <f t="shared" si="217"/>
        <v>0</v>
      </c>
      <c r="H390" s="228">
        <f t="shared" si="217"/>
        <v>0</v>
      </c>
      <c r="I390" s="228">
        <f t="shared" si="217"/>
        <v>0</v>
      </c>
      <c r="J390" s="228">
        <f t="shared" si="217"/>
        <v>0</v>
      </c>
      <c r="K390" s="228">
        <f t="shared" si="217"/>
        <v>0</v>
      </c>
      <c r="L390" s="228">
        <f t="shared" si="217"/>
        <v>0</v>
      </c>
      <c r="M390" s="228">
        <f t="shared" si="217"/>
        <v>0</v>
      </c>
      <c r="N390" s="228">
        <f t="shared" si="217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18">+E140-D140</f>
        <v>0</v>
      </c>
      <c r="F391" s="228">
        <f t="shared" si="218"/>
        <v>0</v>
      </c>
      <c r="G391" s="228">
        <f t="shared" si="218"/>
        <v>0</v>
      </c>
      <c r="H391" s="228">
        <f t="shared" si="218"/>
        <v>0</v>
      </c>
      <c r="I391" s="228">
        <f t="shared" si="218"/>
        <v>0</v>
      </c>
      <c r="J391" s="228">
        <f t="shared" si="218"/>
        <v>0</v>
      </c>
      <c r="K391" s="228">
        <f t="shared" si="218"/>
        <v>0</v>
      </c>
      <c r="L391" s="228">
        <f t="shared" si="218"/>
        <v>0</v>
      </c>
      <c r="M391" s="228">
        <f t="shared" si="218"/>
        <v>0</v>
      </c>
      <c r="N391" s="228">
        <f t="shared" si="218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19">+E142-D142</f>
        <v>-727.30910999999992</v>
      </c>
      <c r="F392" s="228">
        <f t="shared" si="219"/>
        <v>687.91560000000004</v>
      </c>
      <c r="G392" s="228">
        <f t="shared" si="219"/>
        <v>3112.527</v>
      </c>
      <c r="H392" s="228">
        <f t="shared" si="219"/>
        <v>-3119.172</v>
      </c>
      <c r="I392" s="228">
        <f t="shared" si="219"/>
        <v>-456.94700000000012</v>
      </c>
      <c r="J392" s="228">
        <f t="shared" si="219"/>
        <v>1253.1669999999999</v>
      </c>
      <c r="K392" s="228">
        <f t="shared" si="219"/>
        <v>2943.1189999999997</v>
      </c>
      <c r="L392" s="228">
        <f t="shared" si="219"/>
        <v>-669.72299999999996</v>
      </c>
      <c r="M392" s="228">
        <f t="shared" si="219"/>
        <v>-1416.6969999999997</v>
      </c>
      <c r="N392" s="228">
        <f t="shared" si="219"/>
        <v>736.96199999999999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20">+E143-D143</f>
        <v>-101.55587000000014</v>
      </c>
      <c r="F393" s="228">
        <f t="shared" si="220"/>
        <v>-695.8150599999999</v>
      </c>
      <c r="G393" s="228">
        <f t="shared" si="220"/>
        <v>-1146.8980000000001</v>
      </c>
      <c r="H393" s="228">
        <f t="shared" si="220"/>
        <v>2540.5780000000004</v>
      </c>
      <c r="I393" s="228">
        <f t="shared" si="220"/>
        <v>8498.4069999999992</v>
      </c>
      <c r="J393" s="228">
        <f t="shared" si="220"/>
        <v>-2710.3760000000002</v>
      </c>
      <c r="K393" s="228">
        <f t="shared" si="220"/>
        <v>4316.7880000000005</v>
      </c>
      <c r="L393" s="228">
        <f t="shared" si="220"/>
        <v>176.3739999999998</v>
      </c>
      <c r="M393" s="228">
        <f t="shared" si="220"/>
        <v>-8481.4040000000005</v>
      </c>
      <c r="N393" s="228">
        <f t="shared" si="220"/>
        <v>2181.0030000000006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21">+E146-D146</f>
        <v>0</v>
      </c>
      <c r="F394" s="228">
        <f t="shared" si="221"/>
        <v>0</v>
      </c>
      <c r="G394" s="228">
        <f t="shared" si="221"/>
        <v>0</v>
      </c>
      <c r="H394" s="228">
        <f t="shared" si="221"/>
        <v>0</v>
      </c>
      <c r="I394" s="228">
        <f t="shared" si="221"/>
        <v>0</v>
      </c>
      <c r="J394" s="228">
        <f t="shared" si="221"/>
        <v>0</v>
      </c>
      <c r="K394" s="228">
        <f t="shared" si="221"/>
        <v>0</v>
      </c>
      <c r="L394" s="228">
        <f t="shared" si="221"/>
        <v>0</v>
      </c>
      <c r="M394" s="228">
        <f t="shared" si="221"/>
        <v>0</v>
      </c>
      <c r="N394" s="228">
        <f t="shared" si="221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22">SUM(E388:E394)</f>
        <v>-27.859180000000151</v>
      </c>
      <c r="F395" s="233">
        <f t="shared" si="222"/>
        <v>451.0293300000003</v>
      </c>
      <c r="G395" s="233">
        <f t="shared" si="222"/>
        <v>1598.674</v>
      </c>
      <c r="H395" s="233">
        <f t="shared" si="222"/>
        <v>1036.8950000000004</v>
      </c>
      <c r="I395" s="233">
        <f t="shared" si="222"/>
        <v>13082.873</v>
      </c>
      <c r="J395" s="233">
        <f t="shared" si="222"/>
        <v>5325.2420000000002</v>
      </c>
      <c r="K395" s="233">
        <f t="shared" si="222"/>
        <v>7985.9470000000001</v>
      </c>
      <c r="L395" s="233">
        <f t="shared" si="222"/>
        <v>-8037.1890000000003</v>
      </c>
      <c r="M395" s="233">
        <f t="shared" si="222"/>
        <v>-13388.623</v>
      </c>
      <c r="N395" s="233">
        <f t="shared" si="222"/>
        <v>563.48700000000053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23">+E132-D132</f>
        <v>48.854000000000042</v>
      </c>
      <c r="F396" s="228">
        <f t="shared" si="223"/>
        <v>-452.82335999999998</v>
      </c>
      <c r="G396" s="228">
        <f t="shared" si="223"/>
        <v>76.270999999999958</v>
      </c>
      <c r="H396" s="228">
        <f t="shared" si="223"/>
        <v>-55.788000000000011</v>
      </c>
      <c r="I396" s="228">
        <f t="shared" si="223"/>
        <v>-25.258999999999901</v>
      </c>
      <c r="J396" s="228">
        <f t="shared" si="223"/>
        <v>-44.08400000000006</v>
      </c>
      <c r="K396" s="228">
        <f t="shared" si="223"/>
        <v>208.81100000000004</v>
      </c>
      <c r="L396" s="228">
        <f t="shared" si="223"/>
        <v>5078.5370000000003</v>
      </c>
      <c r="M396" s="228">
        <f t="shared" si="223"/>
        <v>-5090.1670000000004</v>
      </c>
      <c r="N396" s="228">
        <f t="shared" si="223"/>
        <v>241.42899999999986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24">+E135-D135</f>
        <v>0</v>
      </c>
      <c r="F397" s="228">
        <f t="shared" si="224"/>
        <v>0</v>
      </c>
      <c r="G397" s="228">
        <f t="shared" si="224"/>
        <v>0</v>
      </c>
      <c r="H397" s="228">
        <f t="shared" si="224"/>
        <v>0</v>
      </c>
      <c r="I397" s="228">
        <f t="shared" si="224"/>
        <v>0</v>
      </c>
      <c r="J397" s="228">
        <f t="shared" si="224"/>
        <v>0</v>
      </c>
      <c r="K397" s="228">
        <f t="shared" si="224"/>
        <v>0</v>
      </c>
      <c r="L397" s="228">
        <f t="shared" si="224"/>
        <v>0</v>
      </c>
      <c r="M397" s="228">
        <f t="shared" si="224"/>
        <v>292.5</v>
      </c>
      <c r="N397" s="228">
        <f t="shared" si="224"/>
        <v>-270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25">+E136-D136</f>
        <v>0</v>
      </c>
      <c r="F398" s="228">
        <f t="shared" si="225"/>
        <v>0</v>
      </c>
      <c r="G398" s="228">
        <f t="shared" si="225"/>
        <v>0</v>
      </c>
      <c r="H398" s="228">
        <f t="shared" si="225"/>
        <v>0</v>
      </c>
      <c r="I398" s="228">
        <f t="shared" si="225"/>
        <v>0</v>
      </c>
      <c r="J398" s="228">
        <f t="shared" si="225"/>
        <v>0</v>
      </c>
      <c r="K398" s="228">
        <f t="shared" si="225"/>
        <v>0</v>
      </c>
      <c r="L398" s="228">
        <f t="shared" si="225"/>
        <v>0</v>
      </c>
      <c r="M398" s="228">
        <f t="shared" si="225"/>
        <v>0</v>
      </c>
      <c r="N398" s="228">
        <f t="shared" si="225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26">+E137-D137</f>
        <v>0</v>
      </c>
      <c r="F399" s="228">
        <f t="shared" si="226"/>
        <v>0</v>
      </c>
      <c r="G399" s="228">
        <f t="shared" si="226"/>
        <v>0</v>
      </c>
      <c r="H399" s="228">
        <f t="shared" si="226"/>
        <v>0</v>
      </c>
      <c r="I399" s="228">
        <f t="shared" si="226"/>
        <v>0</v>
      </c>
      <c r="J399" s="228">
        <f t="shared" si="226"/>
        <v>0</v>
      </c>
      <c r="K399" s="228">
        <f t="shared" si="226"/>
        <v>0</v>
      </c>
      <c r="L399" s="228">
        <f t="shared" si="226"/>
        <v>0</v>
      </c>
      <c r="M399" s="228">
        <f t="shared" si="226"/>
        <v>0</v>
      </c>
      <c r="N399" s="228">
        <f t="shared" si="226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27">+E141-D141</f>
        <v>0</v>
      </c>
      <c r="F400" s="228">
        <f t="shared" si="227"/>
        <v>0</v>
      </c>
      <c r="G400" s="228">
        <f t="shared" si="227"/>
        <v>0</v>
      </c>
      <c r="H400" s="228">
        <f t="shared" si="227"/>
        <v>0</v>
      </c>
      <c r="I400" s="228">
        <f t="shared" si="227"/>
        <v>0</v>
      </c>
      <c r="J400" s="228">
        <f t="shared" si="227"/>
        <v>0</v>
      </c>
      <c r="K400" s="228">
        <f t="shared" si="227"/>
        <v>50</v>
      </c>
      <c r="L400" s="228">
        <f t="shared" si="227"/>
        <v>1093.1079999999999</v>
      </c>
      <c r="M400" s="228">
        <f t="shared" si="227"/>
        <v>-1093.1079999999999</v>
      </c>
      <c r="N400" s="228">
        <f t="shared" si="227"/>
        <v>167.309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28">+E144-D144</f>
        <v>1697.6259700000001</v>
      </c>
      <c r="F401" s="228">
        <f t="shared" si="228"/>
        <v>3299.1016099999997</v>
      </c>
      <c r="G401" s="228">
        <f t="shared" si="228"/>
        <v>-1241.4470000000001</v>
      </c>
      <c r="H401" s="228">
        <f t="shared" si="228"/>
        <v>1363.9259999999995</v>
      </c>
      <c r="I401" s="228">
        <f t="shared" si="228"/>
        <v>9362.4760000000006</v>
      </c>
      <c r="J401" s="228">
        <f t="shared" si="228"/>
        <v>5720.8450000000012</v>
      </c>
      <c r="K401" s="228">
        <f t="shared" si="228"/>
        <v>1551.8349999999991</v>
      </c>
      <c r="L401" s="228">
        <f t="shared" si="228"/>
        <v>-6410.4680000000008</v>
      </c>
      <c r="M401" s="228">
        <f t="shared" si="228"/>
        <v>433.09100000000035</v>
      </c>
      <c r="N401" s="228">
        <f t="shared" si="228"/>
        <v>-1754.3610000000008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29">+E145-D145</f>
        <v>0</v>
      </c>
      <c r="F402" s="228">
        <f t="shared" si="229"/>
        <v>0</v>
      </c>
      <c r="G402" s="228">
        <f t="shared" si="229"/>
        <v>0</v>
      </c>
      <c r="H402" s="228">
        <f t="shared" si="229"/>
        <v>0</v>
      </c>
      <c r="I402" s="228">
        <f t="shared" si="229"/>
        <v>0</v>
      </c>
      <c r="J402" s="228">
        <f t="shared" si="229"/>
        <v>0</v>
      </c>
      <c r="K402" s="228">
        <f t="shared" si="229"/>
        <v>0</v>
      </c>
      <c r="L402" s="228">
        <f t="shared" si="229"/>
        <v>0</v>
      </c>
      <c r="M402" s="228">
        <f t="shared" si="229"/>
        <v>1325.6410000000001</v>
      </c>
      <c r="N402" s="228">
        <f t="shared" si="229"/>
        <v>-146.93200000000002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1746.4799700000001</v>
      </c>
      <c r="F403" s="233">
        <f t="shared" ref="F403:N403" si="230">SUM(F396:F402)</f>
        <v>2846.2782499999998</v>
      </c>
      <c r="G403" s="233">
        <f t="shared" si="230"/>
        <v>-1165.1760000000002</v>
      </c>
      <c r="H403" s="233">
        <f t="shared" si="230"/>
        <v>1308.1379999999995</v>
      </c>
      <c r="I403" s="233">
        <f t="shared" si="230"/>
        <v>9337.2170000000006</v>
      </c>
      <c r="J403" s="233">
        <f t="shared" si="230"/>
        <v>5676.7610000000013</v>
      </c>
      <c r="K403" s="233">
        <f t="shared" si="230"/>
        <v>1810.6459999999993</v>
      </c>
      <c r="L403" s="233">
        <f t="shared" si="230"/>
        <v>-238.82300000000032</v>
      </c>
      <c r="M403" s="233">
        <f t="shared" si="230"/>
        <v>-4132.0429999999997</v>
      </c>
      <c r="N403" s="233">
        <f t="shared" si="230"/>
        <v>-1762.555000000001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31">+E395+E403</f>
        <v>1718.6207899999999</v>
      </c>
      <c r="F404" s="233">
        <f t="shared" si="231"/>
        <v>3297.3075800000001</v>
      </c>
      <c r="G404" s="233">
        <f t="shared" si="231"/>
        <v>433.49799999999982</v>
      </c>
      <c r="H404" s="233">
        <f t="shared" si="231"/>
        <v>2345.0329999999999</v>
      </c>
      <c r="I404" s="233">
        <f t="shared" si="231"/>
        <v>22420.09</v>
      </c>
      <c r="J404" s="233">
        <f t="shared" si="231"/>
        <v>11002.003000000001</v>
      </c>
      <c r="K404" s="233">
        <f t="shared" si="231"/>
        <v>9796.5929999999989</v>
      </c>
      <c r="L404" s="233">
        <f t="shared" si="231"/>
        <v>-8276.0120000000006</v>
      </c>
      <c r="M404" s="233">
        <f t="shared" si="231"/>
        <v>-17520.665999999997</v>
      </c>
      <c r="N404" s="233">
        <f t="shared" si="231"/>
        <v>-1199.0680000000004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32">+E385-E404</f>
        <v>-5022.2091199999977</v>
      </c>
      <c r="F406" s="218">
        <f t="shared" si="232"/>
        <v>-490.76033000000234</v>
      </c>
      <c r="G406" s="218">
        <f t="shared" si="232"/>
        <v>-4605.8100099999974</v>
      </c>
      <c r="H406" s="218">
        <f t="shared" si="232"/>
        <v>476.50199999999995</v>
      </c>
      <c r="I406" s="218">
        <f t="shared" si="232"/>
        <v>1482.4400000000023</v>
      </c>
      <c r="J406" s="218">
        <f t="shared" si="232"/>
        <v>-5317.1230000000041</v>
      </c>
      <c r="K406" s="218">
        <f t="shared" si="232"/>
        <v>-6001.2159999999985</v>
      </c>
      <c r="L406" s="218">
        <f t="shared" si="232"/>
        <v>6864.7289999999994</v>
      </c>
      <c r="M406" s="218">
        <f t="shared" si="232"/>
        <v>17149.495999999999</v>
      </c>
      <c r="N406" s="218">
        <f t="shared" si="232"/>
        <v>4942.5250000000015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33">+E406-E368</f>
        <v>-4.8000000515457941E-4</v>
      </c>
      <c r="F408" s="220">
        <f t="shared" si="233"/>
        <v>-1.0000016573030734E-5</v>
      </c>
      <c r="G408" s="221">
        <f t="shared" si="233"/>
        <v>1.8189894035458565E-11</v>
      </c>
      <c r="H408" s="221">
        <f t="shared" si="233"/>
        <v>-6.8212102632969618E-12</v>
      </c>
      <c r="I408" s="221">
        <f t="shared" si="233"/>
        <v>-1.4097167877480388E-11</v>
      </c>
      <c r="J408" s="221">
        <f t="shared" si="233"/>
        <v>0</v>
      </c>
      <c r="K408" s="221">
        <f t="shared" si="233"/>
        <v>2.0008883439004421E-11</v>
      </c>
      <c r="L408" s="221">
        <f t="shared" si="233"/>
        <v>7.2759576141834259E-12</v>
      </c>
      <c r="M408" s="221">
        <f t="shared" si="233"/>
        <v>0</v>
      </c>
      <c r="N408" s="221">
        <f t="shared" si="233"/>
        <v>-9.9999997837585397E-4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70" zoomScaleNormal="70" workbookViewId="0">
      <pane xSplit="4" ySplit="4" topLeftCell="AE5" activePane="bottomRight" state="frozen"/>
      <selection pane="topRight" activeCell="E1" sqref="E1"/>
      <selection pane="bottomLeft" activeCell="A5" sqref="A5"/>
      <selection pane="bottomRight" activeCell="G31" sqref="G3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2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/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652</v>
      </c>
      <c r="AD2" s="33" t="s">
        <v>10</v>
      </c>
      <c r="AE2" s="387" t="s">
        <v>653</v>
      </c>
      <c r="AF2" s="5" t="s">
        <v>56</v>
      </c>
      <c r="AG2" s="388" t="s">
        <v>169</v>
      </c>
    </row>
    <row r="3" spans="1:33" s="3" customFormat="1" x14ac:dyDescent="0.25">
      <c r="A3" s="2"/>
      <c r="B3" s="2"/>
      <c r="C3" s="2"/>
      <c r="D3" s="2"/>
      <c r="E3" s="408" t="s">
        <v>7</v>
      </c>
      <c r="F3" s="282" t="s">
        <v>183</v>
      </c>
      <c r="G3" s="282" t="s">
        <v>184</v>
      </c>
      <c r="H3" s="408" t="s">
        <v>173</v>
      </c>
      <c r="I3" s="409" t="s">
        <v>661</v>
      </c>
      <c r="J3" s="409" t="s">
        <v>662</v>
      </c>
      <c r="K3" s="10" t="s">
        <v>163</v>
      </c>
      <c r="L3" s="10" t="s">
        <v>651</v>
      </c>
      <c r="M3" s="10" t="s">
        <v>164</v>
      </c>
      <c r="N3" s="10" t="s">
        <v>663</v>
      </c>
      <c r="O3" s="10" t="s">
        <v>664</v>
      </c>
      <c r="P3" s="409" t="s">
        <v>665</v>
      </c>
      <c r="Q3" s="409" t="s">
        <v>666</v>
      </c>
      <c r="R3" s="409" t="s">
        <v>667</v>
      </c>
      <c r="S3" s="408" t="s">
        <v>668</v>
      </c>
      <c r="T3" s="1" t="s">
        <v>669</v>
      </c>
      <c r="U3" s="1" t="s">
        <v>670</v>
      </c>
      <c r="V3" s="408" t="s">
        <v>671</v>
      </c>
      <c r="W3" s="408" t="s">
        <v>672</v>
      </c>
      <c r="X3" s="397"/>
      <c r="Y3" s="408" t="s">
        <v>673</v>
      </c>
      <c r="Z3" s="408" t="s">
        <v>674</v>
      </c>
      <c r="AA3" s="411" t="s">
        <v>675</v>
      </c>
      <c r="AB3" s="41" t="s">
        <v>656</v>
      </c>
      <c r="AC3" s="409" t="s">
        <v>657</v>
      </c>
      <c r="AD3" s="33" t="s">
        <v>658</v>
      </c>
      <c r="AE3" s="409" t="s">
        <v>677</v>
      </c>
      <c r="AF3" s="409" t="s">
        <v>659</v>
      </c>
      <c r="AG3" s="410" t="s">
        <v>660</v>
      </c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/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408" t="s">
        <v>655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400"/>
      <c r="Y5" s="46"/>
      <c r="Z5" s="46"/>
      <c r="AA5" s="290"/>
      <c r="AB5" s="291">
        <f>Data!F208+Data!F209+Data!F211+Data!F80</f>
        <v>36908.817000000003</v>
      </c>
      <c r="AC5" s="48"/>
      <c r="AD5" s="47"/>
      <c r="AE5" s="48"/>
      <c r="AF5" s="43"/>
      <c r="AG5" s="49">
        <f>SUM(E5:AF5)</f>
        <v>36908.817000000003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15115.258000000002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41.220319999999987</v>
      </c>
      <c r="W6" s="44"/>
      <c r="X6" s="470"/>
      <c r="Y6" s="50"/>
      <c r="Z6" s="46"/>
      <c r="AA6" s="290"/>
      <c r="AB6" s="47"/>
      <c r="AC6" s="48"/>
      <c r="AD6" s="47"/>
      <c r="AE6" s="48"/>
      <c r="AF6" s="43"/>
      <c r="AG6" s="49">
        <f>SUM(E6:AF6)</f>
        <v>15156.478320000002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7943.3948599999967</v>
      </c>
      <c r="X7" s="400"/>
      <c r="Y7" s="50"/>
      <c r="Z7" s="46"/>
      <c r="AA7" s="290"/>
      <c r="AB7" s="47"/>
      <c r="AC7" s="48"/>
      <c r="AD7" s="294"/>
      <c r="AE7" s="48"/>
      <c r="AF7" s="43"/>
      <c r="AG7" s="51">
        <f>SUM(E7:AF7)</f>
        <v>7943.3948599999967</v>
      </c>
    </row>
    <row r="8" spans="1:33" s="9" customFormat="1" ht="25.5" x14ac:dyDescent="0.25">
      <c r="A8" s="422"/>
      <c r="B8" s="338"/>
      <c r="C8" s="408" t="s">
        <v>676</v>
      </c>
      <c r="D8" s="386" t="s">
        <v>206</v>
      </c>
      <c r="E8" s="43"/>
      <c r="F8" s="43"/>
      <c r="G8" s="43"/>
      <c r="H8" s="43"/>
      <c r="I8" s="293">
        <f>+H6</f>
        <v>15115.258000000002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00"/>
      <c r="Y8" s="46"/>
      <c r="Z8" s="52"/>
      <c r="AA8" s="290"/>
      <c r="AB8" s="47"/>
      <c r="AC8" s="48"/>
      <c r="AD8" s="47"/>
      <c r="AE8" s="48"/>
      <c r="AF8" s="43"/>
      <c r="AG8" s="49">
        <f>SUM(E8:AF8)</f>
        <v>15115.258000000002</v>
      </c>
    </row>
    <row r="9" spans="1:33" s="9" customFormat="1" x14ac:dyDescent="0.25">
      <c r="A9" s="386" t="s">
        <v>16</v>
      </c>
      <c r="B9" s="387" t="s">
        <v>2</v>
      </c>
      <c r="C9" s="409" t="s">
        <v>661</v>
      </c>
      <c r="D9" s="386" t="s">
        <v>21</v>
      </c>
      <c r="E9" s="293">
        <f>+Data!F214</f>
        <v>36908.817000000003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396"/>
      <c r="Y9" s="53"/>
      <c r="Z9" s="53"/>
      <c r="AA9" s="290"/>
      <c r="AB9" s="47"/>
      <c r="AC9" s="48"/>
      <c r="AD9" s="47"/>
      <c r="AE9" s="48"/>
      <c r="AF9" s="43"/>
      <c r="AG9" s="49">
        <f>SUM(E9:AF9)</f>
        <v>36908.817000000003</v>
      </c>
    </row>
    <row r="10" spans="1:33" s="9" customFormat="1" x14ac:dyDescent="0.25">
      <c r="A10" s="384" t="s">
        <v>143</v>
      </c>
      <c r="B10" s="385" t="s">
        <v>3</v>
      </c>
      <c r="C10" s="409" t="s">
        <v>662</v>
      </c>
      <c r="D10" s="386" t="s">
        <v>145</v>
      </c>
      <c r="E10" s="53"/>
      <c r="F10" s="53"/>
      <c r="G10" s="53"/>
      <c r="H10" s="55"/>
      <c r="I10" s="404">
        <f>E9-SUM(I8:I8)-I23</f>
        <v>16629.627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396"/>
      <c r="Y10" s="53"/>
      <c r="Z10" s="53"/>
      <c r="AA10" s="290"/>
      <c r="AB10" s="47"/>
      <c r="AC10" s="48"/>
      <c r="AD10" s="47"/>
      <c r="AE10" s="48"/>
      <c r="AF10" s="43"/>
      <c r="AG10" s="49">
        <f>SUM(E10:AF10)</f>
        <v>16629.627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11887.299000000001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396"/>
      <c r="Y11" s="43"/>
      <c r="Z11" s="43"/>
      <c r="AA11" s="290"/>
      <c r="AB11" s="47"/>
      <c r="AC11" s="48"/>
      <c r="AD11" s="47"/>
      <c r="AE11" s="48"/>
      <c r="AF11" s="43"/>
      <c r="AG11" s="49">
        <f>SUM(E11:AF11)</f>
        <v>11887.299000000001</v>
      </c>
    </row>
    <row r="12" spans="1:33" s="9" customFormat="1" ht="25.5" x14ac:dyDescent="0.25">
      <c r="A12" s="426"/>
      <c r="B12" s="429"/>
      <c r="C12" s="10" t="s">
        <v>651</v>
      </c>
      <c r="D12" s="386" t="s">
        <v>146</v>
      </c>
      <c r="E12" s="43"/>
      <c r="F12" s="43"/>
      <c r="G12" s="43"/>
      <c r="H12" s="55"/>
      <c r="I12" s="56"/>
      <c r="J12" s="296">
        <f>-Data!F246</f>
        <v>3610.0169999999998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396"/>
      <c r="Y12" s="43"/>
      <c r="Z12" s="43"/>
      <c r="AA12" s="290"/>
      <c r="AB12" s="47"/>
      <c r="AC12" s="48"/>
      <c r="AD12" s="47"/>
      <c r="AE12" s="48"/>
      <c r="AF12" s="43"/>
      <c r="AG12" s="49">
        <f>SUM(E12:AF12)</f>
        <v>3610.0169999999998</v>
      </c>
    </row>
    <row r="13" spans="1:33" s="9" customFormat="1" x14ac:dyDescent="0.25">
      <c r="A13" s="426"/>
      <c r="B13" s="429"/>
      <c r="C13" s="10" t="s">
        <v>164</v>
      </c>
      <c r="D13" s="386" t="s">
        <v>23</v>
      </c>
      <c r="E13" s="43"/>
      <c r="F13" s="43"/>
      <c r="G13" s="43"/>
      <c r="H13" s="55"/>
      <c r="I13" s="56"/>
      <c r="J13" s="289">
        <f>-Data!F247</f>
        <v>104.818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396"/>
      <c r="Y13" s="43"/>
      <c r="Z13" s="43"/>
      <c r="AA13" s="290"/>
      <c r="AB13" s="47"/>
      <c r="AC13" s="48"/>
      <c r="AD13" s="47"/>
      <c r="AE13" s="48"/>
      <c r="AF13" s="43"/>
      <c r="AG13" s="49">
        <f>SUM(E13:AF13)</f>
        <v>104.818</v>
      </c>
    </row>
    <row r="14" spans="1:33" s="9" customFormat="1" x14ac:dyDescent="0.25">
      <c r="A14" s="426"/>
      <c r="B14" s="10" t="s">
        <v>166</v>
      </c>
      <c r="C14" s="10" t="s">
        <v>663</v>
      </c>
      <c r="D14" s="386" t="s">
        <v>147</v>
      </c>
      <c r="E14" s="43"/>
      <c r="F14" s="43"/>
      <c r="G14" s="43"/>
      <c r="H14" s="43"/>
      <c r="I14" s="56"/>
      <c r="J14" s="289">
        <f>-Data!F248</f>
        <v>534.49900000000002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96"/>
      <c r="Y14" s="43"/>
      <c r="Z14" s="43"/>
      <c r="AA14" s="290"/>
      <c r="AB14" s="47"/>
      <c r="AC14" s="48"/>
      <c r="AD14" s="47"/>
      <c r="AE14" s="48"/>
      <c r="AF14" s="43"/>
      <c r="AG14" s="49">
        <f>SUM(E14:AF14)</f>
        <v>534.49900000000002</v>
      </c>
    </row>
    <row r="15" spans="1:33" s="9" customFormat="1" x14ac:dyDescent="0.25">
      <c r="A15" s="427"/>
      <c r="B15" s="10" t="s">
        <v>167</v>
      </c>
      <c r="C15" s="10" t="s">
        <v>664</v>
      </c>
      <c r="D15" s="4" t="s">
        <v>148</v>
      </c>
      <c r="E15" s="43"/>
      <c r="F15" s="43"/>
      <c r="G15" s="43"/>
      <c r="H15" s="43"/>
      <c r="I15" s="56"/>
      <c r="J15" s="404">
        <f>I10-SUM(J11:J14)</f>
        <v>492.9940000000006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96"/>
      <c r="Y15" s="43"/>
      <c r="Z15" s="43"/>
      <c r="AA15" s="290"/>
      <c r="AB15" s="47"/>
      <c r="AC15" s="48"/>
      <c r="AD15" s="47"/>
      <c r="AE15" s="48"/>
      <c r="AF15" s="43"/>
      <c r="AG15" s="49">
        <f>SUM(E15:AF15)</f>
        <v>492.9940000000006</v>
      </c>
    </row>
    <row r="16" spans="1:33" s="9" customFormat="1" ht="25.5" x14ac:dyDescent="0.25">
      <c r="A16" s="386" t="s">
        <v>151</v>
      </c>
      <c r="B16" s="387" t="s">
        <v>58</v>
      </c>
      <c r="C16" s="409" t="s">
        <v>665</v>
      </c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404">
        <f>+J15</f>
        <v>492.9940000000006</v>
      </c>
      <c r="P16" s="43"/>
      <c r="Q16" s="43"/>
      <c r="R16" s="43"/>
      <c r="S16" s="43"/>
      <c r="T16" s="43"/>
      <c r="U16" s="43"/>
      <c r="V16" s="43"/>
      <c r="W16" s="43"/>
      <c r="X16" s="396"/>
      <c r="Y16" s="43"/>
      <c r="Z16" s="43"/>
      <c r="AA16" s="290"/>
      <c r="AB16" s="291">
        <f>+Data!F253+Data!F254+Data!F255+Data!F81</f>
        <v>157.97200000000001</v>
      </c>
      <c r="AC16" s="297"/>
      <c r="AD16" s="47"/>
      <c r="AE16" s="48"/>
      <c r="AF16" s="43"/>
      <c r="AG16" s="49">
        <f>SUM(E16:AF16)</f>
        <v>650.96600000000058</v>
      </c>
    </row>
    <row r="17" spans="1:35" s="9" customFormat="1" ht="25.5" x14ac:dyDescent="0.25">
      <c r="A17" s="386" t="s">
        <v>152</v>
      </c>
      <c r="B17" s="387" t="s">
        <v>59</v>
      </c>
      <c r="C17" s="409" t="s">
        <v>666</v>
      </c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404">
        <f>O16+SUM(AB16:AE16)-SUM(P28:P29)</f>
        <v>596.11800000000062</v>
      </c>
      <c r="Q17" s="43"/>
      <c r="R17" s="43"/>
      <c r="S17" s="43"/>
      <c r="T17" s="43"/>
      <c r="U17" s="43"/>
      <c r="V17" s="43"/>
      <c r="W17" s="43"/>
      <c r="X17" s="396"/>
      <c r="Y17" s="43"/>
      <c r="Z17" s="43"/>
      <c r="AA17" s="290"/>
      <c r="AB17" s="298"/>
      <c r="AC17" s="292"/>
      <c r="AD17" s="47"/>
      <c r="AE17" s="48"/>
      <c r="AF17" s="43"/>
      <c r="AG17" s="49">
        <f>SUM(E17:AF17)</f>
        <v>596.11800000000062</v>
      </c>
    </row>
    <row r="18" spans="1:35" s="9" customFormat="1" ht="25.5" x14ac:dyDescent="0.25">
      <c r="A18" s="279" t="s">
        <v>153</v>
      </c>
      <c r="B18" s="387" t="s">
        <v>45</v>
      </c>
      <c r="C18" s="409" t="s">
        <v>667</v>
      </c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404">
        <f>P17+SUM(AB17:AC17)-SUM(Q28:Q29)</f>
        <v>2413.8880000000008</v>
      </c>
      <c r="R18" s="43"/>
      <c r="S18" s="43"/>
      <c r="T18" s="43"/>
      <c r="U18" s="43"/>
      <c r="V18" s="43"/>
      <c r="W18" s="43"/>
      <c r="X18" s="396"/>
      <c r="Y18" s="43"/>
      <c r="Z18" s="43"/>
      <c r="AA18" s="290"/>
      <c r="AB18" s="47"/>
      <c r="AC18" s="44"/>
      <c r="AD18" s="299">
        <f>+Data!F277</f>
        <v>-1.3999998827785021E-4</v>
      </c>
      <c r="AE18" s="300"/>
      <c r="AF18" s="59"/>
      <c r="AG18" s="49">
        <f>SUM(E18:AF18)</f>
        <v>2413.8878600000126</v>
      </c>
    </row>
    <row r="19" spans="1:35" s="9" customFormat="1" x14ac:dyDescent="0.25">
      <c r="A19" s="430" t="s">
        <v>154</v>
      </c>
      <c r="B19" s="386" t="s">
        <v>8</v>
      </c>
      <c r="C19" s="408" t="s">
        <v>668</v>
      </c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404">
        <f>Q18+SUM(AD18:AE18)-SUM(R28:R28)-SUM(R30:R31)</f>
        <v>2413.8878600000126</v>
      </c>
      <c r="S19" s="43"/>
      <c r="T19" s="43"/>
      <c r="U19" s="43"/>
      <c r="V19" s="43"/>
      <c r="W19" s="43"/>
      <c r="X19" s="396"/>
      <c r="Y19" s="43"/>
      <c r="Z19" s="43"/>
      <c r="AA19" s="301"/>
      <c r="AB19" s="47"/>
      <c r="AC19" s="48"/>
      <c r="AD19" s="294"/>
      <c r="AE19" s="293">
        <f>+Data!F283</f>
        <v>107.151</v>
      </c>
      <c r="AF19" s="48"/>
      <c r="AG19" s="49">
        <f>SUM(E19:AF19)</f>
        <v>2521.0388600000124</v>
      </c>
    </row>
    <row r="20" spans="1:35" s="9" customFormat="1" ht="12.75" customHeight="1" x14ac:dyDescent="0.25">
      <c r="A20" s="419"/>
      <c r="B20" s="1" t="s">
        <v>50</v>
      </c>
      <c r="C20" s="1" t="s">
        <v>669</v>
      </c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404">
        <f>R19+SUM(AD19:AE19)-SUM(S29:S32)</f>
        <v>2521.0388600000124</v>
      </c>
      <c r="T20" s="48"/>
      <c r="U20" s="43"/>
      <c r="V20" s="43"/>
      <c r="W20" s="43"/>
      <c r="X20" s="396"/>
      <c r="Y20" s="43"/>
      <c r="Z20" s="48"/>
      <c r="AA20" s="302"/>
      <c r="AB20" s="291">
        <f>+Data!F308</f>
        <v>-6.9000000000000006E-2</v>
      </c>
      <c r="AC20" s="48"/>
      <c r="AD20" s="303">
        <f>+Data!F299+Data!F300+Data!F301+Data!F302+Data!F307+Data!F310+Data!F311+Data!F312+Data!F313+Data!F314</f>
        <v>-186.12799999999999</v>
      </c>
      <c r="AE20" s="304">
        <f>+Data!F303</f>
        <v>0</v>
      </c>
      <c r="AF20" s="63"/>
      <c r="AG20" s="49">
        <f>SUM(E20:AF20)</f>
        <v>2334.8418600000123</v>
      </c>
    </row>
    <row r="21" spans="1:35" s="9" customFormat="1" ht="12.75" customHeight="1" x14ac:dyDescent="0.25">
      <c r="A21" s="431"/>
      <c r="B21" s="1" t="s">
        <v>46</v>
      </c>
      <c r="C21" s="1" t="s">
        <v>670</v>
      </c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404">
        <f>S20+SUM(V20:AE20)-SUM(T22:T31)</f>
        <v>2329.9228600000124</v>
      </c>
      <c r="U21" s="43"/>
      <c r="V21" s="43"/>
      <c r="W21" s="43"/>
      <c r="X21" s="396"/>
      <c r="Y21" s="43"/>
      <c r="Z21" s="43"/>
      <c r="AA21" s="301"/>
      <c r="AB21" s="47"/>
      <c r="AC21" s="48"/>
      <c r="AD21" s="60"/>
      <c r="AE21" s="60"/>
      <c r="AF21" s="63"/>
      <c r="AG21" s="49">
        <f>SUM(E21:AF21)</f>
        <v>2329.9228600000124</v>
      </c>
    </row>
    <row r="22" spans="1:35" s="9" customFormat="1" ht="12.75" customHeight="1" x14ac:dyDescent="0.25">
      <c r="A22" s="415" t="s">
        <v>155</v>
      </c>
      <c r="B22" s="1" t="s">
        <v>4</v>
      </c>
      <c r="C22" s="408" t="s">
        <v>671</v>
      </c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404">
        <f>SUM(V6:V8)</f>
        <v>41.220319999999987</v>
      </c>
      <c r="V22" s="43"/>
      <c r="W22" s="43"/>
      <c r="X22" s="396"/>
      <c r="Y22" s="43"/>
      <c r="Z22" s="43"/>
      <c r="AA22" s="301"/>
      <c r="AB22" s="54"/>
      <c r="AC22" s="53"/>
      <c r="AD22" s="63"/>
      <c r="AE22" s="63"/>
      <c r="AF22" s="63"/>
      <c r="AG22" s="49">
        <f>SUM(E22:AF22)</f>
        <v>41.220319999999987</v>
      </c>
    </row>
    <row r="23" spans="1:35" s="9" customFormat="1" ht="25.5" x14ac:dyDescent="0.25">
      <c r="A23" s="416"/>
      <c r="B23" s="1" t="s">
        <v>52</v>
      </c>
      <c r="C23" s="408" t="s">
        <v>672</v>
      </c>
      <c r="D23" s="281" t="s">
        <v>207</v>
      </c>
      <c r="E23" s="43"/>
      <c r="F23" s="43"/>
      <c r="G23" s="43"/>
      <c r="H23" s="43"/>
      <c r="I23" s="293">
        <f>-Data!F235</f>
        <v>5163.9319999999998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404">
        <f>W5+W7-I23</f>
        <v>2779.4628599999969</v>
      </c>
      <c r="V23" s="43"/>
      <c r="W23" s="43"/>
      <c r="X23" s="396"/>
      <c r="Y23" s="43"/>
      <c r="Z23" s="43"/>
      <c r="AA23" s="290"/>
      <c r="AB23" s="54"/>
      <c r="AC23" s="43"/>
      <c r="AD23" s="54"/>
      <c r="AE23" s="43"/>
      <c r="AF23" s="43"/>
      <c r="AG23" s="49">
        <f>SUM(E23:AF23)</f>
        <v>7943.3948599999967</v>
      </c>
    </row>
    <row r="24" spans="1:35" s="9" customFormat="1" x14ac:dyDescent="0.25">
      <c r="A24" s="416"/>
      <c r="B24" s="397"/>
      <c r="C24" s="397"/>
      <c r="D24" s="398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  <c r="V24" s="396"/>
      <c r="W24" s="396"/>
      <c r="X24" s="396"/>
      <c r="Y24" s="396"/>
      <c r="Z24" s="396"/>
      <c r="AA24" s="467"/>
      <c r="AB24" s="468"/>
      <c r="AC24" s="396"/>
      <c r="AD24" s="468"/>
      <c r="AE24" s="396"/>
      <c r="AF24" s="396"/>
      <c r="AG24" s="399"/>
      <c r="AH24" s="469"/>
    </row>
    <row r="25" spans="1:35" s="9" customFormat="1" ht="25.5" x14ac:dyDescent="0.25">
      <c r="A25" s="417"/>
      <c r="B25" s="1" t="s">
        <v>168</v>
      </c>
      <c r="C25" s="408" t="s">
        <v>673</v>
      </c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404">
        <f>+T21-U22-U23-U24</f>
        <v>-490.7603199999844</v>
      </c>
      <c r="V25" s="43"/>
      <c r="W25" s="43"/>
      <c r="X25" s="396"/>
      <c r="Y25" s="48"/>
      <c r="Z25" s="293">
        <f>Data!F403</f>
        <v>2846.2782499999998</v>
      </c>
      <c r="AA25" s="305">
        <f>Data!F395</f>
        <v>451.0293300000003</v>
      </c>
      <c r="AB25" s="54"/>
      <c r="AC25" s="43"/>
      <c r="AD25" s="54"/>
      <c r="AE25" s="43"/>
      <c r="AF25" s="43"/>
      <c r="AG25" s="49">
        <f>SUM(E25:AF25)</f>
        <v>2806.5472600000157</v>
      </c>
    </row>
    <row r="26" spans="1:35" s="9" customFormat="1" x14ac:dyDescent="0.25">
      <c r="A26" s="420" t="s">
        <v>156</v>
      </c>
      <c r="B26" s="386" t="s">
        <v>5</v>
      </c>
      <c r="C26" s="408" t="s">
        <v>674</v>
      </c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396"/>
      <c r="Y26" s="293">
        <f>Data!F384</f>
        <v>2629.5508399999985</v>
      </c>
      <c r="Z26" s="58"/>
      <c r="AA26" s="306"/>
      <c r="AB26" s="54"/>
      <c r="AC26" s="43"/>
      <c r="AD26" s="54"/>
      <c r="AE26" s="43"/>
      <c r="AF26" s="43"/>
      <c r="AG26" s="49">
        <f>SUM(E26:AF26)</f>
        <v>2629.5508399999985</v>
      </c>
    </row>
    <row r="27" spans="1:35" s="9" customFormat="1" ht="13.5" thickBot="1" x14ac:dyDescent="0.3">
      <c r="A27" s="421"/>
      <c r="B27" s="38" t="s">
        <v>53</v>
      </c>
      <c r="C27" s="411" t="s">
        <v>675</v>
      </c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471"/>
      <c r="Y27" s="310">
        <f>Data!F378</f>
        <v>176.99640999999951</v>
      </c>
      <c r="Z27" s="308"/>
      <c r="AA27" s="311"/>
      <c r="AB27" s="312"/>
      <c r="AC27" s="313"/>
      <c r="AD27" s="54"/>
      <c r="AE27" s="43"/>
      <c r="AF27" s="43"/>
      <c r="AG27" s="49">
        <f>SUM(E27:AF27)</f>
        <v>176.99640999999951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41" t="s">
        <v>656</v>
      </c>
      <c r="D28" s="282" t="s">
        <v>409</v>
      </c>
      <c r="E28" s="51"/>
      <c r="F28" s="314">
        <f>-(Data!F230+Data!F82)</f>
        <v>15156.478320000002</v>
      </c>
      <c r="G28" s="64"/>
      <c r="H28" s="64"/>
      <c r="I28" s="65"/>
      <c r="J28" s="65"/>
      <c r="K28" s="315">
        <f>-Data!F245</f>
        <v>11887.299000000001</v>
      </c>
      <c r="L28" s="64"/>
      <c r="M28" s="315">
        <f>-Data!F247</f>
        <v>104.818</v>
      </c>
      <c r="N28" s="64"/>
      <c r="O28" s="64"/>
      <c r="P28" s="316">
        <f>-(Data!F256+Data!F83)</f>
        <v>54.847999999999999</v>
      </c>
      <c r="Q28" s="314">
        <f>-(Data!F261)</f>
        <v>4.1779999999999999</v>
      </c>
      <c r="R28" s="314">
        <f>-Data!F267</f>
        <v>0</v>
      </c>
      <c r="S28" s="64"/>
      <c r="T28" s="314">
        <f>-Data!F306</f>
        <v>4.9189999999999996</v>
      </c>
      <c r="U28" s="64"/>
      <c r="V28" s="51"/>
      <c r="W28" s="64"/>
      <c r="X28" s="472"/>
      <c r="Y28" s="64"/>
      <c r="Z28" s="51"/>
      <c r="AA28" s="64"/>
      <c r="AB28" s="62"/>
      <c r="AC28" s="48"/>
      <c r="AD28" s="48"/>
      <c r="AE28" s="48"/>
      <c r="AF28" s="405">
        <f>+SUM(AB5:AB27)-SUM(E28:AA28)</f>
        <v>9854.1796799999975</v>
      </c>
      <c r="AG28" s="49">
        <f>SUM(E28:AF28)</f>
        <v>37066.720000000001</v>
      </c>
    </row>
    <row r="29" spans="1:35" s="9" customFormat="1" ht="27" customHeight="1" x14ac:dyDescent="0.25">
      <c r="A29" s="336" t="s">
        <v>158</v>
      </c>
      <c r="B29" s="387" t="s">
        <v>652</v>
      </c>
      <c r="C29" s="409" t="s">
        <v>657</v>
      </c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3610.0169999999998</v>
      </c>
      <c r="M29" s="44"/>
      <c r="N29" s="293">
        <f>-Data!F248</f>
        <v>534.49900000000002</v>
      </c>
      <c r="O29" s="48"/>
      <c r="P29" s="320">
        <f>(Data!F81+Data!F83)</f>
        <v>0</v>
      </c>
      <c r="Q29" s="321">
        <f>-Data!F262</f>
        <v>-1821.9480000000001</v>
      </c>
      <c r="R29" s="58"/>
      <c r="S29" s="48"/>
      <c r="T29" s="48"/>
      <c r="U29" s="48"/>
      <c r="V29" s="48"/>
      <c r="W29" s="48"/>
      <c r="X29" s="396"/>
      <c r="Y29" s="48"/>
      <c r="Z29" s="48"/>
      <c r="AA29" s="61"/>
      <c r="AB29" s="47"/>
      <c r="AC29" s="62"/>
      <c r="AD29" s="48"/>
      <c r="AE29" s="48"/>
      <c r="AF29" s="404">
        <f>SUM(AC5:AC27)-SUM(E29:AA29)</f>
        <v>-2322.5679999999993</v>
      </c>
      <c r="AG29" s="49">
        <f>SUM(E29:AF29)</f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3" t="s">
        <v>658</v>
      </c>
      <c r="D30" s="386" t="s">
        <v>150</v>
      </c>
      <c r="E30" s="48"/>
      <c r="F30" s="48"/>
      <c r="G30" s="322">
        <f>Data!F351+Data!F356</f>
        <v>7943.3948599999967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396"/>
      <c r="Y30" s="48"/>
      <c r="Z30" s="60"/>
      <c r="AA30" s="60"/>
      <c r="AB30" s="47"/>
      <c r="AC30" s="48"/>
      <c r="AD30" s="48"/>
      <c r="AE30" s="48"/>
      <c r="AF30" s="404">
        <f>SUM(AD5:AD27)-SUM(E30:AA30)</f>
        <v>-8129.5229999999847</v>
      </c>
      <c r="AG30" s="49">
        <f>SUM(E30:AF30)</f>
        <v>-186.12813999998798</v>
      </c>
    </row>
    <row r="31" spans="1:35" s="9" customFormat="1" ht="12.75" customHeight="1" x14ac:dyDescent="0.25">
      <c r="A31" s="336" t="s">
        <v>160</v>
      </c>
      <c r="B31" s="387" t="s">
        <v>653</v>
      </c>
      <c r="C31" s="409" t="s">
        <v>677</v>
      </c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396"/>
      <c r="Y31" s="48"/>
      <c r="Z31" s="60"/>
      <c r="AA31" s="60"/>
      <c r="AB31" s="47"/>
      <c r="AC31" s="48"/>
      <c r="AD31" s="48"/>
      <c r="AE31" s="48"/>
      <c r="AF31" s="404">
        <f>SUM(AE5:AE27)-SUM(E31:AA31)</f>
        <v>107.151</v>
      </c>
      <c r="AG31" s="49">
        <f>SUM(E31:AF31)</f>
        <v>107.151</v>
      </c>
    </row>
    <row r="32" spans="1:35" s="9" customFormat="1" x14ac:dyDescent="0.25">
      <c r="A32" s="386" t="s">
        <v>161</v>
      </c>
      <c r="B32" s="5" t="s">
        <v>56</v>
      </c>
      <c r="C32" s="409" t="s">
        <v>659</v>
      </c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396"/>
      <c r="Y32" s="43"/>
      <c r="Z32" s="406">
        <f>+Y26-Z25</f>
        <v>-216.72741000000133</v>
      </c>
      <c r="AA32" s="405">
        <f>+Y27-AA25</f>
        <v>-274.03292000000079</v>
      </c>
      <c r="AB32" s="66"/>
      <c r="AC32" s="43"/>
      <c r="AD32" s="43"/>
      <c r="AE32" s="43"/>
      <c r="AF32" s="43"/>
      <c r="AG32" s="43">
        <f>SUM(E32:AE32)</f>
        <v>-490.76033000000211</v>
      </c>
    </row>
    <row r="33" spans="1:33" s="9" customFormat="1" x14ac:dyDescent="0.25">
      <c r="A33" s="1" t="s">
        <v>162</v>
      </c>
      <c r="B33" s="388" t="s">
        <v>169</v>
      </c>
      <c r="C33" s="410" t="s">
        <v>660</v>
      </c>
      <c r="D33" s="388" t="s">
        <v>40</v>
      </c>
      <c r="E33" s="68">
        <f t="shared" ref="E33:X33" si="0">SUM(E5:E31)</f>
        <v>36908.817000000003</v>
      </c>
      <c r="F33" s="46">
        <f t="shared" si="0"/>
        <v>15156.478320000002</v>
      </c>
      <c r="G33" s="46">
        <f t="shared" si="0"/>
        <v>7943.3948599999967</v>
      </c>
      <c r="H33" s="68">
        <f t="shared" si="0"/>
        <v>15115.258000000002</v>
      </c>
      <c r="I33" s="68">
        <f t="shared" si="0"/>
        <v>36908.817000000003</v>
      </c>
      <c r="J33" s="68">
        <f t="shared" si="0"/>
        <v>16629.627</v>
      </c>
      <c r="K33" s="68">
        <f t="shared" si="0"/>
        <v>11887.299000000001</v>
      </c>
      <c r="L33" s="68">
        <f t="shared" si="0"/>
        <v>3610.0169999999998</v>
      </c>
      <c r="M33" s="68">
        <f t="shared" si="0"/>
        <v>104.818</v>
      </c>
      <c r="N33" s="68">
        <f t="shared" si="0"/>
        <v>534.49900000000002</v>
      </c>
      <c r="O33" s="68">
        <f t="shared" si="0"/>
        <v>492.9940000000006</v>
      </c>
      <c r="P33" s="68">
        <f t="shared" si="0"/>
        <v>650.96600000000058</v>
      </c>
      <c r="Q33" s="68">
        <f t="shared" si="0"/>
        <v>596.11800000000062</v>
      </c>
      <c r="R33" s="68">
        <f t="shared" si="0"/>
        <v>2413.8878600000126</v>
      </c>
      <c r="S33" s="68">
        <f t="shared" si="0"/>
        <v>2521.0388600000124</v>
      </c>
      <c r="T33" s="68">
        <f t="shared" si="0"/>
        <v>2334.8418600000123</v>
      </c>
      <c r="U33" s="68">
        <f t="shared" si="0"/>
        <v>2329.9228600000124</v>
      </c>
      <c r="V33" s="68">
        <f t="shared" si="0"/>
        <v>41.220319999999987</v>
      </c>
      <c r="W33" s="68">
        <f t="shared" si="0"/>
        <v>7943.3948599999967</v>
      </c>
      <c r="X33" s="400"/>
      <c r="Y33" s="68">
        <f>SUM(Y5:Y31)</f>
        <v>2806.5472499999978</v>
      </c>
      <c r="Z33" s="69">
        <f t="shared" ref="Z33:AF33" si="1">SUM(Z5:Z32)</f>
        <v>2629.5508399999985</v>
      </c>
      <c r="AA33" s="69">
        <f t="shared" si="1"/>
        <v>176.99640999999951</v>
      </c>
      <c r="AB33" s="69">
        <f t="shared" si="1"/>
        <v>37066.720000000001</v>
      </c>
      <c r="AC33" s="69">
        <f t="shared" si="1"/>
        <v>0</v>
      </c>
      <c r="AD33" s="69">
        <f t="shared" si="1"/>
        <v>-186.12813999998826</v>
      </c>
      <c r="AE33" s="69">
        <f t="shared" si="1"/>
        <v>107.151</v>
      </c>
      <c r="AF33" s="69">
        <f t="shared" si="1"/>
        <v>-490.76031999998651</v>
      </c>
      <c r="AG33" s="43">
        <f>SUM(E33:AE33)</f>
        <v>206724.24716000012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473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C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474"/>
      <c r="Y35" s="16">
        <f>Y33-AG25</f>
        <v>-1.0000017937272787E-5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-2.8421709430404007E-13</v>
      </c>
      <c r="AE35" s="16">
        <f>AE33-AG31</f>
        <v>0</v>
      </c>
      <c r="AF35" s="16">
        <f>AF33-AG32</f>
        <v>1.0000015606692614E-5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465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32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465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466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41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466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41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41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41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41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Normal="100" workbookViewId="0">
      <pane xSplit="4" ySplit="4" topLeftCell="P14" activePane="bottomRight" state="frozen"/>
      <selection pane="topRight" activeCell="E1" sqref="E1"/>
      <selection pane="bottomLeft" activeCell="A5" sqref="A5"/>
      <selection pane="bottomRight" activeCell="AB16" sqref="AB16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53" t="s">
        <v>192</v>
      </c>
      <c r="F1" s="455"/>
      <c r="G1" s="455"/>
      <c r="H1" s="456"/>
      <c r="I1" s="81" t="s">
        <v>16</v>
      </c>
      <c r="J1" s="85" t="s">
        <v>197</v>
      </c>
      <c r="K1" s="457" t="s">
        <v>144</v>
      </c>
      <c r="L1" s="458"/>
      <c r="M1" s="458"/>
      <c r="N1" s="458"/>
      <c r="O1" s="459"/>
      <c r="P1" s="81" t="s">
        <v>151</v>
      </c>
      <c r="Q1" s="81" t="s">
        <v>152</v>
      </c>
      <c r="R1" s="78" t="s">
        <v>153</v>
      </c>
      <c r="S1" s="460" t="s">
        <v>154</v>
      </c>
      <c r="T1" s="461"/>
      <c r="U1" s="462"/>
      <c r="V1" s="440" t="s">
        <v>155</v>
      </c>
      <c r="W1" s="441"/>
      <c r="X1" s="441"/>
      <c r="Y1" s="442"/>
      <c r="Z1" s="453" t="s">
        <v>156</v>
      </c>
      <c r="AA1" s="454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63" t="s">
        <v>1</v>
      </c>
      <c r="G2" s="464"/>
      <c r="H2" s="392"/>
      <c r="I2" s="76" t="s">
        <v>2</v>
      </c>
      <c r="J2" s="71" t="s">
        <v>3</v>
      </c>
      <c r="K2" s="444" t="s">
        <v>57</v>
      </c>
      <c r="L2" s="445"/>
      <c r="M2" s="446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168</v>
      </c>
      <c r="Y2" s="70" t="s">
        <v>650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651</v>
      </c>
      <c r="M3" s="72" t="s">
        <v>164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649</v>
      </c>
      <c r="AC4" s="147" t="s">
        <v>39</v>
      </c>
      <c r="AD4" s="147" t="s">
        <v>648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7" t="s">
        <v>192</v>
      </c>
      <c r="B5" s="393" t="s">
        <v>0</v>
      </c>
      <c r="C5" s="81" t="s">
        <v>655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7"/>
      <c r="B6" s="448" t="s">
        <v>1</v>
      </c>
      <c r="C6" s="88" t="s">
        <v>183</v>
      </c>
      <c r="D6" s="146" t="s">
        <v>185</v>
      </c>
      <c r="E6" s="81"/>
      <c r="F6" s="96"/>
      <c r="G6" s="96"/>
      <c r="H6" s="79" t="s">
        <v>654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7"/>
      <c r="B7" s="449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7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654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0" t="s">
        <v>144</v>
      </c>
      <c r="B11" s="451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644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0"/>
      <c r="B12" s="452"/>
      <c r="C12" s="72" t="s">
        <v>651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0"/>
      <c r="B13" s="452"/>
      <c r="C13" s="72" t="s">
        <v>164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0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0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39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39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39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3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3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3"/>
      <c r="B24" s="401" t="s">
        <v>168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645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646</v>
      </c>
      <c r="AG24" s="96"/>
    </row>
    <row r="25" spans="1:33" s="94" customFormat="1" ht="38.25" x14ac:dyDescent="0.25">
      <c r="A25" s="443"/>
      <c r="B25" s="70" t="s">
        <v>650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7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38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648</v>
      </c>
      <c r="E28" s="108"/>
      <c r="F28" s="134" t="s">
        <v>647</v>
      </c>
      <c r="G28" s="134"/>
      <c r="H28" s="135"/>
      <c r="I28" s="136"/>
      <c r="J28" s="136"/>
      <c r="K28" s="134" t="s">
        <v>644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158</v>
      </c>
      <c r="B29" s="76" t="s">
        <v>652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648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653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Z1:AA1"/>
    <mergeCell ref="E1:H1"/>
    <mergeCell ref="K1:O1"/>
    <mergeCell ref="S1:U1"/>
    <mergeCell ref="F2:G2"/>
    <mergeCell ref="A26:A27"/>
    <mergeCell ref="A19:A21"/>
    <mergeCell ref="V1:Y1"/>
    <mergeCell ref="A22:A25"/>
    <mergeCell ref="K2:M2"/>
    <mergeCell ref="A5:A8"/>
    <mergeCell ref="B6:B7"/>
    <mergeCell ref="A11:A15"/>
    <mergeCell ref="B11:B13"/>
  </mergeCells>
  <pageMargins left="0.25" right="0.25" top="0.75" bottom="0.75" header="0.3" footer="0.3"/>
  <pageSetup paperSize="9" scale="61" fitToWidth="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4.0927261579781771E-12</v>
      </c>
      <c r="C6" s="379">
        <f>+Data!E150</f>
        <v>2.9558577807620168E-12</v>
      </c>
      <c r="D6" s="379">
        <f>+Data!F150</f>
        <v>4.5474735088646412E-12</v>
      </c>
      <c r="E6" s="379">
        <f>+Data!G150</f>
        <v>-5.9117155615240335E-12</v>
      </c>
      <c r="F6" s="379">
        <f>+Data!H150</f>
        <v>2.9558577807620168E-12</v>
      </c>
      <c r="G6" s="379">
        <f>+Data!I150</f>
        <v>-5.4569682106375694E-12</v>
      </c>
      <c r="H6" s="379">
        <f>+Data!J150</f>
        <v>-9.7770680440589786E-12</v>
      </c>
      <c r="I6" s="379">
        <f>+Data!K150</f>
        <v>-1.1368683772161603E-11</v>
      </c>
      <c r="J6" s="379">
        <f>+Data!L150</f>
        <v>0</v>
      </c>
      <c r="K6" s="379">
        <f>+Data!M150</f>
        <v>-2.0008883439004421E-11</v>
      </c>
      <c r="L6" s="379">
        <f>+Data!N150</f>
        <v>-6.1390892369672656E-12</v>
      </c>
    </row>
    <row r="7" spans="1:29" ht="25.5" x14ac:dyDescent="0.2">
      <c r="A7" s="382" t="s">
        <v>617</v>
      </c>
      <c r="C7" s="380">
        <f>+Data!E180</f>
        <v>4.799999999818283E-4</v>
      </c>
      <c r="D7" s="380">
        <f>+Data!F180</f>
        <v>1.0000000003174137E-5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1.0000000001184617E-3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-4.8000000515457941E-4</v>
      </c>
      <c r="D10" s="380">
        <f>+Data!F408</f>
        <v>-1.0000016573030734E-5</v>
      </c>
      <c r="E10" s="380">
        <f>+Data!G408</f>
        <v>1.8189894035458565E-11</v>
      </c>
      <c r="F10" s="380">
        <f>+Data!H408</f>
        <v>-6.8212102632969618E-12</v>
      </c>
      <c r="G10" s="380">
        <f>+Data!I408</f>
        <v>-1.4097167877480388E-11</v>
      </c>
      <c r="H10" s="380">
        <f>+Data!J408</f>
        <v>0</v>
      </c>
      <c r="I10" s="380">
        <f>+Data!K408</f>
        <v>2.0008883439004421E-11</v>
      </c>
      <c r="J10" s="380">
        <f>+Data!L408</f>
        <v>7.2759576141834259E-12</v>
      </c>
      <c r="K10" s="380">
        <f>+Data!M408</f>
        <v>0</v>
      </c>
      <c r="L10" s="380">
        <f>+Data!N408</f>
        <v>-9.9999997837585397E-4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-4.8000000288084266E-4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5.4001247917767614E-13</v>
      </c>
      <c r="AB18" s="403">
        <f>+MdBAM_year1!AE35</f>
        <v>0</v>
      </c>
      <c r="AC18" s="403">
        <f>+MdBAM_year1!AF35</f>
        <v>4.8000000151660061E-4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-1.0000017937272787E-5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-2.8421709430404007E-13</v>
      </c>
      <c r="AB19" s="403">
        <f>+MdBAM_year2!AE35</f>
        <v>0</v>
      </c>
      <c r="AC19" s="403">
        <f>+MdBAM_year2!AF35</f>
        <v>1.0000015606692614E-5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1.9099388737231493E-11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7.3896444519050419E-13</v>
      </c>
      <c r="AB20" s="403">
        <f>+MdBAM_year3!AE35</f>
        <v>0</v>
      </c>
      <c r="AC20" s="403">
        <f>+MdBAM_year3!AF35</f>
        <v>-2.1827872842550278E-11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-9.0949470177292824E-12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-3.4106051316484809E-13</v>
      </c>
      <c r="AB21" s="403">
        <f>+MdBAM_year4!AE35</f>
        <v>0</v>
      </c>
      <c r="AC21" s="403">
        <f>+MdBAM_year4!AF35</f>
        <v>6.3664629124104977E-12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3.979039320256561E-13</v>
      </c>
      <c r="AB22" s="403">
        <f>+MdBAM_year5!AE35</f>
        <v>0</v>
      </c>
      <c r="AC22" s="403">
        <f>+MdBAM_year5!AF35</f>
        <v>1.7280399333685637E-11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0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1.9554136088117957E-11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1.4210854715202004E-13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3.637978807091713E-12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-2.2737367544323206E-11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1.2732925824820995E-11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-9.9999997974009602E-4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-5.5422333389287814E-13</v>
      </c>
      <c r="AB27" s="403">
        <f>+MdBAM_year10!AE35</f>
        <v>0</v>
      </c>
      <c r="AC27" s="403">
        <f>+MdBAM_year10!AF35</f>
        <v>9.999999911087798E-4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P28" sqref="P28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166" t="s">
        <v>16</v>
      </c>
      <c r="J1" s="165" t="s">
        <v>143</v>
      </c>
      <c r="K1" s="425" t="s">
        <v>144</v>
      </c>
      <c r="L1" s="426"/>
      <c r="M1" s="426"/>
      <c r="N1" s="426"/>
      <c r="O1" s="427"/>
      <c r="P1" s="166" t="s">
        <v>151</v>
      </c>
      <c r="Q1" s="166" t="s">
        <v>152</v>
      </c>
      <c r="R1" s="170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32" t="s">
        <v>1</v>
      </c>
      <c r="G2" s="433"/>
      <c r="H2" s="326"/>
      <c r="I2" s="168" t="s">
        <v>2</v>
      </c>
      <c r="J2" s="164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 t="s">
        <v>168</v>
      </c>
      <c r="Y3" s="166" t="s">
        <v>650</v>
      </c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18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38519.580760000004</v>
      </c>
      <c r="AC5" s="48"/>
      <c r="AD5" s="47"/>
      <c r="AE5" s="48"/>
      <c r="AF5" s="43"/>
      <c r="AG5" s="49">
        <f t="shared" ref="AG5:AG31" si="0">SUM(E5:AF5)</f>
        <v>38519.580760000004</v>
      </c>
    </row>
    <row r="6" spans="1:33" s="9" customFormat="1" ht="25.5" x14ac:dyDescent="0.25">
      <c r="A6" s="422"/>
      <c r="B6" s="42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16012.212349999998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-121.07341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15891.138939999997</v>
      </c>
    </row>
    <row r="7" spans="1:33" s="9" customFormat="1" x14ac:dyDescent="0.25">
      <c r="A7" s="422"/>
      <c r="B7" s="42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11640.939280000001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11640.939280000001</v>
      </c>
    </row>
    <row r="8" spans="1:33" s="9" customFormat="1" ht="25.5" x14ac:dyDescent="0.25">
      <c r="A8" s="422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16012.212349999998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16012.212349999998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38524.758620000008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38524.758620000008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17796.785650000009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17796.785650000009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12406.13609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12406.13609</v>
      </c>
    </row>
    <row r="12" spans="1:33" s="9" customFormat="1" ht="25.5" x14ac:dyDescent="0.25">
      <c r="A12" s="426"/>
      <c r="B12" s="429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3744.6343200000001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3744.6343200000001</v>
      </c>
    </row>
    <row r="13" spans="1:33" s="9" customFormat="1" x14ac:dyDescent="0.25">
      <c r="A13" s="426"/>
      <c r="B13" s="429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56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56</v>
      </c>
    </row>
    <row r="14" spans="1:33" s="9" customFormat="1" x14ac:dyDescent="0.25">
      <c r="A14" s="426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543.02200000000005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543.02200000000005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1046.9932400000071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1046.9932400000071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1046.9932400000071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272.68166000000002</v>
      </c>
      <c r="AC16" s="297"/>
      <c r="AD16" s="47"/>
      <c r="AE16" s="48"/>
      <c r="AF16" s="43"/>
      <c r="AG16" s="49">
        <f t="shared" si="0"/>
        <v>1319.674900000007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1284.5341900000071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1284.5341900000071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1968.4814200000071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-1.3642420526593924E-12</v>
      </c>
      <c r="AE18" s="300"/>
      <c r="AF18" s="59"/>
      <c r="AG18" s="49">
        <f t="shared" si="0"/>
        <v>1968.4814200000058</v>
      </c>
    </row>
    <row r="19" spans="1:35" s="9" customFormat="1" x14ac:dyDescent="0.25">
      <c r="A19" s="430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1968.4814200000058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4.7999999999603915E-4</v>
      </c>
      <c r="AF19" s="48"/>
      <c r="AG19" s="49">
        <f t="shared" si="0"/>
        <v>1968.4819000000057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1968.4819000000057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-0.24246000000000001</v>
      </c>
      <c r="AC20" s="48"/>
      <c r="AD20" s="303">
        <f>+Data!E299+Data!E300+Data!E301+Data!E302+Data!E307+Data!E310+Data!E311+Data!E312+Data!E313+Data!E314</f>
        <v>-158.80112</v>
      </c>
      <c r="AE20" s="304">
        <f>+Data!E303</f>
        <v>0</v>
      </c>
      <c r="AF20" s="63"/>
      <c r="AG20" s="49">
        <f t="shared" si="0"/>
        <v>1809.4383200000057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1781.8966100000057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1781.8966100000057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-121.07341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-121.07341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4715.76062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6925.1786600000005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11640.939280000001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-5022.2086399999953</v>
      </c>
      <c r="V25" s="43"/>
      <c r="W25" s="43"/>
      <c r="X25" s="43"/>
      <c r="Y25" s="48"/>
      <c r="Z25" s="293">
        <f>Data!E403</f>
        <v>1746.4799700000001</v>
      </c>
      <c r="AA25" s="305">
        <f>Data!E395</f>
        <v>-27.859180000000151</v>
      </c>
      <c r="AB25" s="54"/>
      <c r="AC25" s="43"/>
      <c r="AD25" s="54"/>
      <c r="AE25" s="43"/>
      <c r="AF25" s="43"/>
      <c r="AG25" s="49">
        <f t="shared" si="0"/>
        <v>-3303.5878499999953</v>
      </c>
    </row>
    <row r="26" spans="1:35" s="9" customFormat="1" x14ac:dyDescent="0.25">
      <c r="A26" s="420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3306.2218400000006</v>
      </c>
      <c r="Z26" s="58"/>
      <c r="AA26" s="306"/>
      <c r="AB26" s="54"/>
      <c r="AC26" s="43"/>
      <c r="AD26" s="54"/>
      <c r="AE26" s="43"/>
      <c r="AF26" s="43"/>
      <c r="AG26" s="49">
        <f t="shared" si="0"/>
        <v>3306.2218400000006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-6609.8101699999988</v>
      </c>
      <c r="Z27" s="308"/>
      <c r="AA27" s="311"/>
      <c r="AB27" s="312"/>
      <c r="AC27" s="313"/>
      <c r="AD27" s="54"/>
      <c r="AE27" s="43"/>
      <c r="AF27" s="43"/>
      <c r="AG27" s="49">
        <f t="shared" si="0"/>
        <v>-6609.8101699999988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15891.138939999999</v>
      </c>
      <c r="G28" s="64"/>
      <c r="H28" s="64"/>
      <c r="I28" s="65"/>
      <c r="J28" s="65"/>
      <c r="K28" s="315">
        <f>-Data!E245</f>
        <v>12406.13609</v>
      </c>
      <c r="L28" s="64"/>
      <c r="M28" s="315">
        <f>-Data!E247</f>
        <v>56</v>
      </c>
      <c r="N28" s="64"/>
      <c r="O28" s="64"/>
      <c r="P28" s="316">
        <f>-(Data!E256+Data!E83)</f>
        <v>35.140709999999999</v>
      </c>
      <c r="Q28" s="314">
        <f>-(Data!E261)</f>
        <v>-22.162749999999999</v>
      </c>
      <c r="R28" s="314">
        <f>-Data!E267</f>
        <v>0</v>
      </c>
      <c r="S28" s="64"/>
      <c r="T28" s="314">
        <f>-Data!E306</f>
        <v>27.541709999999998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10398.225260000007</v>
      </c>
      <c r="AG28" s="49">
        <f t="shared" si="0"/>
        <v>38792.019960000005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-5.1778599999999999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3744.6343200000001</v>
      </c>
      <c r="M29" s="44"/>
      <c r="N29" s="293">
        <f>-Data!E248</f>
        <v>543.02200000000005</v>
      </c>
      <c r="O29" s="48"/>
      <c r="P29" s="320">
        <f>(Data!E81+Data!E83)</f>
        <v>0</v>
      </c>
      <c r="Q29" s="321">
        <f>-Data!E262</f>
        <v>-661.78448000000003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-3620.69398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11640.939280000001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-11799.740400000002</v>
      </c>
      <c r="AG30" s="49">
        <f t="shared" si="0"/>
        <v>-158.8011200000019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4.7999999999603915E-4</v>
      </c>
      <c r="AG31" s="49">
        <f t="shared" si="0"/>
        <v>4.7999999999603915E-4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1559.7418700000005</v>
      </c>
      <c r="AA32" s="317">
        <f>+Y27-AA25</f>
        <v>-6581.9509899999985</v>
      </c>
      <c r="AB32" s="66"/>
      <c r="AC32" s="43"/>
      <c r="AD32" s="43"/>
      <c r="AE32" s="43"/>
      <c r="AF32" s="43"/>
      <c r="AG32" s="43">
        <f>SUM(E32:AE32)</f>
        <v>-5022.2091199999977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38519.580760000004</v>
      </c>
      <c r="F33" s="46">
        <f t="shared" si="1"/>
        <v>15891.138939999999</v>
      </c>
      <c r="G33" s="46">
        <f t="shared" si="1"/>
        <v>11640.939280000001</v>
      </c>
      <c r="H33" s="68">
        <f t="shared" si="1"/>
        <v>16012.212349999998</v>
      </c>
      <c r="I33" s="68">
        <f t="shared" si="1"/>
        <v>38524.758620000008</v>
      </c>
      <c r="J33" s="68">
        <f t="shared" si="1"/>
        <v>17796.785650000009</v>
      </c>
      <c r="K33" s="68">
        <f t="shared" si="1"/>
        <v>12406.13609</v>
      </c>
      <c r="L33" s="68">
        <f t="shared" si="1"/>
        <v>3744.6343200000001</v>
      </c>
      <c r="M33" s="68">
        <f t="shared" si="1"/>
        <v>56</v>
      </c>
      <c r="N33" s="68">
        <f t="shared" si="1"/>
        <v>543.02200000000005</v>
      </c>
      <c r="O33" s="68">
        <f t="shared" si="1"/>
        <v>1046.9932400000071</v>
      </c>
      <c r="P33" s="68">
        <f t="shared" si="1"/>
        <v>1319.674900000007</v>
      </c>
      <c r="Q33" s="68">
        <f t="shared" si="1"/>
        <v>1284.5341900000071</v>
      </c>
      <c r="R33" s="68">
        <f t="shared" si="1"/>
        <v>1968.4814200000058</v>
      </c>
      <c r="S33" s="68">
        <f t="shared" si="1"/>
        <v>1968.4819000000057</v>
      </c>
      <c r="T33" s="68">
        <f t="shared" si="1"/>
        <v>1809.4383200000057</v>
      </c>
      <c r="U33" s="68">
        <f t="shared" si="1"/>
        <v>1781.8966100000052</v>
      </c>
      <c r="V33" s="68">
        <f t="shared" si="1"/>
        <v>-121.07341</v>
      </c>
      <c r="W33" s="68">
        <f t="shared" si="1"/>
        <v>11640.939280000001</v>
      </c>
      <c r="X33" s="400">
        <f t="shared" si="1"/>
        <v>0</v>
      </c>
      <c r="Y33" s="68">
        <f t="shared" si="1"/>
        <v>-3303.5883299999982</v>
      </c>
      <c r="Z33" s="69">
        <f t="shared" ref="Z33:AF33" si="2">SUM(Z5:Z32)</f>
        <v>3306.2218400000006</v>
      </c>
      <c r="AA33" s="69">
        <f t="shared" si="2"/>
        <v>-6609.8101699999988</v>
      </c>
      <c r="AB33" s="69">
        <f t="shared" si="2"/>
        <v>38792.019960000005</v>
      </c>
      <c r="AC33" s="69">
        <f t="shared" si="2"/>
        <v>0</v>
      </c>
      <c r="AD33" s="69">
        <f t="shared" si="2"/>
        <v>-158.80112000000136</v>
      </c>
      <c r="AE33" s="69">
        <f t="shared" si="2"/>
        <v>4.7999999999603915E-4</v>
      </c>
      <c r="AF33" s="69">
        <f t="shared" si="2"/>
        <v>-5022.2086399999962</v>
      </c>
      <c r="AG33" s="43">
        <f>SUM(E33:AE33)</f>
        <v>209860.6171200001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-4.8000000288084266E-4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5.4001247917767614E-13</v>
      </c>
      <c r="AE35" s="16">
        <f>AE33-AG31</f>
        <v>0</v>
      </c>
      <c r="AF35" s="16">
        <f>AF33-AG32</f>
        <v>4.8000000151660061E-4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Z1:AA1"/>
    <mergeCell ref="E1:H1"/>
    <mergeCell ref="K1:O1"/>
    <mergeCell ref="F2:G2"/>
    <mergeCell ref="B6:B7"/>
    <mergeCell ref="V1:Y1"/>
    <mergeCell ref="K2:M2"/>
    <mergeCell ref="A5:A8"/>
    <mergeCell ref="A26:A27"/>
    <mergeCell ref="B11:B13"/>
    <mergeCell ref="S1:U1"/>
    <mergeCell ref="A19:A21"/>
    <mergeCell ref="A22:A25"/>
    <mergeCell ref="A11:A15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39945.392</v>
      </c>
      <c r="AC5" s="48"/>
      <c r="AD5" s="47"/>
      <c r="AE5" s="48"/>
      <c r="AF5" s="43"/>
      <c r="AG5" s="49">
        <f t="shared" ref="AG5:AG31" si="0">SUM(E5:AF5)</f>
        <v>39945.392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16817.21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-98.762989999999974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16718.44701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8780.3110000000015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8780.3110000000015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16817.21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16817.21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39945.392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39945.392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18226.288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18226.288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13275.573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13275.573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4137.6409999999996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4137.6409999999996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48.497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48.497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532.84500000000003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532.84500000000003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231.73199999999997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231.73199999999997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231.73199999999997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155.65899999999999</v>
      </c>
      <c r="AC16" s="297"/>
      <c r="AD16" s="47"/>
      <c r="AE16" s="48"/>
      <c r="AF16" s="43"/>
      <c r="AG16" s="49">
        <f t="shared" si="0"/>
        <v>387.39099999999996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296.17899999999997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296.17899999999997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-637.70000000000005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-1.4779288903810084E-11</v>
      </c>
      <c r="AE18" s="300"/>
      <c r="AF18" s="59"/>
      <c r="AG18" s="49">
        <f t="shared" si="0"/>
        <v>-637.70000000001482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-637.70000000001482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22.207999999999998</v>
      </c>
      <c r="AF19" s="48"/>
      <c r="AG19" s="49">
        <f t="shared" si="0"/>
        <v>-615.49200000001485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-615.49200000001485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-2.3E-2</v>
      </c>
      <c r="AC20" s="48"/>
      <c r="AD20" s="303">
        <f>+Data!G299+Data!G300+Data!G301+Data!G302+Data!G307+Data!G310+Data!G311+Data!G312+Data!G313+Data!G314</f>
        <v>-182.22800000000001</v>
      </c>
      <c r="AE20" s="304">
        <f>+Data!G303</f>
        <v>0</v>
      </c>
      <c r="AF20" s="63"/>
      <c r="AG20" s="49">
        <f t="shared" si="0"/>
        <v>-797.74300000001494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-826.15600000001484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-826.15600000001484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-98.762989999999974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-98.762989999999974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4901.8940000000002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3878.4170000000013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8780.3110000000015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-4605.8100100000165</v>
      </c>
      <c r="V25" s="43"/>
      <c r="W25" s="43"/>
      <c r="X25" s="43"/>
      <c r="Y25" s="48"/>
      <c r="Z25" s="293">
        <f>Data!G403</f>
        <v>-1165.1760000000002</v>
      </c>
      <c r="AA25" s="305">
        <f>Data!G395</f>
        <v>1598.674</v>
      </c>
      <c r="AB25" s="54"/>
      <c r="AC25" s="43"/>
      <c r="AD25" s="54"/>
      <c r="AE25" s="43"/>
      <c r="AF25" s="43"/>
      <c r="AG25" s="49">
        <f t="shared" si="0"/>
        <v>-4172.3120100000169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-3200.7860099999984</v>
      </c>
      <c r="Z26" s="58"/>
      <c r="AA26" s="306"/>
      <c r="AB26" s="54"/>
      <c r="AC26" s="43"/>
      <c r="AD26" s="54"/>
      <c r="AE26" s="43"/>
      <c r="AF26" s="43"/>
      <c r="AG26" s="49">
        <f t="shared" si="0"/>
        <v>-3200.7860099999984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-971.52599999999984</v>
      </c>
      <c r="Z27" s="308"/>
      <c r="AA27" s="311"/>
      <c r="AB27" s="312"/>
      <c r="AC27" s="313"/>
      <c r="AD27" s="54"/>
      <c r="AE27" s="43"/>
      <c r="AF27" s="43"/>
      <c r="AG27" s="49">
        <f t="shared" si="0"/>
        <v>-971.52599999999984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16718.44701</v>
      </c>
      <c r="G28" s="64"/>
      <c r="H28" s="64"/>
      <c r="I28" s="65"/>
      <c r="J28" s="65"/>
      <c r="K28" s="315">
        <f>-Data!G245</f>
        <v>13275.573</v>
      </c>
      <c r="L28" s="64"/>
      <c r="M28" s="315">
        <f>-Data!G247</f>
        <v>48.497</v>
      </c>
      <c r="N28" s="64"/>
      <c r="O28" s="64"/>
      <c r="P28" s="316">
        <f>-(Data!G256+Data!G83)</f>
        <v>91.212000000000003</v>
      </c>
      <c r="Q28" s="314">
        <f>-(Data!G261)</f>
        <v>0.221</v>
      </c>
      <c r="R28" s="314">
        <f>-Data!G267</f>
        <v>0</v>
      </c>
      <c r="S28" s="64"/>
      <c r="T28" s="314">
        <f>-Data!G306</f>
        <v>28.413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9938.6649899999975</v>
      </c>
      <c r="AG28" s="49">
        <f t="shared" si="0"/>
        <v>40101.027999999998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4137.6409999999996</v>
      </c>
      <c r="M29" s="44"/>
      <c r="N29" s="293">
        <f>-Data!G248</f>
        <v>532.84500000000003</v>
      </c>
      <c r="O29" s="48"/>
      <c r="P29" s="320">
        <f>(Data!G81+Data!G83)</f>
        <v>0</v>
      </c>
      <c r="Q29" s="321">
        <f>-Data!G262</f>
        <v>933.65800000000002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-5604.1440000000002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8780.3110000000015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-8962.539000000017</v>
      </c>
      <c r="AG30" s="49">
        <f t="shared" si="0"/>
        <v>-182.22800000001553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22.207999999999998</v>
      </c>
      <c r="AG31" s="49">
        <f t="shared" si="0"/>
        <v>22.207999999999998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-2035.6100099999983</v>
      </c>
      <c r="AA32" s="317">
        <f>+Y27-AA25</f>
        <v>-2570.1999999999998</v>
      </c>
      <c r="AB32" s="66"/>
      <c r="AC32" s="43"/>
      <c r="AD32" s="43"/>
      <c r="AE32" s="43"/>
      <c r="AF32" s="43"/>
      <c r="AG32" s="43">
        <f>SUM(E32:AE32)</f>
        <v>-4605.8100099999983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39945.392</v>
      </c>
      <c r="F33" s="46">
        <f t="shared" si="1"/>
        <v>16718.44701</v>
      </c>
      <c r="G33" s="46">
        <f t="shared" si="1"/>
        <v>8780.3110000000015</v>
      </c>
      <c r="H33" s="68">
        <f t="shared" si="1"/>
        <v>16817.21</v>
      </c>
      <c r="I33" s="68">
        <f t="shared" si="1"/>
        <v>39945.392</v>
      </c>
      <c r="J33" s="68">
        <f t="shared" si="1"/>
        <v>18226.288</v>
      </c>
      <c r="K33" s="68">
        <f t="shared" si="1"/>
        <v>13275.573</v>
      </c>
      <c r="L33" s="68">
        <f t="shared" si="1"/>
        <v>4137.6409999999996</v>
      </c>
      <c r="M33" s="68">
        <f t="shared" si="1"/>
        <v>48.497</v>
      </c>
      <c r="N33" s="68">
        <f t="shared" si="1"/>
        <v>532.84500000000003</v>
      </c>
      <c r="O33" s="68">
        <f t="shared" si="1"/>
        <v>231.73199999999997</v>
      </c>
      <c r="P33" s="68">
        <f t="shared" si="1"/>
        <v>387.39099999999996</v>
      </c>
      <c r="Q33" s="68">
        <f t="shared" si="1"/>
        <v>296.17899999999997</v>
      </c>
      <c r="R33" s="68">
        <f t="shared" si="1"/>
        <v>-637.70000000001482</v>
      </c>
      <c r="S33" s="68">
        <f t="shared" si="1"/>
        <v>-615.49200000001485</v>
      </c>
      <c r="T33" s="68">
        <f t="shared" si="1"/>
        <v>-797.74300000001483</v>
      </c>
      <c r="U33" s="68">
        <f t="shared" si="1"/>
        <v>-826.15600000001541</v>
      </c>
      <c r="V33" s="68">
        <f t="shared" si="1"/>
        <v>-98.762989999999974</v>
      </c>
      <c r="W33" s="68">
        <f t="shared" si="1"/>
        <v>8780.3110000000015</v>
      </c>
      <c r="X33" s="400">
        <f t="shared" si="1"/>
        <v>0</v>
      </c>
      <c r="Y33" s="68">
        <f t="shared" si="1"/>
        <v>-4172.3120099999978</v>
      </c>
      <c r="Z33" s="69">
        <f t="shared" ref="Z33:AF33" si="2">SUM(Z5:Z32)</f>
        <v>-3200.7860099999984</v>
      </c>
      <c r="AA33" s="69">
        <f t="shared" si="2"/>
        <v>-971.52599999999984</v>
      </c>
      <c r="AB33" s="69">
        <f t="shared" si="2"/>
        <v>40101.027999999998</v>
      </c>
      <c r="AC33" s="69">
        <f t="shared" si="2"/>
        <v>0</v>
      </c>
      <c r="AD33" s="69">
        <f t="shared" si="2"/>
        <v>-182.22800000001479</v>
      </c>
      <c r="AE33" s="69">
        <f t="shared" si="2"/>
        <v>22.207999999999998</v>
      </c>
      <c r="AF33" s="69">
        <f t="shared" si="2"/>
        <v>-4605.8100100000202</v>
      </c>
      <c r="AG33" s="43">
        <f>SUM(E33:AE33)</f>
        <v>196743.73899999994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1.9099388737231493E-11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7.3896444519050419E-13</v>
      </c>
      <c r="AE35" s="16">
        <f>AE33-AG31</f>
        <v>0</v>
      </c>
      <c r="AF35" s="16">
        <f>AF33-AG32</f>
        <v>-2.1827872842550278E-11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42510.311000000002</v>
      </c>
      <c r="AC5" s="48"/>
      <c r="AD5" s="47"/>
      <c r="AE5" s="48"/>
      <c r="AF5" s="43"/>
      <c r="AG5" s="49">
        <f t="shared" ref="AG5:AG31" si="0">SUM(E5:AF5)</f>
        <v>42510.311000000002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18343.243999999999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-15.896000000000043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18327.347999999998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4444.7269999999962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4444.7269999999962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18343.243999999999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18343.243999999999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42510.311000000002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42510.311000000002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18958.547000000002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18958.547000000002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14239.296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14239.296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4211.0159999999996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4211.0159999999996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626.98099999999999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626.98099999999999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-118.74599999999555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-118.74599999999555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-118.74599999999555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181.98599999999999</v>
      </c>
      <c r="AC16" s="297"/>
      <c r="AD16" s="47"/>
      <c r="AE16" s="48"/>
      <c r="AF16" s="43"/>
      <c r="AG16" s="49">
        <f t="shared" si="0"/>
        <v>63.240000000004443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-29.32999999999555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-29.32999999999555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-318.84599999999551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1.1368683772161603E-13</v>
      </c>
      <c r="AE18" s="300"/>
      <c r="AF18" s="59"/>
      <c r="AG18" s="49">
        <f t="shared" si="0"/>
        <v>-318.8459999999954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-318.8459999999954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63.24</v>
      </c>
      <c r="AF19" s="48"/>
      <c r="AG19" s="49">
        <f t="shared" si="0"/>
        <v>-255.60599999999539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-255.60599999999539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-1.7999999999999999E-2</v>
      </c>
      <c r="AC20" s="48"/>
      <c r="AD20" s="303">
        <f>+Data!H299+Data!H300+Data!H301+Data!H302+Data!H307+Data!H310+Data!H311+Data!H312+Data!H313+Data!H314</f>
        <v>-46.528999999999996</v>
      </c>
      <c r="AE20" s="304">
        <f>+Data!H303</f>
        <v>0</v>
      </c>
      <c r="AF20" s="63"/>
      <c r="AG20" s="49">
        <f t="shared" si="0"/>
        <v>-302.15299999999536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-303.18699999999535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-303.18699999999535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-15.896000000000043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-15.896000000000043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5208.5200000000004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-763.79300000000421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4444.7269999999962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476.50200000000893</v>
      </c>
      <c r="V25" s="43"/>
      <c r="W25" s="43"/>
      <c r="X25" s="43"/>
      <c r="Y25" s="48"/>
      <c r="Z25" s="293">
        <f>Data!H403</f>
        <v>1308.1379999999995</v>
      </c>
      <c r="AA25" s="305">
        <f>Data!H395</f>
        <v>1036.8950000000004</v>
      </c>
      <c r="AB25" s="54"/>
      <c r="AC25" s="43"/>
      <c r="AD25" s="54"/>
      <c r="AE25" s="43"/>
      <c r="AF25" s="43"/>
      <c r="AG25" s="49">
        <f t="shared" si="0"/>
        <v>2821.5350000000089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1937.503999999999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1937.503999999999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884.03100000000063</v>
      </c>
      <c r="Z27" s="308"/>
      <c r="AA27" s="311"/>
      <c r="AB27" s="312"/>
      <c r="AC27" s="313"/>
      <c r="AD27" s="54"/>
      <c r="AE27" s="43"/>
      <c r="AF27" s="43"/>
      <c r="AG27" s="49">
        <f t="shared" si="0"/>
        <v>884.03100000000063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18327.347999999998</v>
      </c>
      <c r="G28" s="64"/>
      <c r="H28" s="64"/>
      <c r="I28" s="65"/>
      <c r="J28" s="65"/>
      <c r="K28" s="315">
        <f>-Data!H245</f>
        <v>14239.296</v>
      </c>
      <c r="L28" s="64"/>
      <c r="M28" s="315">
        <f>-Data!H247</f>
        <v>0</v>
      </c>
      <c r="N28" s="64"/>
      <c r="O28" s="64"/>
      <c r="P28" s="316">
        <f>-(Data!H256+Data!H83)</f>
        <v>92.57</v>
      </c>
      <c r="Q28" s="314">
        <f>-(Data!H261)</f>
        <v>27.65</v>
      </c>
      <c r="R28" s="314">
        <f>-Data!H267</f>
        <v>0</v>
      </c>
      <c r="S28" s="64"/>
      <c r="T28" s="314">
        <f>-Data!H306</f>
        <v>1.034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10004.381000000001</v>
      </c>
      <c r="AG28" s="49">
        <f t="shared" si="0"/>
        <v>42692.279000000002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4211.0159999999996</v>
      </c>
      <c r="M29" s="44"/>
      <c r="N29" s="293">
        <f>-Data!H248</f>
        <v>626.98099999999999</v>
      </c>
      <c r="O29" s="48"/>
      <c r="P29" s="320">
        <f>(Data!H81+Data!H83)</f>
        <v>0</v>
      </c>
      <c r="Q29" s="321">
        <f>-Data!H262</f>
        <v>261.86599999999999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-5099.8629999999994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4444.7269999999962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-4491.2559999999958</v>
      </c>
      <c r="AG30" s="49">
        <f t="shared" si="0"/>
        <v>-46.528999999999542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63.24</v>
      </c>
      <c r="AG31" s="49">
        <f t="shared" si="0"/>
        <v>63.24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629.36599999999953</v>
      </c>
      <c r="AA32" s="317">
        <f>+Y27-AA25</f>
        <v>-152.86399999999981</v>
      </c>
      <c r="AB32" s="66"/>
      <c r="AC32" s="43"/>
      <c r="AD32" s="43"/>
      <c r="AE32" s="43"/>
      <c r="AF32" s="43"/>
      <c r="AG32" s="43">
        <f>SUM(E32:AE32)</f>
        <v>476.50199999999973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42510.311000000002</v>
      </c>
      <c r="F33" s="46">
        <f t="shared" si="1"/>
        <v>18327.347999999998</v>
      </c>
      <c r="G33" s="46">
        <f t="shared" si="1"/>
        <v>4444.7269999999962</v>
      </c>
      <c r="H33" s="68">
        <f t="shared" si="1"/>
        <v>18343.243999999999</v>
      </c>
      <c r="I33" s="68">
        <f t="shared" si="1"/>
        <v>42510.311000000002</v>
      </c>
      <c r="J33" s="68">
        <f t="shared" si="1"/>
        <v>18958.547000000002</v>
      </c>
      <c r="K33" s="68">
        <f t="shared" si="1"/>
        <v>14239.296</v>
      </c>
      <c r="L33" s="68">
        <f t="shared" si="1"/>
        <v>4211.0159999999996</v>
      </c>
      <c r="M33" s="68">
        <f t="shared" si="1"/>
        <v>0</v>
      </c>
      <c r="N33" s="68">
        <f t="shared" si="1"/>
        <v>626.98099999999999</v>
      </c>
      <c r="O33" s="68">
        <f t="shared" si="1"/>
        <v>-118.74599999999555</v>
      </c>
      <c r="P33" s="68">
        <f t="shared" si="1"/>
        <v>63.240000000004443</v>
      </c>
      <c r="Q33" s="68">
        <f t="shared" si="1"/>
        <v>-29.32999999999555</v>
      </c>
      <c r="R33" s="68">
        <f t="shared" si="1"/>
        <v>-318.8459999999954</v>
      </c>
      <c r="S33" s="68">
        <f t="shared" si="1"/>
        <v>-255.60599999999539</v>
      </c>
      <c r="T33" s="68">
        <f t="shared" si="1"/>
        <v>-302.15299999999536</v>
      </c>
      <c r="U33" s="68">
        <f t="shared" si="1"/>
        <v>-303.18699999999535</v>
      </c>
      <c r="V33" s="68">
        <f t="shared" si="1"/>
        <v>-15.896000000000043</v>
      </c>
      <c r="W33" s="68">
        <f t="shared" si="1"/>
        <v>4444.7269999999962</v>
      </c>
      <c r="X33" s="400">
        <f t="shared" si="1"/>
        <v>0</v>
      </c>
      <c r="Y33" s="68">
        <f t="shared" si="1"/>
        <v>2821.5349999999999</v>
      </c>
      <c r="Z33" s="69">
        <f t="shared" ref="Z33:AF33" si="2">SUM(Z5:Z32)</f>
        <v>1937.503999999999</v>
      </c>
      <c r="AA33" s="69">
        <f t="shared" si="2"/>
        <v>884.03100000000063</v>
      </c>
      <c r="AB33" s="69">
        <f t="shared" si="2"/>
        <v>42692.279000000002</v>
      </c>
      <c r="AC33" s="69">
        <f t="shared" si="2"/>
        <v>0</v>
      </c>
      <c r="AD33" s="69">
        <f t="shared" si="2"/>
        <v>-46.528999999999883</v>
      </c>
      <c r="AE33" s="69">
        <f t="shared" si="2"/>
        <v>63.24</v>
      </c>
      <c r="AF33" s="69">
        <f t="shared" si="2"/>
        <v>476.50200000000609</v>
      </c>
      <c r="AG33" s="43">
        <f>SUM(E33:AE33)</f>
        <v>215688.04399999999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-9.0949470177292824E-12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-3.4106051316484809E-13</v>
      </c>
      <c r="AE35" s="16">
        <f>AE33-AG31</f>
        <v>0</v>
      </c>
      <c r="AF35" s="16">
        <f>AF33-AG32</f>
        <v>6.3664629124104977E-12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18" t="s">
        <v>15</v>
      </c>
      <c r="F1" s="422"/>
      <c r="G1" s="422"/>
      <c r="H1" s="422"/>
      <c r="I1" s="386" t="s">
        <v>16</v>
      </c>
      <c r="J1" s="384" t="s">
        <v>143</v>
      </c>
      <c r="K1" s="425" t="s">
        <v>144</v>
      </c>
      <c r="L1" s="426"/>
      <c r="M1" s="426"/>
      <c r="N1" s="426"/>
      <c r="O1" s="427"/>
      <c r="P1" s="386" t="s">
        <v>151</v>
      </c>
      <c r="Q1" s="386" t="s">
        <v>152</v>
      </c>
      <c r="R1" s="279" t="s">
        <v>153</v>
      </c>
      <c r="S1" s="430" t="s">
        <v>154</v>
      </c>
      <c r="T1" s="419"/>
      <c r="U1" s="431"/>
      <c r="V1" s="415" t="s">
        <v>155</v>
      </c>
      <c r="W1" s="416"/>
      <c r="X1" s="416"/>
      <c r="Y1" s="417"/>
      <c r="Z1" s="418" t="s">
        <v>156</v>
      </c>
      <c r="AA1" s="419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32" t="s">
        <v>1</v>
      </c>
      <c r="G2" s="433"/>
      <c r="H2" s="337"/>
      <c r="I2" s="387" t="s">
        <v>2</v>
      </c>
      <c r="J2" s="385" t="s">
        <v>3</v>
      </c>
      <c r="K2" s="434" t="s">
        <v>57</v>
      </c>
      <c r="L2" s="435"/>
      <c r="M2" s="436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18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68838.116000000009</v>
      </c>
      <c r="AC5" s="48"/>
      <c r="AD5" s="47"/>
      <c r="AE5" s="48"/>
      <c r="AF5" s="43"/>
      <c r="AG5" s="49">
        <f t="shared" ref="AG5:AG31" si="0">SUM(E5:AF5)</f>
        <v>68838.116000000009</v>
      </c>
    </row>
    <row r="6" spans="1:33" s="9" customFormat="1" ht="25.5" x14ac:dyDescent="0.25">
      <c r="A6" s="422"/>
      <c r="B6" s="42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34308.317000000003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409.15300000000002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34717.47</v>
      </c>
    </row>
    <row r="7" spans="1:33" s="9" customFormat="1" x14ac:dyDescent="0.25">
      <c r="A7" s="422"/>
      <c r="B7" s="42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4187.6559999999972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4187.6559999999972</v>
      </c>
    </row>
    <row r="8" spans="1:33" s="9" customFormat="1" ht="25.5" x14ac:dyDescent="0.25">
      <c r="A8" s="422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34308.317000000003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34308.317000000003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68838.116000000009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68838.116000000009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29341.409000000007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29341.409000000007</v>
      </c>
    </row>
    <row r="11" spans="1:33" s="9" customFormat="1" x14ac:dyDescent="0.25">
      <c r="A11" s="425" t="s">
        <v>144</v>
      </c>
      <c r="B11" s="428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20737.255000000001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20737.255000000001</v>
      </c>
    </row>
    <row r="12" spans="1:33" s="9" customFormat="1" ht="25.5" x14ac:dyDescent="0.25">
      <c r="A12" s="426"/>
      <c r="B12" s="429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6522.09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6522.09</v>
      </c>
    </row>
    <row r="13" spans="1:33" s="9" customFormat="1" x14ac:dyDescent="0.25">
      <c r="A13" s="426"/>
      <c r="B13" s="429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22.863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22.863</v>
      </c>
    </row>
    <row r="14" spans="1:33" s="9" customFormat="1" x14ac:dyDescent="0.25">
      <c r="A14" s="426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834.60799999999995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834.60799999999995</v>
      </c>
    </row>
    <row r="15" spans="1:33" s="9" customFormat="1" x14ac:dyDescent="0.25">
      <c r="A15" s="427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1224.5930000000044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1224.5930000000044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1224.5930000000044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367.62200000000001</v>
      </c>
      <c r="AC16" s="297"/>
      <c r="AD16" s="47"/>
      <c r="AE16" s="48"/>
      <c r="AF16" s="43"/>
      <c r="AG16" s="49">
        <f t="shared" si="0"/>
        <v>1592.2150000000045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1261.5870000000045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1261.5870000000045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1251.6510000000046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7.0485839387401938E-12</v>
      </c>
      <c r="AE18" s="300"/>
      <c r="AF18" s="59"/>
      <c r="AG18" s="49">
        <f t="shared" si="0"/>
        <v>1251.6510000000117</v>
      </c>
    </row>
    <row r="19" spans="1:35" s="9" customFormat="1" x14ac:dyDescent="0.25">
      <c r="A19" s="430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1251.6510000000117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1251.6510000000117</v>
      </c>
    </row>
    <row r="20" spans="1:35" s="9" customFormat="1" ht="12.75" customHeight="1" x14ac:dyDescent="0.25">
      <c r="A20" s="419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1251.6510000000117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-160.07</v>
      </c>
      <c r="AE20" s="304">
        <f>+Data!I303</f>
        <v>0</v>
      </c>
      <c r="AF20" s="63"/>
      <c r="AG20" s="49">
        <f t="shared" si="0"/>
        <v>1091.5810000000117</v>
      </c>
    </row>
    <row r="21" spans="1:35" s="9" customFormat="1" ht="12.75" customHeight="1" x14ac:dyDescent="0.25">
      <c r="A21" s="431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890.85900000001175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890.85900000001175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409.15300000000002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409.15300000000002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5188.3900000000003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-1000.7340000000031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4187.6559999999972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1482.4400000000148</v>
      </c>
      <c r="V25" s="43"/>
      <c r="W25" s="43"/>
      <c r="X25" s="43"/>
      <c r="Y25" s="48"/>
      <c r="Z25" s="293">
        <f>Data!I403</f>
        <v>9337.2170000000006</v>
      </c>
      <c r="AA25" s="305">
        <f>Data!I395</f>
        <v>13082.873</v>
      </c>
      <c r="AB25" s="54"/>
      <c r="AC25" s="43"/>
      <c r="AD25" s="54"/>
      <c r="AE25" s="43"/>
      <c r="AF25" s="43"/>
      <c r="AG25" s="49">
        <f t="shared" si="0"/>
        <v>23902.530000000013</v>
      </c>
    </row>
    <row r="26" spans="1:35" s="9" customFormat="1" x14ac:dyDescent="0.25">
      <c r="A26" s="420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13252.207000000002</v>
      </c>
      <c r="Z26" s="58"/>
      <c r="AA26" s="306"/>
      <c r="AB26" s="54"/>
      <c r="AC26" s="43"/>
      <c r="AD26" s="54"/>
      <c r="AE26" s="43"/>
      <c r="AF26" s="43"/>
      <c r="AG26" s="49">
        <f t="shared" si="0"/>
        <v>13252.207000000002</v>
      </c>
    </row>
    <row r="27" spans="1:35" s="9" customFormat="1" ht="13.5" thickBot="1" x14ac:dyDescent="0.3">
      <c r="A27" s="421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10650.323</v>
      </c>
      <c r="Z27" s="308"/>
      <c r="AA27" s="311"/>
      <c r="AB27" s="312"/>
      <c r="AC27" s="313"/>
      <c r="AD27" s="54"/>
      <c r="AE27" s="43"/>
      <c r="AF27" s="43"/>
      <c r="AG27" s="49">
        <f t="shared" si="0"/>
        <v>10650.323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34717.470000000008</v>
      </c>
      <c r="G28" s="64"/>
      <c r="H28" s="64"/>
      <c r="I28" s="65"/>
      <c r="J28" s="65"/>
      <c r="K28" s="315">
        <f>-Data!I245</f>
        <v>20737.255000000001</v>
      </c>
      <c r="L28" s="64"/>
      <c r="M28" s="315">
        <f>-Data!I247</f>
        <v>22.863</v>
      </c>
      <c r="N28" s="64"/>
      <c r="O28" s="64"/>
      <c r="P28" s="316">
        <f>-(Data!I256+Data!I83)</f>
        <v>330.62799999999999</v>
      </c>
      <c r="Q28" s="314">
        <f>-(Data!I261)</f>
        <v>0</v>
      </c>
      <c r="R28" s="314">
        <f>-Data!I267</f>
        <v>0</v>
      </c>
      <c r="S28" s="64"/>
      <c r="T28" s="314">
        <f>-Data!I306</f>
        <v>200.72200000000001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13196.80000000001</v>
      </c>
      <c r="AG28" s="49">
        <f t="shared" si="0"/>
        <v>69205.738000000012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6522.09</v>
      </c>
      <c r="M29" s="44"/>
      <c r="N29" s="293">
        <f>-Data!I248</f>
        <v>834.60799999999995</v>
      </c>
      <c r="O29" s="48"/>
      <c r="P29" s="320">
        <f>(Data!I81+Data!I83)</f>
        <v>0</v>
      </c>
      <c r="Q29" s="321">
        <f>-Data!I262</f>
        <v>9.9359999999999999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-7366.634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4187.6559999999972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-4347.7259999999906</v>
      </c>
      <c r="AG30" s="49">
        <f t="shared" si="0"/>
        <v>-160.06999999999334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3914.9900000000016</v>
      </c>
      <c r="AA32" s="317">
        <f>+Y27-AA25</f>
        <v>-2432.5499999999993</v>
      </c>
      <c r="AB32" s="66"/>
      <c r="AC32" s="43"/>
      <c r="AD32" s="43"/>
      <c r="AE32" s="43"/>
      <c r="AF32" s="43"/>
      <c r="AG32" s="43">
        <f>SUM(E32:AE32)</f>
        <v>1482.4400000000023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68838.116000000009</v>
      </c>
      <c r="F33" s="46">
        <f t="shared" si="1"/>
        <v>34717.470000000008</v>
      </c>
      <c r="G33" s="46">
        <f t="shared" si="1"/>
        <v>4187.6559999999972</v>
      </c>
      <c r="H33" s="68">
        <f t="shared" si="1"/>
        <v>34308.317000000003</v>
      </c>
      <c r="I33" s="68">
        <f t="shared" si="1"/>
        <v>68838.116000000009</v>
      </c>
      <c r="J33" s="68">
        <f t="shared" si="1"/>
        <v>29341.409000000007</v>
      </c>
      <c r="K33" s="68">
        <f t="shared" si="1"/>
        <v>20737.255000000001</v>
      </c>
      <c r="L33" s="68">
        <f t="shared" si="1"/>
        <v>6522.09</v>
      </c>
      <c r="M33" s="68">
        <f t="shared" si="1"/>
        <v>22.863</v>
      </c>
      <c r="N33" s="68">
        <f t="shared" si="1"/>
        <v>834.60799999999995</v>
      </c>
      <c r="O33" s="68">
        <f t="shared" si="1"/>
        <v>1224.5930000000044</v>
      </c>
      <c r="P33" s="68">
        <f t="shared" si="1"/>
        <v>1592.2150000000045</v>
      </c>
      <c r="Q33" s="68">
        <f t="shared" si="1"/>
        <v>1261.5870000000045</v>
      </c>
      <c r="R33" s="68">
        <f t="shared" si="1"/>
        <v>1251.6510000000117</v>
      </c>
      <c r="S33" s="68">
        <f t="shared" si="1"/>
        <v>1251.6510000000117</v>
      </c>
      <c r="T33" s="68">
        <f t="shared" si="1"/>
        <v>1091.5810000000117</v>
      </c>
      <c r="U33" s="68">
        <f t="shared" si="1"/>
        <v>890.85900000001175</v>
      </c>
      <c r="V33" s="68">
        <f t="shared" si="1"/>
        <v>409.15300000000002</v>
      </c>
      <c r="W33" s="68">
        <f t="shared" si="1"/>
        <v>4187.6559999999972</v>
      </c>
      <c r="X33" s="400">
        <f t="shared" si="1"/>
        <v>0</v>
      </c>
      <c r="Y33" s="68">
        <f t="shared" si="1"/>
        <v>23902.530000000002</v>
      </c>
      <c r="Z33" s="69">
        <f t="shared" ref="Z33:AF33" si="2">SUM(Z5:Z32)</f>
        <v>13252.207000000002</v>
      </c>
      <c r="AA33" s="69">
        <f t="shared" si="2"/>
        <v>10650.323</v>
      </c>
      <c r="AB33" s="69">
        <f t="shared" si="2"/>
        <v>69205.738000000012</v>
      </c>
      <c r="AC33" s="69">
        <f t="shared" si="2"/>
        <v>0</v>
      </c>
      <c r="AD33" s="69">
        <f t="shared" si="2"/>
        <v>-160.06999999999294</v>
      </c>
      <c r="AE33" s="69">
        <f t="shared" si="2"/>
        <v>0</v>
      </c>
      <c r="AF33" s="69">
        <f t="shared" si="2"/>
        <v>1482.4400000000196</v>
      </c>
      <c r="AG33" s="43">
        <f>SUM(E33:AE33)</f>
        <v>398359.57400000014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3.979039320256561E-13</v>
      </c>
      <c r="AE35" s="16">
        <f>AE33-AG31</f>
        <v>0</v>
      </c>
      <c r="AF35" s="16">
        <f>AF33-AG32</f>
        <v>1.7280399333685637E-11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MdBAM_year2</vt:lpstr>
      <vt:lpstr>definitions</vt:lpstr>
      <vt:lpstr>Matching</vt:lpstr>
      <vt:lpstr>MdBAM_year1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2021-04-02T23:03:35Z</dcterms:modified>
</cp:coreProperties>
</file>