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Papers 01 en curso\CMLP-JJDM\2020 - Mini BAM\Medium\"/>
    </mc:Choice>
  </mc:AlternateContent>
  <bookViews>
    <workbookView xWindow="12600" yWindow="225" windowWidth="12645" windowHeight="11640" activeTab="1"/>
  </bookViews>
  <sheets>
    <sheet name="Index" sheetId="18" r:id="rId1"/>
    <sheet name="Data" sheetId="1" r:id="rId2"/>
    <sheet name="MdBAM_2011" sheetId="2" r:id="rId3"/>
    <sheet name="MdBAM_2012" sheetId="19" r:id="rId4"/>
    <sheet name="MdBAM_2013" sheetId="20" r:id="rId5"/>
    <sheet name="stakeholders_balances" sheetId="16" r:id="rId6"/>
    <sheet name="definitions" sheetId="3" r:id="rId7"/>
    <sheet name="password" sheetId="17" r:id="rId8"/>
  </sheets>
  <definedNames>
    <definedName name="A_0_Input_data">Data!$B$4</definedName>
    <definedName name="A_1_Tax_data">Data!$B$9</definedName>
    <definedName name="A_2_Income_statement">Data!$B$13</definedName>
    <definedName name="A_3_Input_Ouput_VAT_current">Data!$B$83</definedName>
    <definedName name="A_4_Distribution_merchandise_purchases">Data!#REF!</definedName>
    <definedName name="A_5_0_Balance_sheet">Data!$B$101</definedName>
    <definedName name="A_5_1_Assets">Data!$B$103</definedName>
    <definedName name="A_5_2_Operations_fiexd_assets">Data!#REF!</definedName>
    <definedName name="A_5_3_Input_output_VAT_non_current">Data!#REF!</definedName>
    <definedName name="A_5_4_Equity_Liablities">Data!$B$130</definedName>
    <definedName name="A_6_0_Statement_change_equity">Data!$B$167</definedName>
    <definedName name="A_6_1_Statement_recognized_income_expense">Data!$B$169</definedName>
    <definedName name="A_6_2_Statement_of_change_share_capital_reserves">Data!$B$188</definedName>
    <definedName name="B_0_Aggregation_of_data_under_NA_scheme">Data!$B$209</definedName>
    <definedName name="B_1_0_Curent_account">Data!$B$211</definedName>
    <definedName name="B_1_1_Output">Data!$B$213</definedName>
    <definedName name="B_1_2_Intermediate_consumption">Data!$B$222</definedName>
    <definedName name="B_1_3_Fixed_capital_formation">Data!$B$243</definedName>
    <definedName name="B_1_4_Value_Added">Data!$B$248</definedName>
    <definedName name="B_1_5_Operating_surplus">Data!$B$254</definedName>
    <definedName name="B_1_6_Allocation_of_primary_income_account">Data!$B$262</definedName>
    <definedName name="B_1_7_Secondary_distribution_of_income_account">Data!$B$273</definedName>
    <definedName name="B_1_8_Use_of_disposable_income_account">Data!$B$282</definedName>
    <definedName name="B_2_0_Capital_account">Data!$B$287</definedName>
    <definedName name="B_2_1_Changes_in_equity_by_shareholders_contribution">Data!$B$289</definedName>
    <definedName name="B_2_2_Capital_transfers_received">Data!$B$296</definedName>
    <definedName name="B_2_3_Capital_transfers_given">Data!$B$304</definedName>
    <definedName name="B_2_4_Change_in_equity">Data!$B$308</definedName>
    <definedName name="B_2_5_Adjusted_change_in_equity">Data!$B$315</definedName>
    <definedName name="B_2_6_Change_in_inventories">Data!$B$341</definedName>
    <definedName name="B_2_7_Fixed_capital_formation">Data!$B$349</definedName>
    <definedName name="B_2_7_Fixed_capital_formation_alternative">Data!#REF!</definedName>
    <definedName name="B_2_8_Net_lending_borrowing">Data!$B$373</definedName>
    <definedName name="B_3_0_Financial_account">Data!$B$380</definedName>
    <definedName name="B_3_1_Changes_in_financial_assets">Data!$B$382</definedName>
    <definedName name="B_3_2_Changes_in_liabilities">Data!$B$397</definedName>
    <definedName name="B_3_3_Net_lending_net_borrowing">Data!$B$416</definedName>
  </definedNames>
  <calcPr calcId="162913"/>
</workbook>
</file>

<file path=xl/calcChain.xml><?xml version="1.0" encoding="utf-8"?>
<calcChain xmlns="http://schemas.openxmlformats.org/spreadsheetml/2006/main">
  <c r="F264" i="1" l="1"/>
  <c r="G264" i="1"/>
  <c r="E264" i="1"/>
  <c r="E15" i="1"/>
  <c r="F15" i="1"/>
  <c r="G15" i="1"/>
  <c r="D15" i="1"/>
  <c r="F329" i="1" l="1"/>
  <c r="G329" i="1"/>
  <c r="E329" i="1"/>
  <c r="F268" i="1" l="1"/>
  <c r="G268" i="1"/>
  <c r="E268" i="1"/>
  <c r="F231" i="1"/>
  <c r="G231" i="1"/>
  <c r="E231" i="1"/>
  <c r="D3" i="16" l="1"/>
  <c r="AJ39" i="20" l="1"/>
  <c r="AI39" i="20"/>
  <c r="AG39" i="20"/>
  <c r="AF39" i="20"/>
  <c r="AF41" i="20" s="1"/>
  <c r="AE39" i="20"/>
  <c r="N39" i="20"/>
  <c r="N41" i="20" s="1"/>
  <c r="I39" i="20"/>
  <c r="I41" i="20" s="1"/>
  <c r="F39" i="20"/>
  <c r="F41" i="20" s="1"/>
  <c r="AL36" i="20"/>
  <c r="AM36" i="20" s="1"/>
  <c r="AL35" i="20"/>
  <c r="AM35" i="20" s="1"/>
  <c r="AI41" i="20" s="1"/>
  <c r="AL32" i="20"/>
  <c r="AM32" i="20" s="1"/>
  <c r="AM31" i="20"/>
  <c r="AE41" i="20" s="1"/>
  <c r="AL31" i="20"/>
  <c r="AM14" i="20"/>
  <c r="AM9" i="20"/>
  <c r="AM6" i="20"/>
  <c r="N41" i="19"/>
  <c r="AJ39" i="19"/>
  <c r="AJ41" i="19" s="1"/>
  <c r="AI39" i="19"/>
  <c r="AG39" i="19"/>
  <c r="AF39" i="19"/>
  <c r="AF41" i="19" s="1"/>
  <c r="AE39" i="19"/>
  <c r="N39" i="19"/>
  <c r="I39" i="19"/>
  <c r="I41" i="19" s="1"/>
  <c r="F39" i="19"/>
  <c r="AM36" i="19"/>
  <c r="AL36" i="19"/>
  <c r="AL35" i="19"/>
  <c r="AM35" i="19" s="1"/>
  <c r="AI41" i="19" s="1"/>
  <c r="AM32" i="19"/>
  <c r="AL32" i="19"/>
  <c r="AL31" i="19"/>
  <c r="AM31" i="19" s="1"/>
  <c r="AE41" i="19" s="1"/>
  <c r="AM14" i="19"/>
  <c r="AM9" i="19"/>
  <c r="AM6" i="19"/>
  <c r="F41" i="19" s="1"/>
  <c r="AJ41" i="20" l="1"/>
  <c r="E185" i="1"/>
  <c r="F185" i="1"/>
  <c r="G185" i="1"/>
  <c r="D185" i="1"/>
  <c r="F178" i="1"/>
  <c r="G178" i="1"/>
  <c r="E178" i="1"/>
  <c r="D178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E338" i="1"/>
  <c r="E337" i="1"/>
  <c r="E336" i="1"/>
  <c r="E335" i="1"/>
  <c r="E334" i="1"/>
  <c r="E333" i="1"/>
  <c r="E332" i="1"/>
  <c r="E331" i="1"/>
  <c r="E330" i="1"/>
  <c r="E202" i="1"/>
  <c r="F202" i="1"/>
  <c r="G202" i="1"/>
  <c r="F292" i="1"/>
  <c r="G292" i="1"/>
  <c r="E292" i="1"/>
  <c r="F232" i="1" l="1"/>
  <c r="G232" i="1"/>
  <c r="E232" i="1"/>
  <c r="F230" i="1"/>
  <c r="G230" i="1"/>
  <c r="E230" i="1"/>
  <c r="F367" i="1" l="1"/>
  <c r="G367" i="1"/>
  <c r="E367" i="1"/>
  <c r="F355" i="1"/>
  <c r="G355" i="1"/>
  <c r="E355" i="1"/>
  <c r="E363" i="1" l="1"/>
  <c r="F363" i="1"/>
  <c r="G363" i="1"/>
  <c r="F358" i="1"/>
  <c r="G358" i="1"/>
  <c r="E358" i="1"/>
  <c r="F357" i="1"/>
  <c r="G357" i="1"/>
  <c r="E357" i="1"/>
  <c r="F354" i="1"/>
  <c r="G354" i="1"/>
  <c r="E354" i="1"/>
  <c r="F353" i="1"/>
  <c r="G353" i="1"/>
  <c r="E353" i="1"/>
  <c r="G352" i="1"/>
  <c r="F352" i="1"/>
  <c r="E352" i="1"/>
  <c r="F327" i="1"/>
  <c r="AD23" i="19" s="1"/>
  <c r="G327" i="1"/>
  <c r="AD23" i="20" s="1"/>
  <c r="E327" i="1"/>
  <c r="F328" i="1"/>
  <c r="W34" i="19" s="1"/>
  <c r="G328" i="1"/>
  <c r="W34" i="20" s="1"/>
  <c r="E328" i="1"/>
  <c r="F325" i="1"/>
  <c r="G325" i="1"/>
  <c r="E325" i="1"/>
  <c r="F322" i="1"/>
  <c r="G322" i="1"/>
  <c r="F323" i="1"/>
  <c r="W37" i="19" s="1"/>
  <c r="G323" i="1"/>
  <c r="W37" i="20" s="1"/>
  <c r="E323" i="1"/>
  <c r="E322" i="1"/>
  <c r="F321" i="1"/>
  <c r="G321" i="1"/>
  <c r="E321" i="1"/>
  <c r="W30" i="2" l="1"/>
  <c r="W30" i="20"/>
  <c r="W30" i="19"/>
  <c r="F351" i="1"/>
  <c r="G351" i="1"/>
  <c r="E351" i="1"/>
  <c r="F320" i="1"/>
  <c r="G320" i="1"/>
  <c r="E320" i="1"/>
  <c r="F319" i="1"/>
  <c r="G319" i="1"/>
  <c r="E319" i="1"/>
  <c r="F298" i="1" l="1"/>
  <c r="G298" i="1"/>
  <c r="E298" i="1"/>
  <c r="F267" i="1"/>
  <c r="G267" i="1"/>
  <c r="E267" i="1"/>
  <c r="F299" i="1"/>
  <c r="G299" i="1"/>
  <c r="E299" i="1"/>
  <c r="F297" i="1"/>
  <c r="G297" i="1"/>
  <c r="E297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E412" i="1"/>
  <c r="E411" i="1"/>
  <c r="E410" i="1"/>
  <c r="E409" i="1"/>
  <c r="E408" i="1"/>
  <c r="E40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E405" i="1"/>
  <c r="E404" i="1"/>
  <c r="E403" i="1"/>
  <c r="E402" i="1"/>
  <c r="E401" i="1"/>
  <c r="E400" i="1"/>
  <c r="E399" i="1"/>
  <c r="E398" i="1"/>
  <c r="F389" i="1"/>
  <c r="G389" i="1"/>
  <c r="F390" i="1"/>
  <c r="G390" i="1"/>
  <c r="F391" i="1"/>
  <c r="G391" i="1"/>
  <c r="F392" i="1"/>
  <c r="G392" i="1"/>
  <c r="F393" i="1"/>
  <c r="G393" i="1"/>
  <c r="E393" i="1"/>
  <c r="E392" i="1"/>
  <c r="E391" i="1"/>
  <c r="E390" i="1"/>
  <c r="F387" i="1"/>
  <c r="G387" i="1"/>
  <c r="E387" i="1"/>
  <c r="F385" i="1"/>
  <c r="G385" i="1"/>
  <c r="F386" i="1"/>
  <c r="G386" i="1"/>
  <c r="E386" i="1"/>
  <c r="E385" i="1"/>
  <c r="F384" i="1"/>
  <c r="G384" i="1"/>
  <c r="E384" i="1"/>
  <c r="F383" i="1"/>
  <c r="G383" i="1"/>
  <c r="E383" i="1"/>
  <c r="F200" i="1"/>
  <c r="F291" i="1" s="1"/>
  <c r="G200" i="1"/>
  <c r="G291" i="1" s="1"/>
  <c r="E200" i="1"/>
  <c r="E291" i="1" s="1"/>
  <c r="F191" i="1"/>
  <c r="G191" i="1"/>
  <c r="E191" i="1"/>
  <c r="E190" i="1"/>
  <c r="E198" i="1" s="1"/>
  <c r="F190" i="1"/>
  <c r="F198" i="1" s="1"/>
  <c r="G190" i="1"/>
  <c r="G198" i="1" s="1"/>
  <c r="F284" i="1"/>
  <c r="U30" i="19" s="1"/>
  <c r="G284" i="1"/>
  <c r="U30" i="20" s="1"/>
  <c r="E284" i="1"/>
  <c r="F277" i="1"/>
  <c r="G277" i="1"/>
  <c r="E277" i="1"/>
  <c r="F279" i="1"/>
  <c r="G279" i="1"/>
  <c r="E279" i="1"/>
  <c r="F270" i="1"/>
  <c r="G270" i="1"/>
  <c r="E270" i="1"/>
  <c r="F245" i="1"/>
  <c r="G245" i="1"/>
  <c r="E245" i="1"/>
  <c r="F244" i="1"/>
  <c r="G244" i="1"/>
  <c r="E244" i="1"/>
  <c r="F259" i="1"/>
  <c r="G259" i="1"/>
  <c r="E259" i="1"/>
  <c r="F258" i="1"/>
  <c r="G258" i="1"/>
  <c r="E258" i="1"/>
  <c r="L16" i="2" s="1"/>
  <c r="F257" i="1"/>
  <c r="G257" i="1"/>
  <c r="E257" i="1"/>
  <c r="F256" i="1"/>
  <c r="G256" i="1"/>
  <c r="E256" i="1"/>
  <c r="F89" i="1"/>
  <c r="G89" i="1"/>
  <c r="E89" i="1"/>
  <c r="F226" i="1"/>
  <c r="G226" i="1"/>
  <c r="E226" i="1"/>
  <c r="F345" i="1"/>
  <c r="G345" i="1"/>
  <c r="F346" i="1"/>
  <c r="G346" i="1"/>
  <c r="E345" i="1"/>
  <c r="F344" i="1"/>
  <c r="G344" i="1"/>
  <c r="E346" i="1"/>
  <c r="E344" i="1"/>
  <c r="F343" i="1"/>
  <c r="G343" i="1"/>
  <c r="E343" i="1"/>
  <c r="F342" i="1"/>
  <c r="G342" i="1"/>
  <c r="E342" i="1"/>
  <c r="F216" i="1"/>
  <c r="Y5" i="19" s="1"/>
  <c r="G216" i="1"/>
  <c r="Y5" i="20" s="1"/>
  <c r="E240" i="1"/>
  <c r="F92" i="1"/>
  <c r="G92" i="1"/>
  <c r="E92" i="1"/>
  <c r="F91" i="1"/>
  <c r="G91" i="1"/>
  <c r="E91" i="1"/>
  <c r="F90" i="1"/>
  <c r="G90" i="1"/>
  <c r="E90" i="1"/>
  <c r="F239" i="1"/>
  <c r="G239" i="1"/>
  <c r="F240" i="1"/>
  <c r="G240" i="1"/>
  <c r="E239" i="1"/>
  <c r="F238" i="1"/>
  <c r="G238" i="1"/>
  <c r="E238" i="1"/>
  <c r="F237" i="1"/>
  <c r="G237" i="1"/>
  <c r="E237" i="1"/>
  <c r="Y7" i="19" l="1"/>
  <c r="X25" i="19" s="1"/>
  <c r="AM25" i="19" s="1"/>
  <c r="M30" i="19"/>
  <c r="M39" i="19" s="1"/>
  <c r="L13" i="19"/>
  <c r="AM13" i="19" s="1"/>
  <c r="Q33" i="20"/>
  <c r="Q39" i="20" s="1"/>
  <c r="L17" i="20"/>
  <c r="AM17" i="20" s="1"/>
  <c r="L16" i="20"/>
  <c r="AM16" i="20" s="1"/>
  <c r="P30" i="20"/>
  <c r="P39" i="20" s="1"/>
  <c r="P41" i="20" s="1"/>
  <c r="L17" i="19"/>
  <c r="AM17" i="19" s="1"/>
  <c r="Q33" i="19"/>
  <c r="Q39" i="19" s="1"/>
  <c r="Y7" i="20"/>
  <c r="X25" i="20" s="1"/>
  <c r="AM25" i="20" s="1"/>
  <c r="L15" i="20"/>
  <c r="AM15" i="20" s="1"/>
  <c r="O33" i="20"/>
  <c r="O39" i="20" s="1"/>
  <c r="P30" i="19"/>
  <c r="P39" i="19" s="1"/>
  <c r="L16" i="19"/>
  <c r="AM16" i="19" s="1"/>
  <c r="Y39" i="19"/>
  <c r="L13" i="20"/>
  <c r="AM13" i="20" s="1"/>
  <c r="M30" i="20"/>
  <c r="M39" i="20" s="1"/>
  <c r="O33" i="19"/>
  <c r="O39" i="19" s="1"/>
  <c r="L15" i="19"/>
  <c r="AM15" i="19" s="1"/>
  <c r="E206" i="1"/>
  <c r="G206" i="1"/>
  <c r="F206" i="1"/>
  <c r="P30" i="2"/>
  <c r="Y7" i="2"/>
  <c r="Q41" i="19" l="1"/>
  <c r="Y41" i="19"/>
  <c r="M41" i="19"/>
  <c r="O41" i="19"/>
  <c r="P41" i="19"/>
  <c r="Y39" i="20"/>
  <c r="Y41" i="20" s="1"/>
  <c r="O41" i="20"/>
  <c r="Q41" i="20"/>
  <c r="M41" i="20"/>
  <c r="F219" i="1"/>
  <c r="G219" i="1"/>
  <c r="E219" i="1"/>
  <c r="F218" i="1"/>
  <c r="Z5" i="19" s="1"/>
  <c r="G218" i="1"/>
  <c r="Z5" i="20" s="1"/>
  <c r="E218" i="1"/>
  <c r="Z5" i="2" s="1"/>
  <c r="F215" i="1"/>
  <c r="G215" i="1"/>
  <c r="F214" i="1"/>
  <c r="G214" i="1"/>
  <c r="E216" i="1"/>
  <c r="Y5" i="2" s="1"/>
  <c r="E215" i="1"/>
  <c r="E214" i="1"/>
  <c r="G318" i="1" l="1"/>
  <c r="AK23" i="20" s="1"/>
  <c r="F318" i="1"/>
  <c r="AK23" i="19" s="1"/>
  <c r="G317" i="1"/>
  <c r="F317" i="1"/>
  <c r="E318" i="1"/>
  <c r="E317" i="1"/>
  <c r="E49" i="1" l="1"/>
  <c r="F49" i="1"/>
  <c r="G49" i="1"/>
  <c r="D49" i="1"/>
  <c r="AK23" i="2" l="1"/>
  <c r="D27" i="1" l="1"/>
  <c r="D37" i="1"/>
  <c r="D36" i="1" s="1"/>
  <c r="D57" i="1"/>
  <c r="D53" i="1" l="1"/>
  <c r="D67" i="1"/>
  <c r="D74" i="1" s="1"/>
  <c r="D32" i="1"/>
  <c r="D146" i="1"/>
  <c r="D26" i="1"/>
  <c r="D154" i="1"/>
  <c r="D105" i="1"/>
  <c r="D132" i="1"/>
  <c r="D131" i="1" s="1"/>
  <c r="D21" i="1"/>
  <c r="D115" i="1"/>
  <c r="D113" i="1" s="1"/>
  <c r="D127" i="1" l="1"/>
  <c r="D62" i="1"/>
  <c r="D75" i="1" s="1"/>
  <c r="D77" i="1" s="1"/>
  <c r="D80" i="1" s="1"/>
  <c r="D162" i="1"/>
  <c r="D164" i="1" l="1"/>
  <c r="D170" i="1"/>
  <c r="E37" i="1"/>
  <c r="E36" i="1" s="1"/>
  <c r="F37" i="1"/>
  <c r="F36" i="1" s="1"/>
  <c r="G37" i="1"/>
  <c r="G36" i="1" s="1"/>
  <c r="G98" i="1" l="1"/>
  <c r="E98" i="1"/>
  <c r="F98" i="1"/>
  <c r="E96" i="1"/>
  <c r="F96" i="1"/>
  <c r="G96" i="1"/>
  <c r="S33" i="20" l="1"/>
  <c r="S33" i="19"/>
  <c r="S33" i="2"/>
  <c r="B37" i="16"/>
  <c r="AD23" i="2"/>
  <c r="W37" i="2" l="1"/>
  <c r="G300" i="1"/>
  <c r="AK22" i="20" s="1"/>
  <c r="E300" i="1"/>
  <c r="AK22" i="2" s="1"/>
  <c r="AK39" i="20" l="1"/>
  <c r="F300" i="1"/>
  <c r="AK22" i="19" s="1"/>
  <c r="AK39" i="19" l="1"/>
  <c r="E326" i="1"/>
  <c r="F326" i="1"/>
  <c r="G326" i="1"/>
  <c r="AH23" i="2" l="1"/>
  <c r="E324" i="1"/>
  <c r="G324" i="1"/>
  <c r="AH23" i="20"/>
  <c r="F324" i="1"/>
  <c r="AH23" i="19"/>
  <c r="W34" i="2"/>
  <c r="C9" i="16" l="1"/>
  <c r="D9" i="16"/>
  <c r="AJ39" i="2"/>
  <c r="AL36" i="2"/>
  <c r="K9" i="16" l="1"/>
  <c r="AM36" i="2"/>
  <c r="AJ41" i="2" s="1"/>
  <c r="B9" i="16"/>
  <c r="J9" i="16" s="1"/>
  <c r="L9" i="16" l="1"/>
  <c r="B25" i="16"/>
  <c r="B44" i="16"/>
  <c r="E95" i="1" l="1"/>
  <c r="E33" i="2" s="1"/>
  <c r="F95" i="1"/>
  <c r="E33" i="19" s="1"/>
  <c r="E57" i="1"/>
  <c r="F57" i="1"/>
  <c r="G57" i="1"/>
  <c r="E27" i="1" l="1"/>
  <c r="F27" i="1"/>
  <c r="G27" i="1"/>
  <c r="G95" i="1"/>
  <c r="E33" i="20" s="1"/>
  <c r="F227" i="1"/>
  <c r="G227" i="1"/>
  <c r="E227" i="1"/>
  <c r="F86" i="1" l="1"/>
  <c r="F223" i="1"/>
  <c r="G88" i="1"/>
  <c r="G225" i="1"/>
  <c r="F87" i="1"/>
  <c r="F224" i="1"/>
  <c r="G86" i="1"/>
  <c r="G223" i="1"/>
  <c r="G87" i="1"/>
  <c r="G224" i="1"/>
  <c r="F88" i="1"/>
  <c r="F225" i="1"/>
  <c r="E88" i="1"/>
  <c r="E225" i="1"/>
  <c r="E86" i="1"/>
  <c r="E223" i="1"/>
  <c r="E87" i="1"/>
  <c r="E224" i="1"/>
  <c r="F413" i="1"/>
  <c r="AB27" i="19" s="1"/>
  <c r="G53" i="1"/>
  <c r="E53" i="1"/>
  <c r="F53" i="1"/>
  <c r="G406" i="1"/>
  <c r="AC27" i="20" s="1"/>
  <c r="F406" i="1"/>
  <c r="AC27" i="19" s="1"/>
  <c r="E406" i="1"/>
  <c r="G115" i="1"/>
  <c r="G113" i="1" s="1"/>
  <c r="F115" i="1"/>
  <c r="E115" i="1"/>
  <c r="G413" i="1"/>
  <c r="AB27" i="20" s="1"/>
  <c r="E413" i="1"/>
  <c r="F154" i="1"/>
  <c r="G154" i="1"/>
  <c r="E154" i="1"/>
  <c r="G146" i="1"/>
  <c r="E146" i="1"/>
  <c r="F146" i="1"/>
  <c r="F67" i="1"/>
  <c r="F74" i="1" s="1"/>
  <c r="G67" i="1"/>
  <c r="G74" i="1" s="1"/>
  <c r="E67" i="1"/>
  <c r="E74" i="1" s="1"/>
  <c r="E389" i="1"/>
  <c r="F21" i="1"/>
  <c r="G26" i="1"/>
  <c r="F105" i="1"/>
  <c r="G105" i="1"/>
  <c r="E32" i="1"/>
  <c r="E21" i="1"/>
  <c r="E26" i="1"/>
  <c r="F32" i="1"/>
  <c r="G21" i="1"/>
  <c r="F26" i="1"/>
  <c r="G32" i="1"/>
  <c r="E105" i="1"/>
  <c r="F93" i="1" l="1"/>
  <c r="F97" i="1" s="1"/>
  <c r="G33" i="19" s="1"/>
  <c r="G93" i="1"/>
  <c r="G97" i="1" s="1"/>
  <c r="G33" i="20" s="1"/>
  <c r="E93" i="1"/>
  <c r="E97" i="1" s="1"/>
  <c r="G33" i="2" s="1"/>
  <c r="G132" i="1"/>
  <c r="E132" i="1"/>
  <c r="E131" i="1" s="1"/>
  <c r="F132" i="1"/>
  <c r="F131" i="1" s="1"/>
  <c r="F113" i="1"/>
  <c r="E113" i="1"/>
  <c r="F62" i="1"/>
  <c r="G62" i="1"/>
  <c r="E62" i="1"/>
  <c r="F394" i="1"/>
  <c r="AA28" i="19" s="1"/>
  <c r="G394" i="1"/>
  <c r="AA28" i="20" s="1"/>
  <c r="F305" i="1"/>
  <c r="V34" i="19" s="1"/>
  <c r="G305" i="1"/>
  <c r="V34" i="20" s="1"/>
  <c r="F275" i="1"/>
  <c r="F278" i="1"/>
  <c r="T33" i="19" s="1"/>
  <c r="F276" i="1"/>
  <c r="F265" i="1"/>
  <c r="AD19" i="19" s="1"/>
  <c r="G265" i="1"/>
  <c r="F266" i="1"/>
  <c r="G266" i="1"/>
  <c r="F269" i="1"/>
  <c r="S30" i="19" s="1"/>
  <c r="G269" i="1"/>
  <c r="S30" i="20" s="1"/>
  <c r="F228" i="1"/>
  <c r="G228" i="1"/>
  <c r="F229" i="1"/>
  <c r="G229" i="1"/>
  <c r="F217" i="1"/>
  <c r="AD5" i="19" s="1"/>
  <c r="G217" i="1"/>
  <c r="AD5" i="20" s="1"/>
  <c r="AD19" i="20" l="1"/>
  <c r="AM5" i="20"/>
  <c r="AM5" i="19"/>
  <c r="AM28" i="20"/>
  <c r="AB38" i="20"/>
  <c r="AL33" i="19"/>
  <c r="AM33" i="19" s="1"/>
  <c r="AG41" i="19" s="1"/>
  <c r="AD39" i="20"/>
  <c r="T30" i="19"/>
  <c r="AM28" i="19"/>
  <c r="AB38" i="19"/>
  <c r="AD39" i="19"/>
  <c r="G233" i="1"/>
  <c r="F233" i="1"/>
  <c r="J7" i="19" s="1"/>
  <c r="G356" i="1"/>
  <c r="G359" i="1" s="1"/>
  <c r="G131" i="1"/>
  <c r="B42" i="16"/>
  <c r="B35" i="16"/>
  <c r="F306" i="1"/>
  <c r="F312" i="1" s="1"/>
  <c r="G306" i="1"/>
  <c r="G312" i="1" s="1"/>
  <c r="F347" i="1"/>
  <c r="G347" i="1"/>
  <c r="F356" i="1"/>
  <c r="F359" i="1" s="1"/>
  <c r="AB39" i="19" l="1"/>
  <c r="AB41" i="19" s="1"/>
  <c r="AB39" i="20"/>
  <c r="AB41" i="20" s="1"/>
  <c r="K10" i="19"/>
  <c r="AM7" i="19"/>
  <c r="J39" i="19"/>
  <c r="G236" i="1"/>
  <c r="J7" i="20"/>
  <c r="G376" i="1"/>
  <c r="G362" i="1"/>
  <c r="G364" i="1" s="1"/>
  <c r="F362" i="1"/>
  <c r="F364" i="1" s="1"/>
  <c r="F376" i="1"/>
  <c r="G250" i="1"/>
  <c r="F250" i="1"/>
  <c r="F236" i="1"/>
  <c r="B24" i="16"/>
  <c r="B41" i="16"/>
  <c r="B23" i="16"/>
  <c r="B40" i="16"/>
  <c r="B39" i="16"/>
  <c r="B21" i="16"/>
  <c r="B22" i="16"/>
  <c r="B38" i="16"/>
  <c r="B34" i="16"/>
  <c r="G414" i="1"/>
  <c r="G220" i="1"/>
  <c r="G75" i="1"/>
  <c r="G77" i="1" s="1"/>
  <c r="G80" i="1" s="1"/>
  <c r="F75" i="1"/>
  <c r="F77" i="1" s="1"/>
  <c r="F80" i="1" s="1"/>
  <c r="F375" i="1"/>
  <c r="G375" i="1"/>
  <c r="F414" i="1"/>
  <c r="F220" i="1"/>
  <c r="F249" i="1" l="1"/>
  <c r="E11" i="19"/>
  <c r="G249" i="1"/>
  <c r="E11" i="20"/>
  <c r="G366" i="1"/>
  <c r="G368" i="1" s="1"/>
  <c r="G369" i="1" s="1"/>
  <c r="H37" i="20" s="1"/>
  <c r="AL37" i="20" s="1"/>
  <c r="AM37" i="20" s="1"/>
  <c r="AK41" i="20" s="1"/>
  <c r="Z8" i="20"/>
  <c r="F366" i="1"/>
  <c r="F368" i="1" s="1"/>
  <c r="F369" i="1" s="1"/>
  <c r="H37" i="19" s="1"/>
  <c r="Z8" i="19"/>
  <c r="K10" i="20"/>
  <c r="J39" i="20"/>
  <c r="AM7" i="20"/>
  <c r="AM10" i="19"/>
  <c r="J41" i="19" s="1"/>
  <c r="D8" i="16"/>
  <c r="B20" i="16"/>
  <c r="B33" i="16"/>
  <c r="C37" i="16" s="1"/>
  <c r="F246" i="1"/>
  <c r="K26" i="19" s="1"/>
  <c r="K12" i="19" s="1"/>
  <c r="K39" i="19" s="1"/>
  <c r="G311" i="1"/>
  <c r="G302" i="1"/>
  <c r="F311" i="1"/>
  <c r="F302" i="1"/>
  <c r="F170" i="1"/>
  <c r="F186" i="1" s="1"/>
  <c r="E305" i="1"/>
  <c r="V34" i="2" s="1"/>
  <c r="H34" i="20" l="1"/>
  <c r="H39" i="20" s="1"/>
  <c r="AM8" i="19"/>
  <c r="Z39" i="19"/>
  <c r="X26" i="19"/>
  <c r="AM26" i="19" s="1"/>
  <c r="Z41" i="19" s="1"/>
  <c r="AM8" i="20"/>
  <c r="Z39" i="20"/>
  <c r="E39" i="19"/>
  <c r="E41" i="19" s="1"/>
  <c r="AM11" i="19"/>
  <c r="K41" i="19" s="1"/>
  <c r="AL37" i="19"/>
  <c r="AM37" i="19" s="1"/>
  <c r="AK41" i="19" s="1"/>
  <c r="AM11" i="20"/>
  <c r="E39" i="20"/>
  <c r="E41" i="20" s="1"/>
  <c r="H34" i="19"/>
  <c r="H39" i="19" s="1"/>
  <c r="AM12" i="19"/>
  <c r="L18" i="19"/>
  <c r="AM10" i="20"/>
  <c r="J41" i="20" s="1"/>
  <c r="C41" i="16"/>
  <c r="C42" i="16"/>
  <c r="C44" i="16"/>
  <c r="C38" i="16"/>
  <c r="C35" i="16"/>
  <c r="C8" i="16"/>
  <c r="C10" i="16"/>
  <c r="C40" i="16"/>
  <c r="C39" i="16"/>
  <c r="G170" i="1"/>
  <c r="G186" i="1" s="1"/>
  <c r="E306" i="1"/>
  <c r="E312" i="1" s="1"/>
  <c r="F377" i="1"/>
  <c r="F251" i="1"/>
  <c r="F252" i="1" s="1"/>
  <c r="F255" i="1" s="1"/>
  <c r="F260" i="1" s="1"/>
  <c r="F263" i="1" s="1"/>
  <c r="F271" i="1" s="1"/>
  <c r="F274" i="1" s="1"/>
  <c r="F280" i="1" s="1"/>
  <c r="F283" i="1" s="1"/>
  <c r="G278" i="1"/>
  <c r="T33" i="20" s="1"/>
  <c r="AL33" i="20" s="1"/>
  <c r="AM33" i="20" s="1"/>
  <c r="AG41" i="20" s="1"/>
  <c r="E278" i="1"/>
  <c r="T33" i="2" s="1"/>
  <c r="G276" i="1"/>
  <c r="E276" i="1"/>
  <c r="H41" i="20" l="1"/>
  <c r="H41" i="19"/>
  <c r="AM18" i="19"/>
  <c r="R19" i="19"/>
  <c r="L39" i="19"/>
  <c r="L41" i="19" s="1"/>
  <c r="K8" i="16"/>
  <c r="D7" i="16"/>
  <c r="C7" i="16"/>
  <c r="D10" i="16"/>
  <c r="C6" i="16"/>
  <c r="B46" i="16"/>
  <c r="R39" i="19" l="1"/>
  <c r="R41" i="19" s="1"/>
  <c r="S20" i="19"/>
  <c r="AM19" i="19"/>
  <c r="K10" i="16"/>
  <c r="C46" i="16"/>
  <c r="K7" i="16"/>
  <c r="D5" i="16"/>
  <c r="G246" i="1"/>
  <c r="K26" i="20" s="1"/>
  <c r="B43" i="16"/>
  <c r="C43" i="16" s="1"/>
  <c r="G275" i="1"/>
  <c r="T30" i="20" s="1"/>
  <c r="B19" i="16"/>
  <c r="B36" i="16"/>
  <c r="K12" i="20" l="1"/>
  <c r="X26" i="20"/>
  <c r="AM26" i="20" s="1"/>
  <c r="Z41" i="20" s="1"/>
  <c r="T21" i="19"/>
  <c r="AM20" i="19"/>
  <c r="S39" i="19"/>
  <c r="S41" i="19" s="1"/>
  <c r="B45" i="16"/>
  <c r="C36" i="16"/>
  <c r="AI39" i="2"/>
  <c r="G251" i="1"/>
  <c r="G252" i="1" s="1"/>
  <c r="G255" i="1" s="1"/>
  <c r="G260" i="1" s="1"/>
  <c r="G263" i="1" s="1"/>
  <c r="G271" i="1" s="1"/>
  <c r="E229" i="1"/>
  <c r="E228" i="1"/>
  <c r="E233" i="1" s="1"/>
  <c r="K39" i="20" l="1"/>
  <c r="K41" i="20" s="1"/>
  <c r="AM12" i="20"/>
  <c r="L18" i="20"/>
  <c r="T39" i="19"/>
  <c r="T41" i="19" s="1"/>
  <c r="C45" i="16"/>
  <c r="B47" i="16"/>
  <c r="C47" i="16" s="1"/>
  <c r="D6" i="16"/>
  <c r="B26" i="16"/>
  <c r="D4" i="16"/>
  <c r="AF39" i="2"/>
  <c r="AL35" i="2"/>
  <c r="G377" i="1"/>
  <c r="G274" i="1"/>
  <c r="G280" i="1" s="1"/>
  <c r="G283" i="1" s="1"/>
  <c r="G285" i="1" s="1"/>
  <c r="G309" i="1" s="1"/>
  <c r="R19" i="20" l="1"/>
  <c r="AM18" i="20"/>
  <c r="L39" i="20"/>
  <c r="L41" i="20" s="1"/>
  <c r="K6" i="16"/>
  <c r="AM35" i="2"/>
  <c r="B8" i="16"/>
  <c r="D11" i="16"/>
  <c r="B27" i="16"/>
  <c r="C26" i="16" s="1"/>
  <c r="S20" i="20" l="1"/>
  <c r="AM19" i="20"/>
  <c r="R39" i="20"/>
  <c r="R41" i="20" s="1"/>
  <c r="L8" i="16"/>
  <c r="J8" i="16"/>
  <c r="G3" i="16"/>
  <c r="G7" i="16"/>
  <c r="G4" i="16"/>
  <c r="G5" i="16"/>
  <c r="G11" i="16"/>
  <c r="G6" i="16"/>
  <c r="G9" i="16"/>
  <c r="G10" i="16"/>
  <c r="G8" i="16"/>
  <c r="C20" i="16"/>
  <c r="C24" i="16"/>
  <c r="C25" i="16"/>
  <c r="C19" i="16"/>
  <c r="C23" i="16"/>
  <c r="C21" i="16"/>
  <c r="C22" i="16"/>
  <c r="C27" i="16"/>
  <c r="L15" i="2"/>
  <c r="E275" i="1"/>
  <c r="T30" i="2" s="1"/>
  <c r="E217" i="1"/>
  <c r="AD5" i="2" s="1"/>
  <c r="E266" i="1"/>
  <c r="T21" i="20" l="1"/>
  <c r="S39" i="20"/>
  <c r="S41" i="20" s="1"/>
  <c r="AM20" i="20"/>
  <c r="P39" i="2"/>
  <c r="AM16" i="2"/>
  <c r="AM14" i="2"/>
  <c r="N39" i="2"/>
  <c r="AM15" i="2"/>
  <c r="O33" i="2"/>
  <c r="E269" i="1"/>
  <c r="S30" i="2" s="1"/>
  <c r="E394" i="1"/>
  <c r="E265" i="1"/>
  <c r="AD19" i="2" s="1"/>
  <c r="T39" i="20" l="1"/>
  <c r="T41" i="20" s="1"/>
  <c r="M30" i="2"/>
  <c r="L13" i="2"/>
  <c r="Q33" i="2"/>
  <c r="Q39" i="2" s="1"/>
  <c r="L17" i="2"/>
  <c r="AM17" i="2" s="1"/>
  <c r="AA28" i="2"/>
  <c r="AM28" i="2" s="1"/>
  <c r="E246" i="1"/>
  <c r="AC27" i="2"/>
  <c r="AB27" i="2"/>
  <c r="P41" i="2"/>
  <c r="O39" i="2"/>
  <c r="O41" i="2" s="1"/>
  <c r="N41" i="2"/>
  <c r="J7" i="2" l="1"/>
  <c r="E356" i="1"/>
  <c r="E359" i="1" s="1"/>
  <c r="AM9" i="2"/>
  <c r="AM6" i="2"/>
  <c r="E302" i="1"/>
  <c r="X25" i="2"/>
  <c r="AM25" i="2" s="1"/>
  <c r="E347" i="1"/>
  <c r="E375" i="1" s="1"/>
  <c r="E377" i="1"/>
  <c r="K26" i="2"/>
  <c r="AG39" i="2"/>
  <c r="AB38" i="2"/>
  <c r="AB39" i="2" s="1"/>
  <c r="M39" i="2"/>
  <c r="AM13" i="2"/>
  <c r="E414" i="1"/>
  <c r="E220" i="1"/>
  <c r="E11" i="2" s="1"/>
  <c r="Q41" i="2"/>
  <c r="E75" i="1"/>
  <c r="E77" i="1" s="1"/>
  <c r="E80" i="1" s="1"/>
  <c r="E376" i="1" l="1"/>
  <c r="E362" i="1"/>
  <c r="E364" i="1" s="1"/>
  <c r="E249" i="1"/>
  <c r="AM5" i="2"/>
  <c r="K10" i="2"/>
  <c r="E250" i="1"/>
  <c r="E236" i="1"/>
  <c r="E241" i="1" s="1"/>
  <c r="G30" i="2" s="1"/>
  <c r="F241" i="1"/>
  <c r="G30" i="19" s="1"/>
  <c r="I39" i="2"/>
  <c r="I41" i="2" s="1"/>
  <c r="AM7" i="2"/>
  <c r="J39" i="2"/>
  <c r="F39" i="2"/>
  <c r="F41" i="2" s="1"/>
  <c r="E311" i="1"/>
  <c r="E170" i="1"/>
  <c r="E186" i="1" s="1"/>
  <c r="E251" i="1"/>
  <c r="AE39" i="2"/>
  <c r="M41" i="2"/>
  <c r="AM11" i="2"/>
  <c r="AK39" i="2"/>
  <c r="E39" i="2"/>
  <c r="G39" i="19" l="1"/>
  <c r="AL30" i="19"/>
  <c r="AM30" i="19" s="1"/>
  <c r="AD41" i="19" s="1"/>
  <c r="E366" i="1"/>
  <c r="E368" i="1" s="1"/>
  <c r="E369" i="1" s="1"/>
  <c r="H37" i="2" s="1"/>
  <c r="Z8" i="2"/>
  <c r="G39" i="2"/>
  <c r="G41" i="2" s="1"/>
  <c r="K12" i="2"/>
  <c r="AM12" i="2" s="1"/>
  <c r="E41" i="2"/>
  <c r="AM10" i="2"/>
  <c r="J41" i="2" s="1"/>
  <c r="E252" i="1"/>
  <c r="E255" i="1" s="1"/>
  <c r="E260" i="1" s="1"/>
  <c r="E263" i="1" s="1"/>
  <c r="E271" i="1" s="1"/>
  <c r="E274" i="1" s="1"/>
  <c r="E280" i="1" s="1"/>
  <c r="E283" i="1" s="1"/>
  <c r="G241" i="1"/>
  <c r="G30" i="20" s="1"/>
  <c r="AL32" i="2"/>
  <c r="H34" i="2" l="1"/>
  <c r="H39" i="2" s="1"/>
  <c r="G39" i="20"/>
  <c r="AL30" i="20"/>
  <c r="C3" i="16"/>
  <c r="G41" i="19"/>
  <c r="AM8" i="2"/>
  <c r="X26" i="2"/>
  <c r="AM26" i="2" s="1"/>
  <c r="AL37" i="2"/>
  <c r="B10" i="16" s="1"/>
  <c r="Z39" i="2"/>
  <c r="K39" i="2"/>
  <c r="K41" i="2" s="1"/>
  <c r="L18" i="2"/>
  <c r="L39" i="2" s="1"/>
  <c r="L41" i="2" s="1"/>
  <c r="AM32" i="2"/>
  <c r="AF41" i="2" s="1"/>
  <c r="B5" i="16"/>
  <c r="L5" i="16" s="1"/>
  <c r="AI41" i="2"/>
  <c r="AL33" i="2"/>
  <c r="B6" i="16" s="1"/>
  <c r="G41" i="20" l="1"/>
  <c r="AM30" i="20"/>
  <c r="AD41" i="20" s="1"/>
  <c r="H41" i="2"/>
  <c r="AM37" i="2"/>
  <c r="J10" i="16"/>
  <c r="L10" i="16"/>
  <c r="I10" i="16"/>
  <c r="H10" i="16"/>
  <c r="Z41" i="2"/>
  <c r="R19" i="2"/>
  <c r="S20" i="2" s="1"/>
  <c r="T21" i="2" s="1"/>
  <c r="AM18" i="2"/>
  <c r="J6" i="16"/>
  <c r="L6" i="16"/>
  <c r="H6" i="16"/>
  <c r="I6" i="16"/>
  <c r="F162" i="1"/>
  <c r="G162" i="1"/>
  <c r="E162" i="1"/>
  <c r="AL31" i="2"/>
  <c r="E285" i="1"/>
  <c r="E309" i="1" s="1"/>
  <c r="U30" i="2"/>
  <c r="AM19" i="2" l="1"/>
  <c r="R39" i="2"/>
  <c r="R41" i="2" s="1"/>
  <c r="AM31" i="2"/>
  <c r="AE41" i="2" s="1"/>
  <c r="B4" i="16"/>
  <c r="S39" i="2"/>
  <c r="AM20" i="2"/>
  <c r="F192" i="1"/>
  <c r="F290" i="1" s="1"/>
  <c r="F293" i="1" s="1"/>
  <c r="F294" i="1" s="1"/>
  <c r="F127" i="1"/>
  <c r="F164" i="1" s="1"/>
  <c r="G127" i="1"/>
  <c r="G164" i="1" s="1"/>
  <c r="E192" i="1"/>
  <c r="E290" i="1" s="1"/>
  <c r="E293" i="1" s="1"/>
  <c r="E294" i="1" s="1"/>
  <c r="F388" i="1"/>
  <c r="AA29" i="19" s="1"/>
  <c r="AL30" i="2"/>
  <c r="T39" i="2"/>
  <c r="AM33" i="2"/>
  <c r="AG41" i="2" s="1"/>
  <c r="AD39" i="2"/>
  <c r="E127" i="1"/>
  <c r="E164" i="1" s="1"/>
  <c r="F310" i="1" l="1"/>
  <c r="AH21" i="19"/>
  <c r="AM29" i="19"/>
  <c r="AC38" i="19"/>
  <c r="AA39" i="19"/>
  <c r="S41" i="2"/>
  <c r="I4" i="16"/>
  <c r="L4" i="16"/>
  <c r="C5" i="16"/>
  <c r="C4" i="16"/>
  <c r="B3" i="16"/>
  <c r="L3" i="16" s="1"/>
  <c r="T41" i="2"/>
  <c r="E388" i="1"/>
  <c r="E395" i="1" s="1"/>
  <c r="E416" i="1" s="1"/>
  <c r="F395" i="1"/>
  <c r="F416" i="1" s="1"/>
  <c r="G388" i="1"/>
  <c r="AA29" i="20" s="1"/>
  <c r="G192" i="1"/>
  <c r="G290" i="1" s="1"/>
  <c r="G293" i="1" s="1"/>
  <c r="G294" i="1" s="1"/>
  <c r="F285" i="1"/>
  <c r="F309" i="1" s="1"/>
  <c r="AM30" i="2"/>
  <c r="AK41" i="2"/>
  <c r="F313" i="1" l="1"/>
  <c r="F316" i="1" s="1"/>
  <c r="F339" i="1" s="1"/>
  <c r="AC39" i="19"/>
  <c r="AC41" i="19" s="1"/>
  <c r="AM38" i="19"/>
  <c r="AM29" i="20"/>
  <c r="AC38" i="20"/>
  <c r="AA39" i="20"/>
  <c r="AH39" i="19"/>
  <c r="AL34" i="19"/>
  <c r="AM21" i="19"/>
  <c r="U22" i="19"/>
  <c r="G310" i="1"/>
  <c r="G313" i="1" s="1"/>
  <c r="G316" i="1" s="1"/>
  <c r="G339" i="1" s="1"/>
  <c r="G374" i="1" s="1"/>
  <c r="G378" i="1" s="1"/>
  <c r="AH21" i="20"/>
  <c r="J5" i="16"/>
  <c r="K5" i="16"/>
  <c r="H4" i="16"/>
  <c r="J4" i="16"/>
  <c r="K4" i="16"/>
  <c r="C11" i="16"/>
  <c r="I3" i="16"/>
  <c r="AA29" i="2"/>
  <c r="G395" i="1"/>
  <c r="G416" i="1" s="1"/>
  <c r="Y39" i="2"/>
  <c r="Y41" i="2" s="1"/>
  <c r="AL34" i="20" l="1"/>
  <c r="AH39" i="20"/>
  <c r="AM21" i="20"/>
  <c r="U22" i="20"/>
  <c r="AM22" i="19"/>
  <c r="V23" i="19"/>
  <c r="U39" i="19"/>
  <c r="AM34" i="19"/>
  <c r="AH41" i="19" s="1"/>
  <c r="AL39" i="19"/>
  <c r="AL41" i="19" s="1"/>
  <c r="AC39" i="20"/>
  <c r="AC41" i="20" s="1"/>
  <c r="AM38" i="20"/>
  <c r="G418" i="1"/>
  <c r="H3" i="16"/>
  <c r="J3" i="16"/>
  <c r="K3" i="16"/>
  <c r="K11" i="16"/>
  <c r="F3" i="16"/>
  <c r="F5" i="16"/>
  <c r="F10" i="16"/>
  <c r="F8" i="16"/>
  <c r="F4" i="16"/>
  <c r="F9" i="16"/>
  <c r="F7" i="16"/>
  <c r="F11" i="16"/>
  <c r="F6" i="16"/>
  <c r="F374" i="1"/>
  <c r="F378" i="1" s="1"/>
  <c r="F418" i="1" s="1"/>
  <c r="AC38" i="2"/>
  <c r="AM29" i="2"/>
  <c r="AA39" i="2"/>
  <c r="U41" i="19" l="1"/>
  <c r="AM22" i="20"/>
  <c r="V23" i="20"/>
  <c r="U39" i="20"/>
  <c r="V39" i="19"/>
  <c r="V41" i="19" s="1"/>
  <c r="W24" i="19"/>
  <c r="AM23" i="19"/>
  <c r="AM34" i="20"/>
  <c r="AH41" i="20" s="1"/>
  <c r="AL39" i="20"/>
  <c r="AL41" i="20" s="1"/>
  <c r="AC39" i="2"/>
  <c r="AM38" i="2"/>
  <c r="AD41" i="2"/>
  <c r="W39" i="19" l="1"/>
  <c r="W41" i="19" s="1"/>
  <c r="X27" i="19"/>
  <c r="AM24" i="19"/>
  <c r="U41" i="20"/>
  <c r="W24" i="20"/>
  <c r="AM23" i="20"/>
  <c r="V39" i="20"/>
  <c r="V41" i="20" s="1"/>
  <c r="AC41" i="2"/>
  <c r="AM24" i="20" l="1"/>
  <c r="X27" i="20"/>
  <c r="W39" i="20"/>
  <c r="W41" i="20" s="1"/>
  <c r="AM27" i="19"/>
  <c r="AA41" i="19" s="1"/>
  <c r="X39" i="19"/>
  <c r="X41" i="19" s="1"/>
  <c r="AB41" i="2"/>
  <c r="AM27" i="20" l="1"/>
  <c r="AA41" i="20" s="1"/>
  <c r="X39" i="20"/>
  <c r="AM39" i="19"/>
  <c r="E310" i="1"/>
  <c r="E313" i="1" s="1"/>
  <c r="E316" i="1" s="1"/>
  <c r="E339" i="1" s="1"/>
  <c r="AH21" i="2"/>
  <c r="AM21" i="2" s="1"/>
  <c r="X41" i="20" l="1"/>
  <c r="AM39" i="20"/>
  <c r="AL34" i="2"/>
  <c r="B7" i="16" s="1"/>
  <c r="AH39" i="2"/>
  <c r="U22" i="2"/>
  <c r="U39" i="2" s="1"/>
  <c r="E374" i="1"/>
  <c r="E378" i="1" s="1"/>
  <c r="E418" i="1" s="1"/>
  <c r="AL39" i="2" l="1"/>
  <c r="B11" i="16" s="1"/>
  <c r="AM34" i="2"/>
  <c r="AH41" i="2" s="1"/>
  <c r="AM22" i="2"/>
  <c r="V23" i="2"/>
  <c r="AM23" i="2" s="1"/>
  <c r="U41" i="2"/>
  <c r="J7" i="16"/>
  <c r="L7" i="16"/>
  <c r="H7" i="16"/>
  <c r="I7" i="16"/>
  <c r="AL41" i="2" l="1"/>
  <c r="W24" i="2"/>
  <c r="AM24" i="2" s="1"/>
  <c r="V39" i="2"/>
  <c r="V41" i="2" s="1"/>
  <c r="L11" i="16"/>
  <c r="E4" i="16"/>
  <c r="I11" i="16"/>
  <c r="E10" i="16"/>
  <c r="E6" i="16"/>
  <c r="E9" i="16"/>
  <c r="E5" i="16"/>
  <c r="E8" i="16"/>
  <c r="E11" i="16"/>
  <c r="E3" i="16"/>
  <c r="J11" i="16"/>
  <c r="H11" i="16"/>
  <c r="E7" i="16"/>
  <c r="X27" i="2" l="1"/>
  <c r="X39" i="2" s="1"/>
  <c r="X41" i="2" s="1"/>
  <c r="W39" i="2"/>
  <c r="W41" i="2" s="1"/>
  <c r="AM27" i="2" l="1"/>
  <c r="AA41" i="2" s="1"/>
  <c r="AM39" i="2"/>
  <c r="D186" i="1"/>
</calcChain>
</file>

<file path=xl/sharedStrings.xml><?xml version="1.0" encoding="utf-8"?>
<sst xmlns="http://schemas.openxmlformats.org/spreadsheetml/2006/main" count="1554" uniqueCount="738">
  <si>
    <t>1.1</t>
  </si>
  <si>
    <t>1.2</t>
  </si>
  <si>
    <t>1.3</t>
  </si>
  <si>
    <t>2.1</t>
  </si>
  <si>
    <t>3.1</t>
  </si>
  <si>
    <t>9.1</t>
  </si>
  <si>
    <t>10.1</t>
  </si>
  <si>
    <t>11.1</t>
  </si>
  <si>
    <t>1.1.1</t>
  </si>
  <si>
    <t>1.1.2</t>
  </si>
  <si>
    <t>8.1</t>
  </si>
  <si>
    <t>Capital</t>
  </si>
  <si>
    <t>12.1</t>
  </si>
  <si>
    <t>13.1</t>
  </si>
  <si>
    <t>CURRENT ACCOUNT</t>
  </si>
  <si>
    <t>FINANCIAL ACCOUNT</t>
  </si>
  <si>
    <t>Changes in financial assets</t>
  </si>
  <si>
    <t>Changes in liabilities</t>
  </si>
  <si>
    <t>1. Goods and Services (G &amp; S)</t>
  </si>
  <si>
    <t>2. Production</t>
  </si>
  <si>
    <t>Corporation</t>
  </si>
  <si>
    <t>Wages and Salaries</t>
  </si>
  <si>
    <t>Compensations</t>
  </si>
  <si>
    <t>Employer Social Security</t>
  </si>
  <si>
    <t>Other Production Taxes</t>
  </si>
  <si>
    <t>Operating</t>
  </si>
  <si>
    <t>Departments</t>
  </si>
  <si>
    <t>NET VALUE ADDED</t>
  </si>
  <si>
    <t>Social benefits</t>
  </si>
  <si>
    <t xml:space="preserve"> </t>
  </si>
  <si>
    <t>NET OPERATING SURPLUS</t>
  </si>
  <si>
    <t>Fixed capital consumption</t>
  </si>
  <si>
    <t>Change in inventories (production)</t>
  </si>
  <si>
    <t>NET INCOME</t>
  </si>
  <si>
    <t>NET DISPOSABLE INCOME</t>
  </si>
  <si>
    <t>NET SAVINGS</t>
  </si>
  <si>
    <t>Net fixed capital formation</t>
  </si>
  <si>
    <t>Net borrowing (operating)</t>
  </si>
  <si>
    <t>Net borrowing (non-operating)</t>
  </si>
  <si>
    <t>Change in financial assets (operating)</t>
  </si>
  <si>
    <t>Change in financial assets (non-operating)</t>
  </si>
  <si>
    <t>Sales of merchandises</t>
  </si>
  <si>
    <t>Current non-repayable paid transfers</t>
  </si>
  <si>
    <t>Dividends paid</t>
  </si>
  <si>
    <t>Capital transfers received</t>
  </si>
  <si>
    <t>Public administration</t>
  </si>
  <si>
    <t>Total</t>
  </si>
  <si>
    <t>Non-operating</t>
  </si>
  <si>
    <t>Allocation of primary income account</t>
  </si>
  <si>
    <t>Secondary distribution of income account</t>
  </si>
  <si>
    <t>Use of disposable income account</t>
  </si>
  <si>
    <t>7.1</t>
  </si>
  <si>
    <t>8.3</t>
  </si>
  <si>
    <t xml:space="preserve">  </t>
  </si>
  <si>
    <t>Change in equity</t>
  </si>
  <si>
    <t>Inventories &amp; valuables</t>
  </si>
  <si>
    <t>8.2</t>
  </si>
  <si>
    <t>Financing capacity or requirement</t>
  </si>
  <si>
    <t>9.2</t>
  </si>
  <si>
    <t>10.2</t>
  </si>
  <si>
    <t>12.2</t>
  </si>
  <si>
    <t>14.1</t>
  </si>
  <si>
    <t>Balance</t>
  </si>
  <si>
    <t>15.1</t>
  </si>
  <si>
    <t>4.1</t>
  </si>
  <si>
    <t>5.1</t>
  </si>
  <si>
    <t>6.1</t>
  </si>
  <si>
    <t>CHANGE IN EQUITY</t>
  </si>
  <si>
    <t>Change in inventories &amp; valuables</t>
  </si>
  <si>
    <t>Balance of changes in financial accounts (operating)</t>
  </si>
  <si>
    <t>Balance of changes in financial accounts (non operating)</t>
  </si>
  <si>
    <t>Balance of current transactions (financial companies)</t>
  </si>
  <si>
    <t>Balance of current transactions (public administration)</t>
  </si>
  <si>
    <t>Balance of current transactions (houseolds and non financial companies)</t>
  </si>
  <si>
    <t>Balance of capital transactions (financial companies)</t>
  </si>
  <si>
    <t>Balance of capital transactions (public administration)</t>
  </si>
  <si>
    <t>no borrar</t>
  </si>
  <si>
    <t>Financial companies</t>
  </si>
  <si>
    <t>Capital contribution (capital &amp; reserves)</t>
  </si>
  <si>
    <t>Returned capital contribution (capital &amp; reserves)</t>
  </si>
  <si>
    <t>11.2</t>
  </si>
  <si>
    <t>Market operations</t>
  </si>
  <si>
    <t>Balance of current transactions (market operations of public administration)</t>
  </si>
  <si>
    <t>I. Capital</t>
  </si>
  <si>
    <t>31100</t>
  </si>
  <si>
    <t>40110-10</t>
  </si>
  <si>
    <t>40120-00</t>
  </si>
  <si>
    <t>40300-00</t>
  </si>
  <si>
    <t>40410-00</t>
  </si>
  <si>
    <t>40420-00</t>
  </si>
  <si>
    <t>40510-00</t>
  </si>
  <si>
    <t>40510-03</t>
  </si>
  <si>
    <t>40510-06</t>
  </si>
  <si>
    <t>40520-00</t>
  </si>
  <si>
    <t>40710-00</t>
  </si>
  <si>
    <t>40710-03</t>
  </si>
  <si>
    <t>40710-04</t>
  </si>
  <si>
    <t>40710-05</t>
  </si>
  <si>
    <t>41300-00</t>
  </si>
  <si>
    <t>41300-03</t>
  </si>
  <si>
    <t>41300-05</t>
  </si>
  <si>
    <t>41300-06</t>
  </si>
  <si>
    <t>49400</t>
  </si>
  <si>
    <t>41900</t>
  </si>
  <si>
    <t>41600</t>
  </si>
  <si>
    <t>41700</t>
  </si>
  <si>
    <t>41800</t>
  </si>
  <si>
    <t>40200-00</t>
  </si>
  <si>
    <t>40710-07</t>
  </si>
  <si>
    <t>41000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</si>
  <si>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</si>
  <si>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</si>
  <si>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</si>
  <si>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</si>
  <si>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</si>
  <si>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</si>
  <si>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</si>
  <si>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</si>
  <si>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41200</t>
  </si>
  <si>
    <t>12100</t>
  </si>
  <si>
    <t>12000</t>
  </si>
  <si>
    <t>12200</t>
  </si>
  <si>
    <t>12300</t>
  </si>
  <si>
    <t>12400</t>
  </si>
  <si>
    <t>12500</t>
  </si>
  <si>
    <t>12600</t>
  </si>
  <si>
    <t>12700</t>
  </si>
  <si>
    <t>10000</t>
  </si>
  <si>
    <t>41810</t>
  </si>
  <si>
    <t>41820</t>
  </si>
  <si>
    <t>12210</t>
  </si>
  <si>
    <t>12220</t>
  </si>
  <si>
    <t>12230</t>
  </si>
  <si>
    <t>12240</t>
  </si>
  <si>
    <t>12250</t>
  </si>
  <si>
    <t>12260</t>
  </si>
  <si>
    <t>20000</t>
  </si>
  <si>
    <t>31000</t>
  </si>
  <si>
    <t>31200</t>
  </si>
  <si>
    <t>31300</t>
  </si>
  <si>
    <t>31400</t>
  </si>
  <si>
    <t>31500</t>
  </si>
  <si>
    <t>31600</t>
  </si>
  <si>
    <t>31700</t>
  </si>
  <si>
    <t>32000</t>
  </si>
  <si>
    <t>32100</t>
  </si>
  <si>
    <t>32200</t>
  </si>
  <si>
    <t>32300</t>
  </si>
  <si>
    <t>32400</t>
  </si>
  <si>
    <t>32500</t>
  </si>
  <si>
    <t>32600</t>
  </si>
  <si>
    <t>32700</t>
  </si>
  <si>
    <t>30000</t>
  </si>
  <si>
    <t>21000</t>
  </si>
  <si>
    <t>21100</t>
  </si>
  <si>
    <t>21200</t>
  </si>
  <si>
    <t>21300</t>
  </si>
  <si>
    <t>21400</t>
  </si>
  <si>
    <t>21500</t>
  </si>
  <si>
    <t>21510</t>
  </si>
  <si>
    <t>21520</t>
  </si>
  <si>
    <t>21600</t>
  </si>
  <si>
    <t>21700</t>
  </si>
  <si>
    <t>21800</t>
  </si>
  <si>
    <t>21900</t>
  </si>
  <si>
    <t>22000</t>
  </si>
  <si>
    <t>23000</t>
  </si>
  <si>
    <t>Adjusted capital</t>
  </si>
  <si>
    <t>ADJUSTED CHANGE IN EQUITY</t>
  </si>
  <si>
    <t>3. Value Added</t>
  </si>
  <si>
    <t>4. Generation of income</t>
  </si>
  <si>
    <t>Value added</t>
  </si>
  <si>
    <t>Employer social security</t>
  </si>
  <si>
    <t>Other production taxes</t>
  </si>
  <si>
    <t>Net operating surplus</t>
  </si>
  <si>
    <t>Wages &amp; salaries</t>
  </si>
  <si>
    <t>Households &amp; non-financial companies</t>
  </si>
  <si>
    <t>5. Allocation of primary income</t>
  </si>
  <si>
    <t>6. Secondary distribution of income</t>
  </si>
  <si>
    <t>7. Use of disposable income</t>
  </si>
  <si>
    <t>8. Capital</t>
  </si>
  <si>
    <t>9. Use of change in equity</t>
  </si>
  <si>
    <t>10. Financial</t>
  </si>
  <si>
    <t>11. Private sector (current)</t>
  </si>
  <si>
    <t>12. Public sector (current)</t>
  </si>
  <si>
    <t>13. Private sector (capital)</t>
  </si>
  <si>
    <t>14. Public sector (capital)</t>
  </si>
  <si>
    <t>15. Balance</t>
  </si>
  <si>
    <t>16. Total</t>
  </si>
  <si>
    <t>4.1.1</t>
  </si>
  <si>
    <t>4.1.2</t>
  </si>
  <si>
    <t>4.1.3</t>
  </si>
  <si>
    <t>4.1.4</t>
  </si>
  <si>
    <t>4.2</t>
  </si>
  <si>
    <t>4.3</t>
  </si>
  <si>
    <t>9.3</t>
  </si>
  <si>
    <t>13.2</t>
  </si>
  <si>
    <t>16.1</t>
  </si>
  <si>
    <t>Adjustments &amp; Operating losses</t>
  </si>
  <si>
    <t>Adjustments &amp; Non-operating losses</t>
  </si>
  <si>
    <t>Merchandises (sold)</t>
  </si>
  <si>
    <t>Finished products &amp; services (sold)</t>
  </si>
  <si>
    <t>1.3.1</t>
  </si>
  <si>
    <t>1.3.2</t>
  </si>
  <si>
    <t>Gross fixed capital formation (self-buildt)</t>
  </si>
  <si>
    <t>Gross fixed capital formation (acquired)</t>
  </si>
  <si>
    <t>-Supported and deductible indirect taxes (goods &amp; services)</t>
  </si>
  <si>
    <t>Net taxes on sold merchandises (output tax minus subsidies)</t>
  </si>
  <si>
    <t>Net taxes on sold products &amp; services (output tax minus subsidies)</t>
  </si>
  <si>
    <t>Adjustments &amp; non-operating gains</t>
  </si>
  <si>
    <t>Adjustments &amp; operating gains</t>
  </si>
  <si>
    <t>Change in inventories (goods &amp; services acquired)</t>
  </si>
  <si>
    <t>Cost of sold merchandises</t>
  </si>
  <si>
    <t xml:space="preserve">Cost of sold merchandises </t>
  </si>
  <si>
    <t>Sales of production</t>
  </si>
  <si>
    <t>Intermediate comsuption</t>
  </si>
  <si>
    <t>14.2</t>
  </si>
  <si>
    <t>Net taxes on fixed capital goods (output tax minus subsidies &amp; supported and deductible indirect taxes)</t>
  </si>
  <si>
    <t>Sales of fixed capital goods (at book value plus taxes)</t>
  </si>
  <si>
    <t>1.2.1</t>
  </si>
  <si>
    <t>1.2.2</t>
  </si>
  <si>
    <t>Current goods and services (acquisitions)</t>
  </si>
  <si>
    <t>Fixed capital goods</t>
  </si>
  <si>
    <t xml:space="preserve">Current non-repayable transfers received </t>
  </si>
  <si>
    <t>Current non-repayable transfers received</t>
  </si>
  <si>
    <t>-Supported and deductible indirect taxes (property income)</t>
  </si>
  <si>
    <t>Property income paid (taxes included)</t>
  </si>
  <si>
    <t>Excess or needing of financing</t>
  </si>
  <si>
    <t>2012/2011</t>
  </si>
  <si>
    <t>2013/2011</t>
  </si>
  <si>
    <t>Households and non financial companies (current)</t>
  </si>
  <si>
    <t>(+) Sales of merchandises (taxes included)</t>
  </si>
  <si>
    <t>(+) Sales of finished goods and services (taxes included)</t>
  </si>
  <si>
    <t>(+) Property income received (financial investments included) (taxes included)</t>
  </si>
  <si>
    <t>(+) Current non repayable transfers received</t>
  </si>
  <si>
    <t>(+) Adjustments and operating gains</t>
  </si>
  <si>
    <t>(-) Acquisition of goods and services (taxes included)</t>
  </si>
  <si>
    <t>(-) Wages and salaries</t>
  </si>
  <si>
    <t>(-) Compensations</t>
  </si>
  <si>
    <t>(-) Social benefits</t>
  </si>
  <si>
    <t>(-) Property income (taxes included)</t>
  </si>
  <si>
    <t>(-) Current no repayable paid transfers</t>
  </si>
  <si>
    <t>(-) Adjustments and operating losses</t>
  </si>
  <si>
    <t>= Balance of current transactions (households and non financial companies)</t>
  </si>
  <si>
    <t>(-) Dividends paid</t>
  </si>
  <si>
    <t>= Net balance of current transactions (households and non financial companies)</t>
  </si>
  <si>
    <t>%</t>
  </si>
  <si>
    <t>Public sector (public administration) (current)</t>
  </si>
  <si>
    <t>(-) Net taxes on sold merchandises (output tax minus subsidies)</t>
  </si>
  <si>
    <t>(-) Net taxes on sold products and services (output tax minus subsidies)</t>
  </si>
  <si>
    <t>(+) Supported and deductible indirect tax (goods and services)</t>
  </si>
  <si>
    <t>(-) Employer social security</t>
  </si>
  <si>
    <t>(-) Oher production taxes</t>
  </si>
  <si>
    <t>(+) Supported and deductible indirect tax (property income)</t>
  </si>
  <si>
    <t>(-) Current non repayable transfers (included income tax)</t>
  </si>
  <si>
    <t>= Balance of current transactions (public administration)</t>
  </si>
  <si>
    <t>1. Goods &amp; services (G &amp; S)</t>
  </si>
  <si>
    <t>13. Private sector (non-current)</t>
  </si>
  <si>
    <t>14. Public sector (non-current)</t>
  </si>
  <si>
    <t>Balance of non-current transactions (houseolds and non financial companies)</t>
  </si>
  <si>
    <t>Balance of non-current transactions (financial companies)</t>
  </si>
  <si>
    <t>Balance of current transactions (market operations of public sector)</t>
  </si>
  <si>
    <t>Balance of non-current transactions (market operations of public sector)</t>
  </si>
  <si>
    <t>Balance of non-current transactions (public administration)</t>
  </si>
  <si>
    <t>3. Value added</t>
  </si>
  <si>
    <t>2012-2011</t>
  </si>
  <si>
    <t>2013-2012</t>
  </si>
  <si>
    <t>2013-2011</t>
  </si>
  <si>
    <t>Merchandises (used)</t>
  </si>
  <si>
    <t>Sales of merchandises (net taxes included)</t>
  </si>
  <si>
    <t>Sales of finished goods &amp; services (net taxes included)</t>
  </si>
  <si>
    <t>Property income received (incl. financial investments) (net taxes included)</t>
  </si>
  <si>
    <t>Non-current non-repayable transfers received</t>
  </si>
  <si>
    <t>CAPACITY OR NEEDING OF FINANCING</t>
  </si>
  <si>
    <t>Payments to financial companies (operation - goods &amp; services) (net taxes included)</t>
  </si>
  <si>
    <t>Acquisition of goods &amp; services (net taxes included)</t>
  </si>
  <si>
    <t xml:space="preserve">Acquisition of goods &amp; services (net taxes included) </t>
  </si>
  <si>
    <t>Acquisition of fixed capital goods (net taxes included)</t>
  </si>
  <si>
    <t>Acquisition of fixed capital goods net (taxes included)</t>
  </si>
  <si>
    <t>Current non-repayable paid transfers (included income tax &amp; fines and penalties)</t>
  </si>
  <si>
    <t>Non-current non-repayable transfers paid</t>
  </si>
  <si>
    <t>Negative tax adjustments</t>
  </si>
  <si>
    <t>Positive tax adjustments</t>
  </si>
  <si>
    <t>Rest of goods &amp; services (used)</t>
  </si>
  <si>
    <t>Gross fixed capital formation</t>
  </si>
  <si>
    <t>1. Revenue</t>
  </si>
  <si>
    <t>a) Sales</t>
  </si>
  <si>
    <t>b) Services provided</t>
  </si>
  <si>
    <t>2. Changes in inventories of finished goods &amp; work in progress</t>
  </si>
  <si>
    <t>3. Work carried out by the company for assets</t>
  </si>
  <si>
    <t>4. Supplies</t>
  </si>
  <si>
    <t>a) Merchandise used</t>
  </si>
  <si>
    <t>b) Raw materials &amp; other consumables used</t>
  </si>
  <si>
    <t>c) Subcontracted work</t>
  </si>
  <si>
    <t>5. Other operating income</t>
  </si>
  <si>
    <t>b) Operating grants taken to income</t>
  </si>
  <si>
    <t>6. Personnel expenses</t>
  </si>
  <si>
    <t>b) Employee benefits expense</t>
  </si>
  <si>
    <t>c) Provisions</t>
  </si>
  <si>
    <t>7. Other operating expenses</t>
  </si>
  <si>
    <t>a) External services</t>
  </si>
  <si>
    <t>b) Taxes</t>
  </si>
  <si>
    <t>d) Other operating expenses</t>
  </si>
  <si>
    <t>10. Provision surpluses</t>
  </si>
  <si>
    <t>12. Negative goodwill on business combinations</t>
  </si>
  <si>
    <t>13. Other results</t>
  </si>
  <si>
    <t>14. Finance income</t>
  </si>
  <si>
    <t>15. Finance expenses</t>
  </si>
  <si>
    <t>16. Change in fair value of financial instruments</t>
  </si>
  <si>
    <t>17. Exchange gains/(losses)</t>
  </si>
  <si>
    <t>20. Income tax</t>
  </si>
  <si>
    <t>Tax data</t>
  </si>
  <si>
    <t>I. Measurement of financial instruments</t>
  </si>
  <si>
    <t>II. Cash flow hedges</t>
  </si>
  <si>
    <t xml:space="preserve">A) Non-current assests </t>
  </si>
  <si>
    <t>I. Intangible assets</t>
  </si>
  <si>
    <t>II. Property, plant &amp; equipment</t>
  </si>
  <si>
    <t>III. Investment property</t>
  </si>
  <si>
    <t>IV. Non-current financial investments in group companies &amp; associates</t>
  </si>
  <si>
    <t>V. Non-current financial investments</t>
  </si>
  <si>
    <t>VI. Deferred tax assets</t>
  </si>
  <si>
    <t>VII. Non-current trade &amp; other receivables</t>
  </si>
  <si>
    <t xml:space="preserve">B) Current assests </t>
  </si>
  <si>
    <t>I. Non-current assets held for sale</t>
  </si>
  <si>
    <t>1. Goods for resale</t>
  </si>
  <si>
    <t>3. Work in progress</t>
  </si>
  <si>
    <t>4. Finished goods</t>
  </si>
  <si>
    <t>6. Advances to suppliers</t>
  </si>
  <si>
    <t>V. Current investments</t>
  </si>
  <si>
    <t>VI. Prepayments for current assets</t>
  </si>
  <si>
    <t>Total assets</t>
  </si>
  <si>
    <t>A) Equity</t>
  </si>
  <si>
    <t>A-1) Capital &amp; reserves without valuation adjustments</t>
  </si>
  <si>
    <t>II. Share premium</t>
  </si>
  <si>
    <t>III. Reserves</t>
  </si>
  <si>
    <t>IV. (Own shares &amp; equity holdings)</t>
  </si>
  <si>
    <t>V. Prior periods'  profit &amp; losses</t>
  </si>
  <si>
    <t>1. Retained earnings</t>
  </si>
  <si>
    <t>2. (Prior periods' losses)</t>
  </si>
  <si>
    <t>VI. Other equity holder contributions</t>
  </si>
  <si>
    <t>VII. Profit/(loss) for the period</t>
  </si>
  <si>
    <t>VIII. (Interim dividend)</t>
  </si>
  <si>
    <t>IX. Other equity instruments</t>
  </si>
  <si>
    <t>A-2) Valuation adjustments</t>
  </si>
  <si>
    <t>B) Non-current liabilities</t>
  </si>
  <si>
    <t>I. Non-current provisions</t>
  </si>
  <si>
    <t>II. Non-current payables</t>
  </si>
  <si>
    <t>IV. Deferred tax liabilities</t>
  </si>
  <si>
    <t>V. Non-current accruals</t>
  </si>
  <si>
    <t>C) Current liabilities</t>
  </si>
  <si>
    <t>I. Liabilities associated with non-current assets held for sale</t>
  </si>
  <si>
    <t>II. Current provisions</t>
  </si>
  <si>
    <t>III. Current payables</t>
  </si>
  <si>
    <t>VI. Current accruals</t>
  </si>
  <si>
    <t>VII. Current debts with special characteristics</t>
  </si>
  <si>
    <t>Total equity &amp; liabilities</t>
  </si>
  <si>
    <t>Calculated</t>
  </si>
  <si>
    <t>(-) Insurance premiums</t>
  </si>
  <si>
    <t>c) Losses, impairment &amp; changes in trade provisions</t>
  </si>
  <si>
    <t>8. Amortisation &amp; depreciation</t>
  </si>
  <si>
    <t>9. Non-financial &amp; other capital grants</t>
  </si>
  <si>
    <t>11. Impairment &amp; gains/(losses) on disposal of fixed assets</t>
  </si>
  <si>
    <t>a) Impairment &amp; losses</t>
  </si>
  <si>
    <t>d) Impairment of merchandise, raw materials &amp; other supplies</t>
  </si>
  <si>
    <t>a) Non-trading &amp; other operating income</t>
  </si>
  <si>
    <t>a) Salaries &amp; wages</t>
  </si>
  <si>
    <t>b) Gains/(losses) on disposal &amp; other</t>
  </si>
  <si>
    <t>18. Impairment &amp; gains/(losses) on disposal of financial instruments</t>
  </si>
  <si>
    <t>IV. Actuarial gains &amp; losses &amp; other adjustments</t>
  </si>
  <si>
    <t>2. Raw materials &amp; other supplies</t>
  </si>
  <si>
    <t>5. By-products, waste &amp; recovered materials</t>
  </si>
  <si>
    <t>III. Trade &amp; other receivables</t>
  </si>
  <si>
    <t>IV. Current investments in group companies &amp; associates</t>
  </si>
  <si>
    <t>VII Cash &amp; cash equivalents</t>
  </si>
  <si>
    <t>A-3) Grants, donations &amp; bequests received</t>
  </si>
  <si>
    <t>V. Trade &amp; other payables</t>
  </si>
  <si>
    <t xml:space="preserve">III. Grants, donations &amp; bequests received </t>
  </si>
  <si>
    <t>(-) Banking &amp; similar services - merchandise</t>
  </si>
  <si>
    <t>(-) Banking &amp; similar services - finished goods &amp; services</t>
  </si>
  <si>
    <t>Output</t>
  </si>
  <si>
    <t>Intermediate consumption</t>
  </si>
  <si>
    <t>= Output</t>
  </si>
  <si>
    <t>Fixed capital formation</t>
  </si>
  <si>
    <t>Value Added</t>
  </si>
  <si>
    <t>= Balance of primary income</t>
  </si>
  <si>
    <t>= Disposable income</t>
  </si>
  <si>
    <t>CAPITAL ACCOUNT</t>
  </si>
  <si>
    <t>Changes in equity by shareholders contribution</t>
  </si>
  <si>
    <t>II. Inventories</t>
  </si>
  <si>
    <t>(+/-) Profit/(loss) for the period</t>
  </si>
  <si>
    <t>Matching Assets = Liabilities + Equity</t>
  </si>
  <si>
    <t>= Intermediate consumption</t>
  </si>
  <si>
    <t>Note: input data in green cells</t>
  </si>
  <si>
    <t>Check</t>
  </si>
  <si>
    <t>= Change in share capital &amp; reserves</t>
  </si>
  <si>
    <t>= Fixed capital consumption</t>
  </si>
  <si>
    <t>= Net value added</t>
  </si>
  <si>
    <t>(+) Production</t>
  </si>
  <si>
    <t>(-) Intermediate consumption</t>
  </si>
  <si>
    <t>(+) Net value added</t>
  </si>
  <si>
    <t>= Net operating surplus</t>
  </si>
  <si>
    <t>Operating surplus</t>
  </si>
  <si>
    <t>(+) Net operation surplus</t>
  </si>
  <si>
    <t>(+) Disposable income</t>
  </si>
  <si>
    <t>(-) Refund of share capital</t>
  </si>
  <si>
    <t>(+) Increase of share capital due to owners' contributions</t>
  </si>
  <si>
    <t>(+) Increase of share capital due to capitalization of reserves</t>
  </si>
  <si>
    <t>(-) Decrease of reserves due to share capital increase</t>
  </si>
  <si>
    <t>(+) Increase of reserves due to owners' contributions</t>
  </si>
  <si>
    <t>(-) Distribution of reserves to owners</t>
  </si>
  <si>
    <t>INPUT DATA</t>
  </si>
  <si>
    <t>Matching with increase &amp; decrease of share capital</t>
  </si>
  <si>
    <t>Matching with increase &amp; decrease of reserves</t>
  </si>
  <si>
    <t>(-) Fixed capital consumption</t>
  </si>
  <si>
    <t>(+) Balance of primary income</t>
  </si>
  <si>
    <t>AGGREGATION OF DATA UNDER A NATIONAL ACCOUNTING SCHEME</t>
  </si>
  <si>
    <t>= Net capital contributions</t>
  </si>
  <si>
    <t>=Total capital transfers received</t>
  </si>
  <si>
    <t>Capital transfers given</t>
  </si>
  <si>
    <t>= Total capital transfers given</t>
  </si>
  <si>
    <t>= Net savings</t>
  </si>
  <si>
    <t>(+) Net savings</t>
  </si>
  <si>
    <t>(+) Net capital contributions</t>
  </si>
  <si>
    <t>(+) Total capital transfers received</t>
  </si>
  <si>
    <t>= Change in equity</t>
  </si>
  <si>
    <t>Adjusted change in equity</t>
  </si>
  <si>
    <t>= Adjusted change in equity</t>
  </si>
  <si>
    <t>Change in inventories</t>
  </si>
  <si>
    <t>= Change in inventories</t>
  </si>
  <si>
    <t>Effective VAT rate</t>
  </si>
  <si>
    <t>Net lending / borrowing</t>
  </si>
  <si>
    <t>= Net lending / net borrowing</t>
  </si>
  <si>
    <t>Matching needs &amp; capabilities</t>
  </si>
  <si>
    <t>(+/-) Change in inventories</t>
  </si>
  <si>
    <t>(+/-) Adjusted change in equity</t>
  </si>
  <si>
    <t>(+/-) Fixed capital formation</t>
  </si>
  <si>
    <t>(+) Fixed capital consumption</t>
  </si>
  <si>
    <t>= Net change in financial assets</t>
  </si>
  <si>
    <t>= Net borrowing</t>
  </si>
  <si>
    <t>Net lending / net borrowing</t>
  </si>
  <si>
    <t>VII. Non-current debts with special characteristics</t>
  </si>
  <si>
    <t>VI. Non-current trade &amp; other payables</t>
  </si>
  <si>
    <t>III. Non-current payables, group companies &amp; associates</t>
  </si>
  <si>
    <t>IV. Current payables, group &amp; associated companies</t>
  </si>
  <si>
    <t>(a) Change in non-operating financial assets</t>
  </si>
  <si>
    <t>(b) Change in operating financial assets</t>
  </si>
  <si>
    <t>(a) Change in non-operating liabilities</t>
  </si>
  <si>
    <t>Matching</t>
  </si>
  <si>
    <t>INCOME STATEMENT</t>
  </si>
  <si>
    <t>INPUT &amp; OUTPUT VAT (CURRENT OPERATIONS)</t>
  </si>
  <si>
    <t>BALANCE SHEET (EQUITY &amp; LIABILITIES)</t>
  </si>
  <si>
    <t>STATEMENT OF CHANGES IN EQUITY</t>
  </si>
  <si>
    <t>(a) Statement of recognized income &amp; expense</t>
  </si>
  <si>
    <t>(b) Statement of change in share capital &amp; reserves</t>
  </si>
  <si>
    <t>Increases &amp; decreases of share capital (including own shares)</t>
  </si>
  <si>
    <t>Increases &amp; decreases of reserves (including profit/losses)</t>
  </si>
  <si>
    <t>(a) Increase of non-current (except financial instruments) assets</t>
  </si>
  <si>
    <t>(b) Fixed capital consumption</t>
  </si>
  <si>
    <t>= Fixed capital formation (a+b)</t>
  </si>
  <si>
    <t>(+) Surplus provisions for taxes (Public sector)</t>
  </si>
  <si>
    <t xml:space="preserve">(+) Surplus provisions for environmental actions </t>
  </si>
  <si>
    <t>41000-01</t>
  </si>
  <si>
    <t>41000-03</t>
  </si>
  <si>
    <t>41000-04</t>
  </si>
  <si>
    <t>(b) Change in operating liabilities</t>
  </si>
  <si>
    <t>password</t>
  </si>
  <si>
    <t>BALANCE SHEET</t>
  </si>
  <si>
    <t>ASSETS</t>
  </si>
  <si>
    <t>Check of positive value in total capital transfers received</t>
  </si>
  <si>
    <t>cmdlpjjdm</t>
  </si>
  <si>
    <t>The Business Accounting Matrix: a proposal with an application</t>
  </si>
  <si>
    <t>Data</t>
  </si>
  <si>
    <t>4.a) Merchandise used</t>
  </si>
  <si>
    <t>Pro memoria</t>
  </si>
  <si>
    <t>(-) Merchandise &amp; other consumables &amp; services purchases (ROW)</t>
  </si>
  <si>
    <t>(-) Changes in II.1. Goods for resale  (balance)</t>
  </si>
  <si>
    <t>(-) Changes in II.2. Raw materials &amp; other supplies  (balance)</t>
  </si>
  <si>
    <t>(-) Changes in II.4. Finished goods  (balance)</t>
  </si>
  <si>
    <t>40410</t>
  </si>
  <si>
    <t>4.b) Raw materials &amp; other consumables used</t>
  </si>
  <si>
    <t>4.c) Subcontracted work</t>
  </si>
  <si>
    <t>40430</t>
  </si>
  <si>
    <t>40420</t>
  </si>
  <si>
    <t>7 a) XX. (-) Other external servicies (Households &amp; non financial companies)</t>
  </si>
  <si>
    <t>(-) Changes in II.3. Work in progress  (balance)</t>
  </si>
  <si>
    <t>(-) Changes in II.5. By-products, waste &amp; recovered materials</t>
  </si>
  <si>
    <t>4.d) Impairment of merchandise, raw materials &amp; other supplies</t>
  </si>
  <si>
    <t>40440</t>
  </si>
  <si>
    <t>(-) 6.a) Salaries &amp; wages</t>
  </si>
  <si>
    <t>40610</t>
  </si>
  <si>
    <t>40620</t>
  </si>
  <si>
    <t>40630</t>
  </si>
  <si>
    <t>(-) 6.c) Provisions</t>
  </si>
  <si>
    <t>(-) 6.b) Employee benefits expense (hypothesis: all for Social Security)</t>
  </si>
  <si>
    <t>(+) 1.a) Sales</t>
  </si>
  <si>
    <t>(+) 1.b) Services provided</t>
  </si>
  <si>
    <t>40800</t>
  </si>
  <si>
    <t>(+/-) 11.a) Impairment &amp; losses</t>
  </si>
  <si>
    <t>41110</t>
  </si>
  <si>
    <t>(-) 8. Amortisation &amp; depreciation</t>
  </si>
  <si>
    <t>(+) Income from lease agreements</t>
  </si>
  <si>
    <t>(+) Other external operating income</t>
  </si>
  <si>
    <t xml:space="preserve">VAT on property income </t>
  </si>
  <si>
    <t>ROW</t>
  </si>
  <si>
    <t>(+) 14. Finance income</t>
  </si>
  <si>
    <t>(-) 15. Finance expenses</t>
  </si>
  <si>
    <t>41500</t>
  </si>
  <si>
    <t>41400</t>
  </si>
  <si>
    <t xml:space="preserve">(-) Leases &amp; royalties </t>
  </si>
  <si>
    <t>(-) 7.a) XX. Leases &amp; royalties</t>
  </si>
  <si>
    <t>(+) 5.a) XX Income from lease agreements</t>
  </si>
  <si>
    <t>(+) 5.a) XX Income from transfer of industrial property rights</t>
  </si>
  <si>
    <t>G&amp;S (sold)</t>
  </si>
  <si>
    <t xml:space="preserve">Supported VAT on merchandise acquisitions </t>
  </si>
  <si>
    <t>Supported VAT on property income</t>
  </si>
  <si>
    <t>VAT on revenues</t>
  </si>
  <si>
    <t>(-) 4.a) Merchandise used</t>
  </si>
  <si>
    <t>(-) 4.b) Consumption of raw materials &amp; other consumables</t>
  </si>
  <si>
    <t>(-) 4.c) Subcontracted work</t>
  </si>
  <si>
    <t>(-) 4.d) Impairment of merchandise, raw materials &amp; other supplies</t>
  </si>
  <si>
    <t>(-) 7.a) XX Other external servicies (Households &amp; non financial companies)</t>
  </si>
  <si>
    <t>(+) 5. a) XX Other external operating income</t>
  </si>
  <si>
    <t>(+/-) 2. Changes in inventories of finished goods &amp; work in progress</t>
  </si>
  <si>
    <t>(+) 3. Work carried out by the company for assets</t>
  </si>
  <si>
    <t xml:space="preserve">(+) 5.b) Operating grants taken to income (hypothesis: all for sold products &amp; services) </t>
  </si>
  <si>
    <t>40720</t>
  </si>
  <si>
    <r>
      <t>(-) 7.b) Taxes</t>
    </r>
    <r>
      <rPr>
        <b/>
        <sz val="18"/>
        <color rgb="FFFF0000"/>
        <rFont val="Arial Narrow"/>
        <family val="2"/>
      </rPr>
      <t xml:space="preserve"> (hypothesis: on production)</t>
    </r>
  </si>
  <si>
    <t>(+/-) 20. Income tax</t>
  </si>
  <si>
    <t>(-) 7.a) XX  Insurance premiums</t>
  </si>
  <si>
    <t>(-) 7.a) XX Banking &amp; similar services - merchandise</t>
  </si>
  <si>
    <t>(-) 7.a) XX Banking &amp; similar services - finished goods &amp; services</t>
  </si>
  <si>
    <t>(+) 7.a) XX Banking &amp; similar services - merchandise</t>
  </si>
  <si>
    <t>(+) 7.a) XX. Banking &amp; similar services - finished goods &amp; services</t>
  </si>
  <si>
    <t>(-) Current donations</t>
  </si>
  <si>
    <t>(-) Fines &amp; penalties</t>
  </si>
  <si>
    <t>(-) 13. XX Compensations</t>
  </si>
  <si>
    <t>(-) 13. XX Current donations</t>
  </si>
  <si>
    <t>(-) 13. XX Fines &amp; penalties</t>
  </si>
  <si>
    <t>(+) Increase in A) III. Non-current investments in group companies &amp; associates</t>
  </si>
  <si>
    <t>(+) Increase in B) IV. Current investments in group companies &amp; associates</t>
  </si>
  <si>
    <t>(+) Increase in B) V. Current investments</t>
  </si>
  <si>
    <t>(+) Change in B) VII. Cash &amp; cash equivalents</t>
  </si>
  <si>
    <t>(+) Increase in A) VI. Deferred tax assets</t>
  </si>
  <si>
    <t>(+) Increase in A) VII. Non-current trade &amp; other receivables</t>
  </si>
  <si>
    <t>(+) Change in B) II.6. Advances to suppliers</t>
  </si>
  <si>
    <t>(+) Change in B) III. Trade &amp; other receivables</t>
  </si>
  <si>
    <t>(+) Change in B) VI. Prepayments for current assets</t>
  </si>
  <si>
    <t>(+) Change in B) I. Non-current provisions</t>
  </si>
  <si>
    <t>(+) Change in B) II. Non-current payables</t>
  </si>
  <si>
    <t>(+) Change in B) VII. Non-current debts with special characteristics</t>
  </si>
  <si>
    <t>(+) Change in B) III. Non current payables, group companies &amp; associates</t>
  </si>
  <si>
    <t>(+) Change in C) I. Liabilities associated with non-current assets held for sale</t>
  </si>
  <si>
    <t>(+) Change in C) III. Current payables</t>
  </si>
  <si>
    <t>(+) Change in C) VII. Current debts with special characteristics</t>
  </si>
  <si>
    <t>40900</t>
  </si>
  <si>
    <t>(-) Total capital transfes given</t>
  </si>
  <si>
    <t>(-) Other external servicies</t>
  </si>
  <si>
    <t>(-) Capital donations</t>
  </si>
  <si>
    <t>(+) Surplus provisions for other liabilities (private sector)</t>
  </si>
  <si>
    <t>(+/-) 18.b) Gains / (losses) on disposal &amp; other (of financial instruments)</t>
  </si>
  <si>
    <t>7.c) (+/-) Losses, impairment &amp; changes in trade provisions</t>
  </si>
  <si>
    <t>16. (+/-) Change in fair value of financial instruments</t>
  </si>
  <si>
    <t>40730</t>
  </si>
  <si>
    <t>(+) 10.XX. Surplus provisions for other liabilities (private sector)</t>
  </si>
  <si>
    <t>(+/-) 18.a) Impairment (losses &amp; reversal) (in financial instruments non operating)</t>
  </si>
  <si>
    <t>(+/-) 17. Exchange gains / (losses)</t>
  </si>
  <si>
    <t>(+) 10.XX. Surplus provisions for taxes (public sector)</t>
  </si>
  <si>
    <t>(+/-) Increase in I. Intangible assets</t>
  </si>
  <si>
    <t>(+/-) Increase in II. Property, plant &amp; equipment</t>
  </si>
  <si>
    <t>(+/-) Increase in III. Investment property</t>
  </si>
  <si>
    <t>40300</t>
  </si>
  <si>
    <r>
      <t xml:space="preserve">= Acquisitions -  Disposal / derecognition of non-current assest (except financial instruments) </t>
    </r>
    <r>
      <rPr>
        <b/>
        <sz val="18"/>
        <color rgb="FFFF0000"/>
        <rFont val="Arial Narrow"/>
        <family val="2"/>
      </rPr>
      <t>(net balance)</t>
    </r>
  </si>
  <si>
    <t>(+/-) Increase in I. Non-current assets held for sale</t>
  </si>
  <si>
    <t>41120</t>
  </si>
  <si>
    <t>= Tax base</t>
  </si>
  <si>
    <t>Net VAT on operations with non current assets</t>
  </si>
  <si>
    <t>= (-) Merchandise &amp; other consumables &amp; services purchases (ROW)</t>
  </si>
  <si>
    <t>40740</t>
  </si>
  <si>
    <t>(-) 7.d) Other operating expenses</t>
  </si>
  <si>
    <t>(+) 10. XX Surplus provisions for environmental actions</t>
  </si>
  <si>
    <r>
      <t xml:space="preserve">(-) 13. XX. Capital donations </t>
    </r>
    <r>
      <rPr>
        <b/>
        <sz val="18"/>
        <color rgb="FFFF0000"/>
        <rFont val="Arial Narrow"/>
        <family val="2"/>
      </rPr>
      <t>(hypotesis: all for private sector)</t>
    </r>
  </si>
  <si>
    <r>
      <t>(+/-) 11.b)  Gains / (losses) on disposal &amp; other (of non-current assets, except financial instruments)</t>
    </r>
    <r>
      <rPr>
        <b/>
        <sz val="18"/>
        <color rgb="FF000000"/>
        <rFont val="Arial Narrow"/>
        <family val="2"/>
      </rPr>
      <t xml:space="preserve"> </t>
    </r>
    <r>
      <rPr>
        <b/>
        <sz val="18"/>
        <color rgb="FFFF0000"/>
        <rFont val="Arial Narrow"/>
        <family val="2"/>
      </rPr>
      <t>(hypothesis: there is no derecognition, only sales) (en la tabla va el neto, porque no podremos diferencia beneficios de pérdidas)</t>
    </r>
  </si>
  <si>
    <t>42100</t>
  </si>
  <si>
    <t>42110</t>
  </si>
  <si>
    <t>42120</t>
  </si>
  <si>
    <t>42130</t>
  </si>
  <si>
    <t>40750</t>
  </si>
  <si>
    <t>59100</t>
  </si>
  <si>
    <t>50010</t>
  </si>
  <si>
    <t>50020</t>
  </si>
  <si>
    <t>50030</t>
  </si>
  <si>
    <t>50040</t>
  </si>
  <si>
    <t>50070</t>
  </si>
  <si>
    <t>50050</t>
  </si>
  <si>
    <t>50060</t>
  </si>
  <si>
    <t>VII. Tax effect</t>
  </si>
  <si>
    <t>59200</t>
  </si>
  <si>
    <t>VIII. Measurement of financial instruments</t>
  </si>
  <si>
    <t>IX. Cash flow hedges</t>
  </si>
  <si>
    <t>50080</t>
  </si>
  <si>
    <t>50090</t>
  </si>
  <si>
    <t>50100</t>
  </si>
  <si>
    <t>50110</t>
  </si>
  <si>
    <t>50120</t>
  </si>
  <si>
    <t>50130</t>
  </si>
  <si>
    <t>59300</t>
  </si>
  <si>
    <t>59400</t>
  </si>
  <si>
    <t>X. Grants, donations &amp; bequests received</t>
  </si>
  <si>
    <t>XIII. Tax effect</t>
  </si>
  <si>
    <t>A) Profit / (loss) for the period</t>
  </si>
  <si>
    <t>B) Total income &amp; expense recognised directly in equity (I+II+III+IV+V)</t>
  </si>
  <si>
    <t>C) Total amounts transferred to the income statement (VI+VII+VIII+IX)</t>
  </si>
  <si>
    <t>Total recognised income &amp; expense (A+B+C)</t>
  </si>
  <si>
    <t>52013</t>
  </si>
  <si>
    <t>NA99000</t>
  </si>
  <si>
    <t>NA99010</t>
  </si>
  <si>
    <t>IS40990</t>
  </si>
  <si>
    <t>NA99020</t>
  </si>
  <si>
    <t>NA99030</t>
  </si>
  <si>
    <t>NA99040</t>
  </si>
  <si>
    <t>NA99050</t>
  </si>
  <si>
    <t>NA99060</t>
  </si>
  <si>
    <t>NA99070</t>
  </si>
  <si>
    <t>CH12200</t>
  </si>
  <si>
    <t>CH12220</t>
  </si>
  <si>
    <t>CH21000</t>
  </si>
  <si>
    <t>SC99000</t>
  </si>
  <si>
    <r>
      <t xml:space="preserve">(+) III. Grants, donations &amp; bequests received  </t>
    </r>
    <r>
      <rPr>
        <b/>
        <sz val="18"/>
        <color rgb="FFFF0000"/>
        <rFont val="Arial Narrow"/>
        <family val="2"/>
      </rPr>
      <t xml:space="preserve">(hypothesis: all from Public sector) </t>
    </r>
  </si>
  <si>
    <r>
      <t xml:space="preserve">(-) X. Grants, donations &amp; bequests received </t>
    </r>
    <r>
      <rPr>
        <b/>
        <sz val="18"/>
        <color rgb="FFFF0000"/>
        <rFont val="Arial Narrow"/>
        <family val="2"/>
      </rPr>
      <t xml:space="preserve"> (hypothesis: all from Public sector) </t>
    </r>
  </si>
  <si>
    <t>(+) 9. Capital grants taken to income</t>
  </si>
  <si>
    <t>(+) Change in equity</t>
  </si>
  <si>
    <t>NA99100</t>
  </si>
  <si>
    <t>NA99110</t>
  </si>
  <si>
    <t>NA99120</t>
  </si>
  <si>
    <t>NA99130</t>
  </si>
  <si>
    <t>(+) Dividends paid</t>
  </si>
  <si>
    <r>
      <t>(=) Net owners' contributions</t>
    </r>
    <r>
      <rPr>
        <sz val="18"/>
        <color rgb="FFFF0000"/>
        <rFont val="Arial Narrow"/>
        <family val="2"/>
      </rPr>
      <t xml:space="preserve"> </t>
    </r>
    <r>
      <rPr>
        <b/>
        <sz val="18"/>
        <color rgb="FFFF0000"/>
        <rFont val="Arial Narrow"/>
        <family val="2"/>
      </rPr>
      <t>(contributions - refunds)</t>
    </r>
  </si>
  <si>
    <t>(-) XIII. Tax effect (income &amp; expense recognised directly in equity)</t>
  </si>
  <si>
    <t>(+) VII. Tax effect  (income &amp; expense transferred to the income statement)</t>
  </si>
  <si>
    <t>(+) 12. Negative goodwill on business combinations</t>
  </si>
  <si>
    <t>V. Non current assets held for sale &amp; associated liabilities</t>
  </si>
  <si>
    <t>XI. Non current assets held for sale &amp; associated liabilities</t>
  </si>
  <si>
    <t>VI. Conversion differences</t>
  </si>
  <si>
    <t>XII. Conversion differences</t>
  </si>
  <si>
    <t>(+) I. Measurement of financial instruments</t>
  </si>
  <si>
    <t>(+) II. Cash flow hedges</t>
  </si>
  <si>
    <t>(+) IV. Actuarial gains &amp; losses &amp; other adjustments</t>
  </si>
  <si>
    <t>(+) V. Non current assets held for sale &amp; associated liabilities</t>
  </si>
  <si>
    <t>(+) VI. Conversion differences</t>
  </si>
  <si>
    <t>(-) VIII. Measurement of financial instruments</t>
  </si>
  <si>
    <t>(-) IX. Cash flow hedges</t>
  </si>
  <si>
    <t>(-) XI. Non current assets held for sale &amp; associated liabilities</t>
  </si>
  <si>
    <t>(-) XII. Conversion differences</t>
  </si>
  <si>
    <t>CH12230</t>
  </si>
  <si>
    <t>CH12240</t>
  </si>
  <si>
    <t>CH12250</t>
  </si>
  <si>
    <t>NA99140</t>
  </si>
  <si>
    <t>(+) Change in C) IV. Current payables, group &amp; associated companies</t>
  </si>
  <si>
    <t>(+) Change in B) IV. Deferred tax liabilities</t>
  </si>
  <si>
    <t>(+) Change in B) V. Non-current accruals</t>
  </si>
  <si>
    <t>(+) Change in B) VI. Non-current trade &amp; other payables</t>
  </si>
  <si>
    <t>(+) Change in C) II. Current provisions</t>
  </si>
  <si>
    <t>(+) Change in C) III. Trade &amp; other payables</t>
  </si>
  <si>
    <t>(+) Change in C) VI. Current accruals</t>
  </si>
  <si>
    <t>CH11400</t>
  </si>
  <si>
    <t>CH11500</t>
  </si>
  <si>
    <t>(+) Increase in A) V. Non-current financial investments</t>
  </si>
  <si>
    <t>CH12400</t>
  </si>
  <si>
    <t>CH12500</t>
  </si>
  <si>
    <t>CH12700</t>
  </si>
  <si>
    <t>CH11600</t>
  </si>
  <si>
    <t>NA99200</t>
  </si>
  <si>
    <t>CH11700</t>
  </si>
  <si>
    <t>CH12260</t>
  </si>
  <si>
    <t>CH12300</t>
  </si>
  <si>
    <t>CH12600</t>
  </si>
  <si>
    <t>NA99210</t>
  </si>
  <si>
    <t>NA99220</t>
  </si>
  <si>
    <t>CH31100</t>
  </si>
  <si>
    <t>CH31200</t>
  </si>
  <si>
    <t>CH31300</t>
  </si>
  <si>
    <t>CH31400</t>
  </si>
  <si>
    <t>CH31500</t>
  </si>
  <si>
    <t>CH31600</t>
  </si>
  <si>
    <t>CH31700</t>
  </si>
  <si>
    <t>CH32100</t>
  </si>
  <si>
    <t>CH32200</t>
  </si>
  <si>
    <t>CH32300</t>
  </si>
  <si>
    <t>CH32400</t>
  </si>
  <si>
    <t>CH32700</t>
  </si>
  <si>
    <t>CH32500</t>
  </si>
  <si>
    <t>CH32600</t>
  </si>
  <si>
    <t>NA99230</t>
  </si>
  <si>
    <t>NA99240</t>
  </si>
  <si>
    <t>NA99250</t>
  </si>
  <si>
    <t>NA99150</t>
  </si>
  <si>
    <t>NA99160</t>
  </si>
  <si>
    <r>
      <t xml:space="preserve">(+) Acquisitions -  Disposal / derecognition of non-current assets (except financial instruments) </t>
    </r>
    <r>
      <rPr>
        <sz val="18"/>
        <color rgb="FFFF0000"/>
        <rFont val="Arial Narrow"/>
        <family val="2"/>
      </rPr>
      <t>(net balance)</t>
    </r>
  </si>
  <si>
    <t>(+) 11.b) Gains/(losses) on disposal &amp; other (hypothesis: all on disposal)</t>
  </si>
  <si>
    <t>(-) 3 .Work carried out by the company</t>
  </si>
  <si>
    <r>
      <t xml:space="preserve">(+/-) Adjustments in financial instruments </t>
    </r>
    <r>
      <rPr>
        <b/>
        <sz val="18"/>
        <color rgb="FFFF0000"/>
        <rFont val="Arial Narrow"/>
        <family val="2"/>
      </rPr>
      <t>(due to internal valuation changes)</t>
    </r>
  </si>
  <si>
    <t>CH11100</t>
  </si>
  <si>
    <t>CH11200</t>
  </si>
  <si>
    <t>CH11300</t>
  </si>
  <si>
    <t>CH12100</t>
  </si>
  <si>
    <t>(+) 19. Other finance income  &amp; expense</t>
  </si>
  <si>
    <t>e) Greenhouse gas emission expenses</t>
  </si>
  <si>
    <t>19. Other finance income &amp; expenses</t>
  </si>
  <si>
    <t>a) Incorporation of financial expenses into the asset</t>
  </si>
  <si>
    <t>b) Financial income derived from creditors agreements</t>
  </si>
  <si>
    <t>c) Other income and expenses</t>
  </si>
  <si>
    <t>(-) 7.e) Greenhouse gas emission expenses</t>
  </si>
  <si>
    <t>49500</t>
  </si>
  <si>
    <t>A) CONTINUING OPERATIONS</t>
  </si>
  <si>
    <t>B) DISCONTINUED OPERATIONS</t>
  </si>
  <si>
    <t>42000</t>
  </si>
  <si>
    <t>21. Profit / (loss) from discontinued operations, net of income tax</t>
  </si>
  <si>
    <t>A.5) Profit / (loss) for the period (A.4+21)</t>
  </si>
  <si>
    <t>A.4) Profit / (loss) from continuing operations (A.3+20)</t>
  </si>
  <si>
    <t>A.3) Profit / (loss) before income tax (A.1+A.2)</t>
  </si>
  <si>
    <t>A.2) Net finance income</t>
  </si>
  <si>
    <t>A.1.) Results from operating activities</t>
  </si>
  <si>
    <t>40130</t>
  </si>
  <si>
    <t>c) Financial income of holding companies</t>
  </si>
  <si>
    <t>(+) 1.c) Financial income of holding companies</t>
  </si>
  <si>
    <t>(+) Income from transfer of industrial property rights</t>
  </si>
  <si>
    <r>
      <rPr>
        <sz val="18"/>
        <rFont val="Arial Narrow"/>
        <family val="2"/>
      </rPr>
      <t>Calculated</t>
    </r>
    <r>
      <rPr>
        <b/>
        <sz val="18"/>
        <color rgb="FFFF0000"/>
        <rFont val="Arial Narrow"/>
        <family val="2"/>
      </rPr>
      <t xml:space="preserve"> Output (ante la duda, suponer lo más común)</t>
    </r>
  </si>
  <si>
    <t>Capital transfers given (muy poco probable)</t>
  </si>
  <si>
    <t>Intermediate consumption (poco probable)</t>
  </si>
  <si>
    <t>Allocation of primary income account (probable)</t>
  </si>
  <si>
    <t>Adjusted change in equity (probable)</t>
  </si>
  <si>
    <t>Intermediate consumption (probable, escasa cuantía)</t>
  </si>
  <si>
    <t>Allocation of primary income account (habitual)</t>
  </si>
  <si>
    <t>Secondary distribution of income account (habitual)</t>
  </si>
  <si>
    <t>Intermediate consumption (habitual, probable mayor cuantía)</t>
  </si>
  <si>
    <t>Output (habitual)</t>
  </si>
  <si>
    <t>Allocation of primary income account (poco probale)</t>
  </si>
  <si>
    <r>
      <rPr>
        <sz val="18"/>
        <rFont val="Arial Narrow"/>
        <family val="2"/>
      </rPr>
      <t>Calculated</t>
    </r>
    <r>
      <rPr>
        <b/>
        <sz val="18"/>
        <color rgb="FFFF0000"/>
        <rFont val="Arial Narrow"/>
        <family val="2"/>
      </rPr>
      <t xml:space="preserve"> Intermediate consumption (mayor cuantia probable)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</si>
</sst>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#,##0_ ;\-#,##0\ "/>
    <numFmt numFmtId="165" formatCode="0.0%"/>
  </numFmts>
  <fonts count="30" x14ac:knownFonts="1">
    <font>
      <sz val="11"/>
      <color theme="1"/>
      <name val="Calibri"/>
      <family val="2"/>
      <scheme val="minor"/>
    </font>
    <font>
      <b/>
      <sz val="18"/>
      <color rgb="FFFFFFFF"/>
      <name val="Arial Narrow"/>
      <family val="2"/>
    </font>
    <font>
      <sz val="18"/>
      <color rgb="FF000000"/>
      <name val="Arial Narrow"/>
      <family val="2"/>
    </font>
    <font>
      <b/>
      <sz val="18"/>
      <color rgb="FF000000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Courier New"/>
      <family val="3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8"/>
      <color theme="0"/>
      <name val="Arial Narrow"/>
      <family val="2"/>
    </font>
    <font>
      <sz val="18"/>
      <color theme="1"/>
      <name val="Arial Narrow"/>
      <family val="2"/>
    </font>
    <font>
      <u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22"/>
      <color theme="1"/>
      <name val="Arial"/>
      <family val="2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Arial Narrow"/>
      <family val="2"/>
    </font>
    <font>
      <b/>
      <sz val="18"/>
      <name val="Arial Narrow"/>
      <family val="2"/>
    </font>
    <font>
      <sz val="11"/>
      <name val="Calibri"/>
      <family val="2"/>
      <scheme val="minor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u/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8"/>
      <color theme="1"/>
      <name val="Arial Narrow"/>
      <family val="2"/>
    </font>
    <font>
      <b/>
      <sz val="18"/>
      <color rgb="FFFF0000"/>
      <name val="Arial Narrow"/>
      <family val="2"/>
    </font>
    <font>
      <sz val="18"/>
      <color rgb="FFFF0000"/>
      <name val="Arial Narrow"/>
      <family val="2"/>
    </font>
  </fonts>
  <fills count="20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FF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0" fontId="6" fillId="0" borderId="0"/>
  </cellStyleXfs>
  <cellXfs count="505">
    <xf numFmtId="0" fontId="0" fillId="0" borderId="0" xfId="0"/>
    <xf numFmtId="0" fontId="6" fillId="0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8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4" fontId="6" fillId="0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2" applyFont="1" applyAlignment="1">
      <alignment vertical="center"/>
    </xf>
    <xf numFmtId="0" fontId="6" fillId="0" borderId="5" xfId="2" applyFont="1" applyBorder="1" applyAlignment="1">
      <alignment horizontal="center" vertical="center"/>
    </xf>
    <xf numFmtId="4" fontId="5" fillId="0" borderId="5" xfId="0" applyNumberFormat="1" applyFont="1" applyBorder="1" applyAlignment="1">
      <alignment horizontal="right" vertical="center"/>
    </xf>
    <xf numFmtId="0" fontId="6" fillId="4" borderId="0" xfId="2" applyFont="1" applyFill="1" applyAlignment="1">
      <alignment vertical="center"/>
    </xf>
    <xf numFmtId="0" fontId="6" fillId="0" borderId="0" xfId="2" applyFont="1" applyAlignment="1">
      <alignment horizontal="left" vertical="center"/>
    </xf>
    <xf numFmtId="3" fontId="5" fillId="0" borderId="0" xfId="2" applyNumberFormat="1" applyFont="1" applyAlignment="1">
      <alignment horizontal="right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4" fontId="8" fillId="0" borderId="0" xfId="2" applyNumberFormat="1" applyFont="1" applyAlignment="1">
      <alignment horizontal="right" vertical="center"/>
    </xf>
    <xf numFmtId="3" fontId="8" fillId="0" borderId="0" xfId="2" applyNumberFormat="1" applyFont="1" applyAlignment="1">
      <alignment horizontal="right" vertical="center"/>
    </xf>
    <xf numFmtId="3" fontId="8" fillId="0" borderId="0" xfId="2" applyNumberFormat="1" applyFont="1" applyFill="1" applyAlignment="1">
      <alignment horizontal="right" vertical="center"/>
    </xf>
    <xf numFmtId="0" fontId="8" fillId="0" borderId="0" xfId="0" applyFont="1" applyAlignment="1">
      <alignment vertical="center"/>
    </xf>
    <xf numFmtId="4" fontId="5" fillId="0" borderId="0" xfId="0" applyNumberFormat="1" applyFont="1" applyAlignment="1">
      <alignment vertical="center"/>
    </xf>
    <xf numFmtId="4" fontId="8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164" fontId="5" fillId="0" borderId="0" xfId="0" applyNumberFormat="1" applyFont="1" applyAlignment="1">
      <alignment horizontal="right" vertical="center"/>
    </xf>
    <xf numFmtId="4" fontId="5" fillId="0" borderId="0" xfId="0" applyNumberFormat="1" applyFont="1" applyFill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horizontal="right" vertical="center"/>
    </xf>
    <xf numFmtId="9" fontId="5" fillId="0" borderId="0" xfId="3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3" fontId="5" fillId="0" borderId="0" xfId="2" applyNumberFormat="1" applyFont="1" applyFill="1" applyAlignment="1">
      <alignment horizontal="right" vertical="center"/>
    </xf>
    <xf numFmtId="4" fontId="8" fillId="0" borderId="0" xfId="2" applyNumberFormat="1" applyFont="1" applyFill="1" applyAlignment="1">
      <alignment horizontal="right" vertical="center"/>
    </xf>
    <xf numFmtId="164" fontId="5" fillId="0" borderId="0" xfId="0" applyNumberFormat="1" applyFont="1" applyFill="1" applyAlignment="1">
      <alignment horizontal="right" vertical="center"/>
    </xf>
    <xf numFmtId="0" fontId="6" fillId="0" borderId="0" xfId="2" applyFont="1" applyFill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4" fontId="6" fillId="0" borderId="22" xfId="0" applyNumberFormat="1" applyFont="1" applyBorder="1" applyAlignment="1">
      <alignment horizontal="right" vertical="center"/>
    </xf>
    <xf numFmtId="4" fontId="6" fillId="0" borderId="20" xfId="0" applyNumberFormat="1" applyFont="1" applyBorder="1" applyAlignment="1">
      <alignment horizontal="right" vertical="center"/>
    </xf>
    <xf numFmtId="0" fontId="6" fillId="0" borderId="24" xfId="0" applyFont="1" applyBorder="1" applyAlignment="1">
      <alignment horizontal="center" vertical="center"/>
    </xf>
    <xf numFmtId="4" fontId="2" fillId="3" borderId="4" xfId="0" applyNumberFormat="1" applyFont="1" applyFill="1" applyBorder="1" applyAlignment="1" applyProtection="1">
      <alignment horizontal="right" wrapText="1"/>
    </xf>
    <xf numFmtId="3" fontId="5" fillId="0" borderId="6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5" xfId="2" applyNumberFormat="1" applyFont="1" applyFill="1" applyBorder="1" applyAlignment="1">
      <alignment horizontal="right" vertical="center"/>
    </xf>
    <xf numFmtId="3" fontId="5" fillId="6" borderId="5" xfId="0" applyNumberFormat="1" applyFont="1" applyFill="1" applyBorder="1" applyAlignment="1">
      <alignment horizontal="right" vertical="center"/>
    </xf>
    <xf numFmtId="3" fontId="5" fillId="0" borderId="5" xfId="1" applyNumberFormat="1" applyFont="1" applyFill="1" applyBorder="1" applyAlignment="1">
      <alignment horizontal="right" vertical="center"/>
    </xf>
    <xf numFmtId="3" fontId="5" fillId="0" borderId="8" xfId="0" applyNumberFormat="1" applyFont="1" applyFill="1" applyBorder="1" applyAlignment="1">
      <alignment horizontal="right" vertical="center"/>
    </xf>
    <xf numFmtId="3" fontId="5" fillId="0" borderId="5" xfId="0" applyNumberFormat="1" applyFont="1" applyFill="1" applyBorder="1" applyAlignment="1">
      <alignment horizontal="right" vertical="center"/>
    </xf>
    <xf numFmtId="3" fontId="5" fillId="0" borderId="11" xfId="0" applyNumberFormat="1" applyFont="1" applyBorder="1" applyAlignment="1">
      <alignment horizontal="right" vertical="center"/>
    </xf>
    <xf numFmtId="3" fontId="6" fillId="0" borderId="5" xfId="2" applyNumberFormat="1" applyFont="1" applyFill="1" applyBorder="1" applyAlignment="1">
      <alignment horizontal="right" vertical="center"/>
    </xf>
    <xf numFmtId="3" fontId="5" fillId="0" borderId="11" xfId="0" applyNumberFormat="1" applyFont="1" applyFill="1" applyBorder="1" applyAlignment="1">
      <alignment horizontal="right" vertical="center"/>
    </xf>
    <xf numFmtId="3" fontId="5" fillId="8" borderId="5" xfId="1" applyNumberFormat="1" applyFont="1" applyFill="1" applyBorder="1" applyAlignment="1">
      <alignment horizontal="right" vertical="center"/>
    </xf>
    <xf numFmtId="3" fontId="5" fillId="8" borderId="5" xfId="0" applyNumberFormat="1" applyFont="1" applyFill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5" fillId="0" borderId="6" xfId="0" applyNumberFormat="1" applyFont="1" applyFill="1" applyBorder="1" applyAlignment="1">
      <alignment horizontal="right" vertical="center"/>
    </xf>
    <xf numFmtId="3" fontId="6" fillId="0" borderId="5" xfId="2" applyNumberFormat="1" applyFont="1" applyBorder="1" applyAlignment="1">
      <alignment vertical="center"/>
    </xf>
    <xf numFmtId="3" fontId="5" fillId="6" borderId="8" xfId="0" applyNumberFormat="1" applyFont="1" applyFill="1" applyBorder="1" applyAlignment="1">
      <alignment horizontal="right" vertical="center"/>
    </xf>
    <xf numFmtId="3" fontId="6" fillId="0" borderId="0" xfId="2" applyNumberFormat="1" applyFont="1" applyFill="1" applyAlignment="1">
      <alignment vertical="center"/>
    </xf>
    <xf numFmtId="3" fontId="5" fillId="0" borderId="5" xfId="2" applyNumberFormat="1" applyFont="1" applyBorder="1" applyAlignment="1">
      <alignment horizontal="right" vertical="center"/>
    </xf>
    <xf numFmtId="3" fontId="6" fillId="0" borderId="8" xfId="0" applyNumberFormat="1" applyFont="1" applyFill="1" applyBorder="1" applyAlignment="1">
      <alignment horizontal="right" vertical="center"/>
    </xf>
    <xf numFmtId="3" fontId="6" fillId="0" borderId="5" xfId="0" applyNumberFormat="1" applyFont="1" applyFill="1" applyBorder="1" applyAlignment="1">
      <alignment horizontal="right" vertical="center"/>
    </xf>
    <xf numFmtId="3" fontId="6" fillId="0" borderId="5" xfId="2" applyNumberFormat="1" applyFont="1" applyFill="1" applyBorder="1" applyAlignment="1">
      <alignment vertical="center"/>
    </xf>
    <xf numFmtId="3" fontId="6" fillId="0" borderId="8" xfId="0" applyNumberFormat="1" applyFont="1" applyBorder="1" applyAlignment="1">
      <alignment horizontal="right" vertical="center"/>
    </xf>
    <xf numFmtId="3" fontId="6" fillId="0" borderId="11" xfId="0" applyNumberFormat="1" applyFont="1" applyFill="1" applyBorder="1" applyAlignment="1">
      <alignment horizontal="right" vertical="center"/>
    </xf>
    <xf numFmtId="3" fontId="6" fillId="0" borderId="11" xfId="0" applyNumberFormat="1" applyFont="1" applyBorder="1" applyAlignment="1">
      <alignment horizontal="right" vertical="center"/>
    </xf>
    <xf numFmtId="3" fontId="6" fillId="0" borderId="0" xfId="2" applyNumberFormat="1" applyFont="1" applyAlignment="1">
      <alignment vertical="center"/>
    </xf>
    <xf numFmtId="3" fontId="5" fillId="0" borderId="6" xfId="1" applyNumberFormat="1" applyFont="1" applyFill="1" applyBorder="1" applyAlignment="1">
      <alignment horizontal="right" vertical="center"/>
    </xf>
    <xf numFmtId="3" fontId="5" fillId="0" borderId="5" xfId="1" applyNumberFormat="1" applyFont="1" applyBorder="1" applyAlignment="1">
      <alignment horizontal="right" vertical="center"/>
    </xf>
    <xf numFmtId="3" fontId="5" fillId="0" borderId="8" xfId="1" applyNumberFormat="1" applyFont="1" applyBorder="1" applyAlignment="1">
      <alignment horizontal="right" vertical="center"/>
    </xf>
    <xf numFmtId="3" fontId="5" fillId="0" borderId="8" xfId="1" applyNumberFormat="1" applyFont="1" applyFill="1" applyBorder="1" applyAlignment="1">
      <alignment horizontal="right" vertical="center"/>
    </xf>
    <xf numFmtId="0" fontId="22" fillId="0" borderId="5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/>
    </xf>
    <xf numFmtId="0" fontId="22" fillId="0" borderId="5" xfId="2" applyFont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1" fillId="0" borderId="5" xfId="0" applyFont="1" applyBorder="1" applyAlignment="1">
      <alignment vertical="center"/>
    </xf>
    <xf numFmtId="0" fontId="22" fillId="8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2" applyFont="1"/>
    <xf numFmtId="0" fontId="22" fillId="0" borderId="28" xfId="0" applyFont="1" applyBorder="1" applyAlignment="1">
      <alignment horizontal="center" vertical="center" wrapText="1"/>
    </xf>
    <xf numFmtId="0" fontId="21" fillId="0" borderId="5" xfId="0" applyFont="1" applyBorder="1"/>
    <xf numFmtId="43" fontId="21" fillId="0" borderId="5" xfId="0" quotePrefix="1" applyNumberFormat="1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21" fillId="0" borderId="9" xfId="0" applyFont="1" applyBorder="1"/>
    <xf numFmtId="0" fontId="21" fillId="0" borderId="9" xfId="0" applyFont="1" applyFill="1" applyBorder="1" applyAlignment="1">
      <alignment horizontal="center" vertical="center" wrapText="1"/>
    </xf>
    <xf numFmtId="43" fontId="21" fillId="0" borderId="9" xfId="1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5" xfId="0" applyFont="1" applyFill="1" applyBorder="1"/>
    <xf numFmtId="0" fontId="23" fillId="0" borderId="5" xfId="0" applyFont="1" applyBorder="1"/>
    <xf numFmtId="43" fontId="21" fillId="8" borderId="5" xfId="0" quotePrefix="1" applyNumberFormat="1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43" fontId="21" fillId="8" borderId="9" xfId="1" applyFont="1" applyFill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center" vertical="center" wrapText="1"/>
    </xf>
    <xf numFmtId="0" fontId="21" fillId="12" borderId="5" xfId="0" applyFont="1" applyFill="1" applyBorder="1" applyAlignment="1">
      <alignment horizontal="center" vertical="center" wrapText="1"/>
    </xf>
    <xf numFmtId="43" fontId="21" fillId="0" borderId="5" xfId="1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6" borderId="5" xfId="0" applyFont="1" applyFill="1" applyBorder="1"/>
    <xf numFmtId="0" fontId="21" fillId="0" borderId="28" xfId="0" applyFont="1" applyBorder="1"/>
    <xf numFmtId="0" fontId="21" fillId="0" borderId="8" xfId="0" applyFont="1" applyBorder="1"/>
    <xf numFmtId="0" fontId="21" fillId="8" borderId="5" xfId="0" applyFont="1" applyFill="1" applyBorder="1" applyAlignment="1">
      <alignment horizontal="center" vertical="center" wrapText="1"/>
    </xf>
    <xf numFmtId="0" fontId="21" fillId="12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5" xfId="2" applyFont="1" applyBorder="1"/>
    <xf numFmtId="0" fontId="21" fillId="0" borderId="6" xfId="0" applyFont="1" applyBorder="1"/>
    <xf numFmtId="0" fontId="21" fillId="0" borderId="30" xfId="0" applyFont="1" applyBorder="1"/>
    <xf numFmtId="0" fontId="22" fillId="12" borderId="5" xfId="0" applyFont="1" applyFill="1" applyBorder="1" applyAlignment="1">
      <alignment horizontal="center" vertical="center" wrapText="1"/>
    </xf>
    <xf numFmtId="0" fontId="21" fillId="0" borderId="30" xfId="0" applyFont="1" applyFill="1" applyBorder="1" applyAlignment="1">
      <alignment horizontal="center" vertical="center" wrapText="1"/>
    </xf>
    <xf numFmtId="0" fontId="22" fillId="0" borderId="0" xfId="2" applyFont="1" applyFill="1"/>
    <xf numFmtId="0" fontId="22" fillId="0" borderId="30" xfId="0" applyFont="1" applyFill="1" applyBorder="1" applyAlignment="1">
      <alignment horizontal="center" vertical="center" wrapText="1"/>
    </xf>
    <xf numFmtId="0" fontId="21" fillId="0" borderId="8" xfId="0" applyFont="1" applyFill="1" applyBorder="1"/>
    <xf numFmtId="0" fontId="21" fillId="8" borderId="5" xfId="0" applyFont="1" applyFill="1" applyBorder="1"/>
    <xf numFmtId="0" fontId="22" fillId="8" borderId="6" xfId="0" applyFont="1" applyFill="1" applyBorder="1" applyAlignment="1">
      <alignment horizontal="center" vertical="center" wrapText="1"/>
    </xf>
    <xf numFmtId="0" fontId="21" fillId="8" borderId="6" xfId="0" applyFont="1" applyFill="1" applyBorder="1"/>
    <xf numFmtId="0" fontId="21" fillId="0" borderId="33" xfId="0" applyFont="1" applyBorder="1"/>
    <xf numFmtId="0" fontId="22" fillId="8" borderId="9" xfId="0" applyFont="1" applyFill="1" applyBorder="1" applyAlignment="1">
      <alignment horizontal="center" vertical="center" wrapText="1"/>
    </xf>
    <xf numFmtId="0" fontId="21" fillId="8" borderId="33" xfId="0" applyFont="1" applyFill="1" applyBorder="1"/>
    <xf numFmtId="0" fontId="21" fillId="8" borderId="32" xfId="0" applyFont="1" applyFill="1" applyBorder="1"/>
    <xf numFmtId="0" fontId="21" fillId="0" borderId="11" xfId="0" applyFont="1" applyFill="1" applyBorder="1"/>
    <xf numFmtId="0" fontId="22" fillId="0" borderId="31" xfId="0" applyFont="1" applyFill="1" applyBorder="1" applyAlignment="1">
      <alignment horizontal="center" vertical="center" wrapText="1"/>
    </xf>
    <xf numFmtId="0" fontId="22" fillId="0" borderId="31" xfId="2" applyFont="1" applyBorder="1"/>
    <xf numFmtId="0" fontId="21" fillId="0" borderId="31" xfId="0" applyFont="1" applyBorder="1"/>
    <xf numFmtId="0" fontId="22" fillId="0" borderId="31" xfId="2" applyFont="1" applyFill="1" applyBorder="1"/>
    <xf numFmtId="0" fontId="21" fillId="0" borderId="31" xfId="0" applyFont="1" applyFill="1" applyBorder="1"/>
    <xf numFmtId="0" fontId="21" fillId="0" borderId="31" xfId="0" applyFont="1" applyFill="1" applyBorder="1" applyAlignment="1">
      <alignment horizontal="center" vertical="center" wrapText="1"/>
    </xf>
    <xf numFmtId="0" fontId="22" fillId="0" borderId="5" xfId="2" applyFont="1" applyFill="1" applyBorder="1"/>
    <xf numFmtId="0" fontId="22" fillId="0" borderId="5" xfId="2" applyFont="1" applyFill="1" applyBorder="1" applyAlignment="1">
      <alignment horizontal="center" vertical="center" wrapText="1"/>
    </xf>
    <xf numFmtId="0" fontId="22" fillId="0" borderId="5" xfId="0" quotePrefix="1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left"/>
    </xf>
    <xf numFmtId="0" fontId="22" fillId="0" borderId="0" xfId="2" applyFont="1" applyAlignment="1">
      <alignment horizontal="center"/>
    </xf>
    <xf numFmtId="0" fontId="22" fillId="0" borderId="0" xfId="2" applyFont="1" applyAlignment="1">
      <alignment horizontal="left"/>
    </xf>
    <xf numFmtId="0" fontId="21" fillId="0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3" fontId="21" fillId="0" borderId="5" xfId="0" applyNumberFormat="1" applyFont="1" applyBorder="1"/>
    <xf numFmtId="0" fontId="20" fillId="0" borderId="5" xfId="0" applyFont="1" applyBorder="1"/>
    <xf numFmtId="0" fontId="20" fillId="0" borderId="5" xfId="0" applyFont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9" fontId="21" fillId="0" borderId="5" xfId="3" applyNumberFormat="1" applyFont="1" applyBorder="1"/>
    <xf numFmtId="0" fontId="21" fillId="0" borderId="5" xfId="0" applyFont="1" applyBorder="1" applyAlignment="1">
      <alignment horizontal="center"/>
    </xf>
    <xf numFmtId="9" fontId="21" fillId="0" borderId="5" xfId="3" applyFont="1" applyBorder="1" applyAlignment="1">
      <alignment horizontal="center"/>
    </xf>
    <xf numFmtId="3" fontId="21" fillId="0" borderId="5" xfId="0" applyNumberFormat="1" applyFont="1" applyBorder="1" applyAlignment="1">
      <alignment horizontal="right"/>
    </xf>
    <xf numFmtId="10" fontId="21" fillId="0" borderId="5" xfId="3" applyNumberFormat="1" applyFont="1" applyBorder="1" applyAlignment="1">
      <alignment horizontal="right"/>
    </xf>
    <xf numFmtId="3" fontId="24" fillId="0" borderId="5" xfId="0" applyNumberFormat="1" applyFont="1" applyBorder="1"/>
    <xf numFmtId="165" fontId="24" fillId="0" borderId="5" xfId="3" applyNumberFormat="1" applyFont="1" applyBorder="1"/>
    <xf numFmtId="0" fontId="24" fillId="0" borderId="5" xfId="0" applyFont="1" applyBorder="1" applyAlignment="1">
      <alignment horizontal="center"/>
    </xf>
    <xf numFmtId="0" fontId="21" fillId="0" borderId="5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 wrapText="1"/>
    </xf>
    <xf numFmtId="0" fontId="26" fillId="0" borderId="0" xfId="2" applyFont="1" applyFill="1" applyAlignment="1">
      <alignment horizontal="center" vertical="center"/>
    </xf>
    <xf numFmtId="0" fontId="25" fillId="0" borderId="5" xfId="0" applyFont="1" applyFill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9" fillId="0" borderId="0" xfId="2" applyFont="1" applyFill="1" applyAlignment="1">
      <alignment horizontal="center" vertical="center"/>
    </xf>
    <xf numFmtId="0" fontId="6" fillId="0" borderId="0" xfId="2" applyFont="1" applyFill="1" applyAlignment="1">
      <alignment horizontal="left" vertical="center"/>
    </xf>
    <xf numFmtId="0" fontId="9" fillId="0" borderId="0" xfId="2" applyFont="1" applyFill="1" applyAlignment="1">
      <alignment horizontal="right" vertical="center"/>
    </xf>
    <xf numFmtId="0" fontId="9" fillId="0" borderId="0" xfId="2" applyFont="1" applyFill="1" applyAlignment="1">
      <alignment horizontal="left" vertical="center"/>
    </xf>
    <xf numFmtId="0" fontId="13" fillId="0" borderId="0" xfId="2" applyFont="1" applyFill="1" applyAlignment="1">
      <alignment horizontal="right" vertical="center"/>
    </xf>
    <xf numFmtId="0" fontId="13" fillId="0" borderId="0" xfId="0" applyFont="1" applyFill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3" fontId="5" fillId="7" borderId="5" xfId="0" applyNumberFormat="1" applyFont="1" applyFill="1" applyBorder="1" applyAlignment="1">
      <alignment horizontal="right" vertical="center"/>
    </xf>
    <xf numFmtId="0" fontId="10" fillId="11" borderId="0" xfId="0" applyFont="1" applyFill="1" applyAlignment="1" applyProtection="1">
      <alignment horizontal="center" wrapText="1"/>
    </xf>
    <xf numFmtId="4" fontId="15" fillId="11" borderId="0" xfId="0" applyNumberFormat="1" applyFont="1" applyFill="1" applyAlignment="1" applyProtection="1">
      <alignment horizontal="right" wrapText="1"/>
    </xf>
    <xf numFmtId="0" fontId="15" fillId="11" borderId="0" xfId="0" applyFont="1" applyFill="1" applyAlignment="1" applyProtection="1">
      <alignment wrapText="1"/>
    </xf>
    <xf numFmtId="0" fontId="16" fillId="0" borderId="0" xfId="0" applyFont="1" applyProtection="1"/>
    <xf numFmtId="49" fontId="11" fillId="0" borderId="0" xfId="0" applyNumberFormat="1" applyFont="1" applyFill="1" applyProtection="1"/>
    <xf numFmtId="0" fontId="11" fillId="5" borderId="0" xfId="0" applyFont="1" applyFill="1" applyAlignment="1" applyProtection="1">
      <alignment wrapText="1"/>
    </xf>
    <xf numFmtId="4" fontId="16" fillId="0" borderId="0" xfId="0" applyNumberFormat="1" applyFont="1" applyAlignment="1" applyProtection="1">
      <alignment horizontal="right" wrapText="1"/>
    </xf>
    <xf numFmtId="0" fontId="16" fillId="0" borderId="0" xfId="0" applyFont="1" applyAlignment="1" applyProtection="1">
      <alignment wrapText="1"/>
    </xf>
    <xf numFmtId="0" fontId="16" fillId="0" borderId="0" xfId="0" applyFont="1" applyFill="1" applyAlignment="1" applyProtection="1">
      <alignment horizontal="left" wrapText="1"/>
    </xf>
    <xf numFmtId="0" fontId="10" fillId="2" borderId="1" xfId="0" applyFont="1" applyFill="1" applyBorder="1" applyAlignment="1" applyProtection="1">
      <alignment horizontal="center" wrapText="1"/>
    </xf>
    <xf numFmtId="0" fontId="2" fillId="3" borderId="12" xfId="0" applyFont="1" applyFill="1" applyBorder="1" applyAlignment="1" applyProtection="1">
      <alignment horizontal="left" wrapText="1"/>
    </xf>
    <xf numFmtId="4" fontId="11" fillId="0" borderId="0" xfId="0" applyNumberFormat="1" applyFont="1" applyFill="1" applyBorder="1" applyAlignment="1" applyProtection="1">
      <alignment horizontal="left" wrapText="1"/>
    </xf>
    <xf numFmtId="0" fontId="10" fillId="2" borderId="1" xfId="0" applyFont="1" applyFill="1" applyBorder="1" applyAlignment="1" applyProtection="1">
      <alignment horizontal="left" wrapText="1"/>
    </xf>
    <xf numFmtId="0" fontId="1" fillId="2" borderId="1" xfId="0" applyFont="1" applyFill="1" applyBorder="1" applyAlignment="1" applyProtection="1">
      <alignment horizontal="center" wrapText="1"/>
    </xf>
    <xf numFmtId="4" fontId="1" fillId="2" borderId="2" xfId="0" applyNumberFormat="1" applyFont="1" applyFill="1" applyBorder="1" applyAlignment="1" applyProtection="1">
      <alignment horizontal="center" wrapText="1"/>
    </xf>
    <xf numFmtId="0" fontId="11" fillId="0" borderId="0" xfId="0" applyFont="1" applyAlignment="1" applyProtection="1">
      <alignment horizontal="left"/>
    </xf>
    <xf numFmtId="0" fontId="11" fillId="0" borderId="0" xfId="0" applyFont="1" applyFill="1" applyAlignment="1" applyProtection="1">
      <alignment horizontal="left"/>
    </xf>
    <xf numFmtId="4" fontId="2" fillId="0" borderId="0" xfId="0" applyNumberFormat="1" applyFont="1" applyFill="1" applyBorder="1" applyAlignment="1" applyProtection="1">
      <alignment horizontal="left" wrapText="1"/>
    </xf>
    <xf numFmtId="0" fontId="11" fillId="0" borderId="0" xfId="0" applyFont="1" applyProtection="1"/>
    <xf numFmtId="4" fontId="16" fillId="0" borderId="0" xfId="0" applyNumberFormat="1" applyFont="1" applyAlignment="1" applyProtection="1">
      <alignment wrapText="1"/>
    </xf>
    <xf numFmtId="4" fontId="16" fillId="0" borderId="0" xfId="0" applyNumberFormat="1" applyFont="1" applyFill="1" applyAlignment="1" applyProtection="1">
      <alignment horizontal="left" wrapText="1"/>
    </xf>
    <xf numFmtId="0" fontId="11" fillId="0" borderId="6" xfId="0" applyFont="1" applyBorder="1" applyAlignment="1" applyProtection="1">
      <alignment wrapText="1"/>
    </xf>
    <xf numFmtId="4" fontId="11" fillId="0" borderId="7" xfId="0" applyNumberFormat="1" applyFont="1" applyBorder="1" applyAlignment="1" applyProtection="1">
      <alignment horizontal="right" wrapText="1"/>
    </xf>
    <xf numFmtId="0" fontId="16" fillId="0" borderId="0" xfId="0" applyFont="1" applyFill="1" applyProtection="1"/>
    <xf numFmtId="0" fontId="11" fillId="0" borderId="0" xfId="0" applyFont="1" applyFill="1" applyProtection="1"/>
    <xf numFmtId="4" fontId="2" fillId="0" borderId="14" xfId="0" applyNumberFormat="1" applyFont="1" applyFill="1" applyBorder="1" applyAlignment="1" applyProtection="1">
      <alignment horizontal="right" wrapText="1"/>
    </xf>
    <xf numFmtId="4" fontId="2" fillId="0" borderId="15" xfId="0" applyNumberFormat="1" applyFont="1" applyFill="1" applyBorder="1" applyAlignment="1" applyProtection="1">
      <alignment horizontal="right" wrapText="1"/>
    </xf>
    <xf numFmtId="0" fontId="3" fillId="9" borderId="19" xfId="0" applyFont="1" applyFill="1" applyBorder="1" applyAlignment="1" applyProtection="1">
      <alignment horizontal="center" wrapText="1"/>
    </xf>
    <xf numFmtId="3" fontId="16" fillId="0" borderId="0" xfId="0" applyNumberFormat="1" applyFont="1" applyAlignment="1" applyProtection="1">
      <alignment wrapText="1"/>
    </xf>
    <xf numFmtId="3" fontId="16" fillId="0" borderId="0" xfId="0" applyNumberFormat="1" applyFont="1" applyFill="1" applyAlignment="1" applyProtection="1">
      <alignment horizontal="left" wrapText="1"/>
    </xf>
    <xf numFmtId="3" fontId="16" fillId="0" borderId="0" xfId="0" applyNumberFormat="1" applyFont="1" applyProtection="1"/>
    <xf numFmtId="2" fontId="11" fillId="0" borderId="7" xfId="0" applyNumberFormat="1" applyFont="1" applyBorder="1" applyAlignment="1" applyProtection="1">
      <alignment wrapText="1"/>
    </xf>
    <xf numFmtId="2" fontId="11" fillId="0" borderId="7" xfId="0" applyNumberFormat="1" applyFont="1" applyFill="1" applyBorder="1" applyAlignment="1" applyProtection="1">
      <alignment wrapText="1"/>
    </xf>
    <xf numFmtId="2" fontId="11" fillId="0" borderId="0" xfId="0" applyNumberFormat="1" applyFont="1" applyFill="1" applyBorder="1" applyAlignment="1" applyProtection="1">
      <alignment horizontal="left" wrapText="1"/>
    </xf>
    <xf numFmtId="0" fontId="3" fillId="0" borderId="17" xfId="0" applyFont="1" applyFill="1" applyBorder="1" applyAlignment="1" applyProtection="1">
      <alignment horizontal="left" wrapText="1"/>
    </xf>
    <xf numFmtId="4" fontId="3" fillId="0" borderId="12" xfId="0" applyNumberFormat="1" applyFont="1" applyFill="1" applyBorder="1" applyAlignment="1" applyProtection="1">
      <alignment horizontal="right" wrapText="1"/>
    </xf>
    <xf numFmtId="4" fontId="3" fillId="0" borderId="18" xfId="0" applyNumberFormat="1" applyFont="1" applyFill="1" applyBorder="1" applyAlignment="1" applyProtection="1">
      <alignment horizontal="right" wrapText="1"/>
    </xf>
    <xf numFmtId="0" fontId="2" fillId="0" borderId="16" xfId="0" applyFont="1" applyFill="1" applyBorder="1" applyAlignment="1" applyProtection="1">
      <alignment horizontal="left" wrapText="1"/>
    </xf>
    <xf numFmtId="4" fontId="3" fillId="0" borderId="14" xfId="0" applyNumberFormat="1" applyFont="1" applyFill="1" applyBorder="1" applyAlignment="1" applyProtection="1">
      <alignment horizontal="right" wrapText="1"/>
    </xf>
    <xf numFmtId="4" fontId="16" fillId="0" borderId="0" xfId="0" applyNumberFormat="1" applyFont="1" applyFill="1" applyProtection="1"/>
    <xf numFmtId="0" fontId="11" fillId="0" borderId="7" xfId="0" applyFont="1" applyFill="1" applyBorder="1" applyProtection="1"/>
    <xf numFmtId="4" fontId="11" fillId="0" borderId="7" xfId="0" applyNumberFormat="1" applyFont="1" applyBorder="1" applyAlignment="1" applyProtection="1">
      <alignment wrapText="1"/>
    </xf>
    <xf numFmtId="0" fontId="10" fillId="10" borderId="4" xfId="0" applyFont="1" applyFill="1" applyBorder="1" applyAlignment="1" applyProtection="1">
      <alignment horizontal="center" wrapText="1"/>
    </xf>
    <xf numFmtId="0" fontId="3" fillId="7" borderId="4" xfId="0" applyFont="1" applyFill="1" applyBorder="1" applyAlignment="1" applyProtection="1">
      <alignment horizontal="center" wrapText="1"/>
    </xf>
    <xf numFmtId="0" fontId="3" fillId="7" borderId="4" xfId="0" applyFont="1" applyFill="1" applyBorder="1" applyAlignment="1" applyProtection="1">
      <alignment horizontal="left" wrapText="1"/>
    </xf>
    <xf numFmtId="0" fontId="3" fillId="0" borderId="0" xfId="0" applyFont="1" applyFill="1" applyBorder="1" applyAlignment="1" applyProtection="1">
      <alignment horizontal="left" wrapText="1"/>
    </xf>
    <xf numFmtId="4" fontId="2" fillId="0" borderId="0" xfId="0" applyNumberFormat="1" applyFont="1" applyFill="1" applyBorder="1" applyAlignment="1" applyProtection="1">
      <alignment horizontal="right" wrapText="1"/>
    </xf>
    <xf numFmtId="4" fontId="3" fillId="0" borderId="0" xfId="0" applyNumberFormat="1" applyFont="1" applyFill="1" applyBorder="1" applyAlignment="1" applyProtection="1">
      <alignment horizontal="right" wrapText="1"/>
    </xf>
    <xf numFmtId="0" fontId="10" fillId="10" borderId="4" xfId="0" applyFont="1" applyFill="1" applyBorder="1" applyAlignment="1" applyProtection="1">
      <alignment horizontal="left" wrapText="1"/>
    </xf>
    <xf numFmtId="0" fontId="3" fillId="0" borderId="0" xfId="0" quotePrefix="1" applyFont="1" applyFill="1" applyBorder="1" applyAlignment="1" applyProtection="1">
      <alignment horizontal="left" wrapText="1"/>
    </xf>
    <xf numFmtId="0" fontId="2" fillId="0" borderId="5" xfId="0" quotePrefix="1" applyFont="1" applyFill="1" applyBorder="1" applyAlignment="1" applyProtection="1">
      <alignment horizontal="left" wrapText="1"/>
    </xf>
    <xf numFmtId="4" fontId="2" fillId="0" borderId="5" xfId="0" applyNumberFormat="1" applyFont="1" applyFill="1" applyBorder="1" applyAlignment="1" applyProtection="1">
      <alignment horizontal="right" wrapText="1"/>
    </xf>
    <xf numFmtId="0" fontId="2" fillId="7" borderId="0" xfId="0" applyFont="1" applyFill="1" applyBorder="1" applyAlignment="1" applyProtection="1">
      <alignment horizontal="left" wrapText="1"/>
    </xf>
    <xf numFmtId="0" fontId="18" fillId="0" borderId="0" xfId="0" applyFont="1" applyFill="1" applyAlignment="1" applyProtection="1">
      <alignment horizontal="center"/>
    </xf>
    <xf numFmtId="0" fontId="16" fillId="7" borderId="0" xfId="0" applyFont="1" applyFill="1" applyAlignment="1" applyProtection="1">
      <alignment wrapText="1"/>
    </xf>
    <xf numFmtId="0" fontId="3" fillId="7" borderId="4" xfId="0" applyFont="1" applyFill="1" applyBorder="1" applyAlignment="1" applyProtection="1">
      <alignment horizontal="center" vertical="center" wrapText="1"/>
    </xf>
    <xf numFmtId="4" fontId="3" fillId="7" borderId="4" xfId="0" applyNumberFormat="1" applyFont="1" applyFill="1" applyBorder="1" applyAlignment="1" applyProtection="1">
      <alignment horizontal="right" wrapText="1"/>
    </xf>
    <xf numFmtId="0" fontId="11" fillId="0" borderId="7" xfId="0" applyFont="1" applyBorder="1" applyAlignment="1" applyProtection="1">
      <alignment wrapText="1"/>
    </xf>
    <xf numFmtId="4" fontId="11" fillId="0" borderId="7" xfId="0" applyNumberFormat="1" applyFont="1" applyFill="1" applyBorder="1" applyAlignment="1" applyProtection="1">
      <alignment wrapText="1"/>
    </xf>
    <xf numFmtId="4" fontId="11" fillId="0" borderId="8" xfId="0" applyNumberFormat="1" applyFont="1" applyFill="1" applyBorder="1" applyAlignment="1" applyProtection="1">
      <alignment wrapText="1"/>
    </xf>
    <xf numFmtId="10" fontId="11" fillId="5" borderId="4" xfId="3" applyNumberFormat="1" applyFont="1" applyFill="1" applyBorder="1" applyAlignment="1" applyProtection="1">
      <alignment horizontal="right" wrapText="1"/>
      <protection locked="0"/>
    </xf>
    <xf numFmtId="2" fontId="11" fillId="0" borderId="34" xfId="0" applyNumberFormat="1" applyFont="1" applyFill="1" applyBorder="1" applyAlignment="1" applyProtection="1">
      <alignment horizontal="left" wrapText="1"/>
    </xf>
    <xf numFmtId="49" fontId="11" fillId="4" borderId="0" xfId="0" applyNumberFormat="1" applyFont="1" applyFill="1" applyProtection="1"/>
    <xf numFmtId="4" fontId="16" fillId="4" borderId="0" xfId="0" applyNumberFormat="1" applyFont="1" applyFill="1" applyAlignment="1" applyProtection="1">
      <alignment horizontal="right" wrapText="1"/>
    </xf>
    <xf numFmtId="0" fontId="16" fillId="4" borderId="0" xfId="0" applyFont="1" applyFill="1" applyAlignment="1" applyProtection="1">
      <alignment wrapText="1"/>
    </xf>
    <xf numFmtId="0" fontId="16" fillId="4" borderId="0" xfId="0" applyFont="1" applyFill="1" applyAlignment="1" applyProtection="1">
      <alignment horizontal="left" wrapText="1"/>
    </xf>
    <xf numFmtId="0" fontId="3" fillId="4" borderId="12" xfId="0" applyFont="1" applyFill="1" applyBorder="1" applyAlignment="1" applyProtection="1">
      <alignment horizontal="left" wrapText="1"/>
    </xf>
    <xf numFmtId="0" fontId="0" fillId="8" borderId="0" xfId="0" applyFill="1"/>
    <xf numFmtId="49" fontId="11" fillId="14" borderId="0" xfId="0" applyNumberFormat="1" applyFont="1" applyFill="1" applyProtection="1"/>
    <xf numFmtId="0" fontId="2" fillId="14" borderId="4" xfId="0" applyFont="1" applyFill="1" applyBorder="1" applyAlignment="1" applyProtection="1">
      <alignment horizontal="left" wrapText="1"/>
    </xf>
    <xf numFmtId="4" fontId="2" fillId="14" borderId="4" xfId="0" applyNumberFormat="1" applyFont="1" applyFill="1" applyBorder="1" applyAlignment="1" applyProtection="1">
      <alignment horizontal="right" wrapText="1"/>
    </xf>
    <xf numFmtId="4" fontId="2" fillId="15" borderId="4" xfId="0" applyNumberFormat="1" applyFont="1" applyFill="1" applyBorder="1" applyAlignment="1" applyProtection="1">
      <alignment horizontal="right" wrapText="1"/>
    </xf>
    <xf numFmtId="0" fontId="3" fillId="15" borderId="4" xfId="0" applyFont="1" applyFill="1" applyBorder="1" applyAlignment="1" applyProtection="1">
      <alignment horizontal="left" wrapText="1"/>
    </xf>
    <xf numFmtId="4" fontId="3" fillId="15" borderId="4" xfId="0" applyNumberFormat="1" applyFont="1" applyFill="1" applyBorder="1" applyAlignment="1" applyProtection="1">
      <alignment horizontal="right" wrapText="1"/>
    </xf>
    <xf numFmtId="0" fontId="2" fillId="4" borderId="4" xfId="0" applyFont="1" applyFill="1" applyBorder="1" applyAlignment="1" applyProtection="1">
      <alignment horizontal="left" wrapText="1"/>
    </xf>
    <xf numFmtId="4" fontId="2" fillId="4" borderId="4" xfId="0" applyNumberFormat="1" applyFont="1" applyFill="1" applyBorder="1" applyAlignment="1" applyProtection="1">
      <alignment horizontal="right" wrapText="1"/>
    </xf>
    <xf numFmtId="4" fontId="3" fillId="4" borderId="4" xfId="0" applyNumberFormat="1" applyFont="1" applyFill="1" applyBorder="1" applyAlignment="1" applyProtection="1">
      <alignment horizontal="right" wrapText="1"/>
    </xf>
    <xf numFmtId="0" fontId="3" fillId="14" borderId="4" xfId="0" applyFont="1" applyFill="1" applyBorder="1" applyAlignment="1" applyProtection="1">
      <alignment horizontal="left" wrapText="1"/>
    </xf>
    <xf numFmtId="4" fontId="3" fillId="14" borderId="4" xfId="0" applyNumberFormat="1" applyFont="1" applyFill="1" applyBorder="1" applyAlignment="1" applyProtection="1">
      <alignment horizontal="right" wrapText="1"/>
    </xf>
    <xf numFmtId="0" fontId="10" fillId="2" borderId="35" xfId="0" applyFont="1" applyFill="1" applyBorder="1" applyAlignment="1" applyProtection="1">
      <alignment horizontal="center" wrapText="1"/>
    </xf>
    <xf numFmtId="0" fontId="10" fillId="2" borderId="35" xfId="0" applyFont="1" applyFill="1" applyBorder="1" applyAlignment="1" applyProtection="1">
      <alignment horizontal="left" wrapText="1"/>
    </xf>
    <xf numFmtId="0" fontId="10" fillId="0" borderId="0" xfId="0" applyFont="1" applyFill="1" applyBorder="1" applyAlignment="1" applyProtection="1">
      <alignment horizontal="center" wrapText="1"/>
    </xf>
    <xf numFmtId="0" fontId="10" fillId="0" borderId="0" xfId="0" applyFont="1" applyFill="1" applyBorder="1" applyAlignment="1" applyProtection="1">
      <alignment horizontal="left" wrapText="1"/>
    </xf>
    <xf numFmtId="4" fontId="2" fillId="14" borderId="19" xfId="0" applyNumberFormat="1" applyFont="1" applyFill="1" applyBorder="1" applyAlignment="1" applyProtection="1">
      <alignment horizontal="right" wrapText="1"/>
    </xf>
    <xf numFmtId="0" fontId="3" fillId="14" borderId="19" xfId="0" applyFont="1" applyFill="1" applyBorder="1" applyAlignment="1" applyProtection="1">
      <alignment horizontal="left" wrapText="1"/>
    </xf>
    <xf numFmtId="0" fontId="3" fillId="14" borderId="19" xfId="0" quotePrefix="1" applyFont="1" applyFill="1" applyBorder="1" applyAlignment="1" applyProtection="1">
      <alignment horizontal="left" wrapText="1"/>
    </xf>
    <xf numFmtId="0" fontId="3" fillId="14" borderId="3" xfId="0" quotePrefix="1" applyFont="1" applyFill="1" applyBorder="1" applyAlignment="1" applyProtection="1">
      <alignment horizontal="left" wrapText="1"/>
    </xf>
    <xf numFmtId="4" fontId="2" fillId="14" borderId="19" xfId="0" quotePrefix="1" applyNumberFormat="1" applyFont="1" applyFill="1" applyBorder="1" applyAlignment="1" applyProtection="1">
      <alignment horizontal="right" wrapText="1"/>
    </xf>
    <xf numFmtId="0" fontId="3" fillId="4" borderId="19" xfId="0" quotePrefix="1" applyFont="1" applyFill="1" applyBorder="1" applyAlignment="1" applyProtection="1">
      <alignment horizontal="left" wrapText="1"/>
    </xf>
    <xf numFmtId="4" fontId="2" fillId="4" borderId="19" xfId="0" quotePrefix="1" applyNumberFormat="1" applyFont="1" applyFill="1" applyBorder="1" applyAlignment="1" applyProtection="1">
      <alignment horizontal="right" wrapText="1"/>
    </xf>
    <xf numFmtId="0" fontId="17" fillId="4" borderId="4" xfId="0" applyFont="1" applyFill="1" applyBorder="1" applyAlignment="1" applyProtection="1">
      <alignment horizontal="left" wrapText="1"/>
    </xf>
    <xf numFmtId="0" fontId="18" fillId="14" borderId="4" xfId="0" applyFont="1" applyFill="1" applyBorder="1" applyAlignment="1" applyProtection="1">
      <alignment horizontal="left" wrapText="1"/>
    </xf>
    <xf numFmtId="4" fontId="3" fillId="14" borderId="19" xfId="0" quotePrefix="1" applyNumberFormat="1" applyFont="1" applyFill="1" applyBorder="1" applyAlignment="1" applyProtection="1">
      <alignment horizontal="right" wrapText="1"/>
    </xf>
    <xf numFmtId="49" fontId="11" fillId="8" borderId="0" xfId="0" applyNumberFormat="1" applyFont="1" applyFill="1" applyProtection="1"/>
    <xf numFmtId="0" fontId="3" fillId="8" borderId="0" xfId="0" quotePrefix="1" applyFont="1" applyFill="1" applyBorder="1" applyAlignment="1" applyProtection="1">
      <alignment horizontal="left" wrapText="1"/>
    </xf>
    <xf numFmtId="4" fontId="3" fillId="8" borderId="0" xfId="0" applyNumberFormat="1" applyFont="1" applyFill="1" applyBorder="1" applyAlignment="1" applyProtection="1">
      <alignment horizontal="right" wrapText="1"/>
    </xf>
    <xf numFmtId="4" fontId="3" fillId="8" borderId="0" xfId="0" applyNumberFormat="1" applyFont="1" applyFill="1" applyBorder="1" applyAlignment="1" applyProtection="1">
      <alignment wrapText="1"/>
    </xf>
    <xf numFmtId="4" fontId="2" fillId="8" borderId="0" xfId="0" applyNumberFormat="1" applyFont="1" applyFill="1" applyBorder="1" applyAlignment="1" applyProtection="1">
      <alignment horizontal="left" wrapText="1"/>
    </xf>
    <xf numFmtId="0" fontId="16" fillId="8" borderId="0" xfId="0" applyFont="1" applyFill="1" applyProtection="1"/>
    <xf numFmtId="0" fontId="27" fillId="0" borderId="0" xfId="0" applyFont="1" applyFill="1" applyBorder="1" applyAlignment="1" applyProtection="1">
      <alignment horizontal="center" wrapText="1"/>
    </xf>
    <xf numFmtId="4" fontId="2" fillId="4" borderId="4" xfId="0" applyNumberFormat="1" applyFont="1" applyFill="1" applyBorder="1" applyAlignment="1" applyProtection="1">
      <alignment horizontal="right" wrapText="1"/>
      <protection locked="0"/>
    </xf>
    <xf numFmtId="0" fontId="3" fillId="14" borderId="3" xfId="0" applyFont="1" applyFill="1" applyBorder="1" applyAlignment="1" applyProtection="1">
      <alignment horizontal="left" wrapText="1"/>
    </xf>
    <xf numFmtId="0" fontId="3" fillId="14" borderId="4" xfId="0" quotePrefix="1" applyFont="1" applyFill="1" applyBorder="1" applyAlignment="1" applyProtection="1">
      <alignment horizontal="left" wrapText="1"/>
    </xf>
    <xf numFmtId="0" fontId="2" fillId="14" borderId="4" xfId="0" quotePrefix="1" applyFont="1" applyFill="1" applyBorder="1" applyAlignment="1" applyProtection="1">
      <alignment horizontal="left" wrapText="1"/>
    </xf>
    <xf numFmtId="4" fontId="3" fillId="14" borderId="3" xfId="0" applyNumberFormat="1" applyFont="1" applyFill="1" applyBorder="1" applyAlignment="1" applyProtection="1">
      <alignment horizontal="right" wrapText="1"/>
    </xf>
    <xf numFmtId="4" fontId="3" fillId="14" borderId="3" xfId="0" applyNumberFormat="1" applyFont="1" applyFill="1" applyBorder="1" applyAlignment="1" applyProtection="1">
      <alignment wrapText="1"/>
    </xf>
    <xf numFmtId="0" fontId="3" fillId="16" borderId="3" xfId="0" quotePrefix="1" applyFont="1" applyFill="1" applyBorder="1" applyAlignment="1" applyProtection="1">
      <alignment horizontal="left" wrapText="1"/>
    </xf>
    <xf numFmtId="4" fontId="3" fillId="16" borderId="3" xfId="0" applyNumberFormat="1" applyFont="1" applyFill="1" applyBorder="1" applyAlignment="1" applyProtection="1">
      <alignment horizontal="right" wrapText="1"/>
    </xf>
    <xf numFmtId="4" fontId="3" fillId="16" borderId="3" xfId="0" applyNumberFormat="1" applyFont="1" applyFill="1" applyBorder="1" applyAlignment="1" applyProtection="1">
      <alignment wrapText="1"/>
    </xf>
    <xf numFmtId="0" fontId="2" fillId="14" borderId="3" xfId="0" applyFont="1" applyFill="1" applyBorder="1" applyAlignment="1" applyProtection="1">
      <alignment horizontal="left" wrapText="1"/>
    </xf>
    <xf numFmtId="4" fontId="2" fillId="14" borderId="0" xfId="0" applyNumberFormat="1" applyFont="1" applyFill="1" applyBorder="1" applyAlignment="1" applyProtection="1">
      <alignment horizontal="right" wrapText="1"/>
    </xf>
    <xf numFmtId="0" fontId="5" fillId="5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19" xfId="0" applyFont="1" applyFill="1" applyBorder="1" applyAlignment="1" applyProtection="1">
      <alignment horizontal="center" wrapText="1"/>
    </xf>
    <xf numFmtId="3" fontId="16" fillId="0" borderId="0" xfId="0" applyNumberFormat="1" applyFont="1" applyFill="1" applyProtection="1"/>
    <xf numFmtId="4" fontId="2" fillId="14" borderId="3" xfId="0" applyNumberFormat="1" applyFont="1" applyFill="1" applyBorder="1" applyAlignment="1" applyProtection="1">
      <alignment horizontal="right" wrapText="1"/>
    </xf>
    <xf numFmtId="4" fontId="2" fillId="14" borderId="3" xfId="0" applyNumberFormat="1" applyFont="1" applyFill="1" applyBorder="1" applyAlignment="1" applyProtection="1">
      <alignment wrapText="1"/>
    </xf>
    <xf numFmtId="0" fontId="2" fillId="14" borderId="3" xfId="0" applyFont="1" applyFill="1" applyBorder="1" applyAlignment="1" applyProtection="1">
      <alignment horizontal="right" wrapText="1"/>
    </xf>
    <xf numFmtId="0" fontId="3" fillId="14" borderId="0" xfId="0" quotePrefix="1" applyFont="1" applyFill="1" applyBorder="1" applyAlignment="1" applyProtection="1">
      <alignment horizontal="left" wrapText="1"/>
    </xf>
    <xf numFmtId="4" fontId="3" fillId="14" borderId="0" xfId="0" applyNumberFormat="1" applyFont="1" applyFill="1" applyBorder="1" applyAlignment="1" applyProtection="1">
      <alignment horizontal="right" wrapText="1"/>
    </xf>
    <xf numFmtId="0" fontId="2" fillId="4" borderId="4" xfId="0" applyFont="1" applyFill="1" applyBorder="1" applyAlignment="1" applyProtection="1">
      <alignment wrapText="1"/>
    </xf>
    <xf numFmtId="0" fontId="6" fillId="0" borderId="5" xfId="0" applyFont="1" applyBorder="1" applyAlignment="1">
      <alignment horizontal="center" vertical="center" wrapText="1"/>
    </xf>
    <xf numFmtId="0" fontId="2" fillId="14" borderId="0" xfId="0" applyFont="1" applyFill="1" applyBorder="1" applyAlignment="1" applyProtection="1">
      <alignment horizontal="left" wrapText="1"/>
    </xf>
    <xf numFmtId="0" fontId="2" fillId="14" borderId="4" xfId="0" applyFont="1" applyFill="1" applyBorder="1" applyAlignment="1" applyProtection="1">
      <alignment wrapText="1"/>
    </xf>
    <xf numFmtId="4" fontId="11" fillId="14" borderId="0" xfId="0" applyNumberFormat="1" applyFont="1" applyFill="1" applyAlignment="1" applyProtection="1">
      <alignment horizontal="right" wrapText="1"/>
    </xf>
    <xf numFmtId="0" fontId="3" fillId="7" borderId="35" xfId="0" applyFont="1" applyFill="1" applyBorder="1" applyAlignment="1" applyProtection="1">
      <alignment horizontal="left" wrapText="1"/>
    </xf>
    <xf numFmtId="0" fontId="3" fillId="7" borderId="35" xfId="0" applyFont="1" applyFill="1" applyBorder="1" applyAlignment="1" applyProtection="1">
      <alignment horizontal="center" wrapText="1"/>
    </xf>
    <xf numFmtId="0" fontId="3" fillId="15" borderId="19" xfId="0" applyFont="1" applyFill="1" applyBorder="1" applyAlignment="1" applyProtection="1">
      <alignment horizontal="left" wrapText="1"/>
    </xf>
    <xf numFmtId="4" fontId="2" fillId="15" borderId="19" xfId="0" applyNumberFormat="1" applyFont="1" applyFill="1" applyBorder="1" applyAlignment="1" applyProtection="1">
      <alignment horizontal="right" wrapText="1"/>
    </xf>
    <xf numFmtId="0" fontId="3" fillId="15" borderId="3" xfId="0" applyFont="1" applyFill="1" applyBorder="1" applyAlignment="1" applyProtection="1">
      <alignment horizontal="left" wrapText="1"/>
    </xf>
    <xf numFmtId="4" fontId="3" fillId="15" borderId="3" xfId="0" applyNumberFormat="1" applyFont="1" applyFill="1" applyBorder="1" applyAlignment="1" applyProtection="1">
      <alignment horizontal="right" wrapText="1"/>
    </xf>
    <xf numFmtId="4" fontId="3" fillId="15" borderId="3" xfId="0" applyNumberFormat="1" applyFont="1" applyFill="1" applyBorder="1" applyAlignment="1" applyProtection="1">
      <alignment wrapText="1"/>
    </xf>
    <xf numFmtId="49" fontId="27" fillId="15" borderId="0" xfId="0" applyNumberFormat="1" applyFont="1" applyFill="1" applyProtection="1"/>
    <xf numFmtId="0" fontId="2" fillId="15" borderId="4" xfId="0" applyFont="1" applyFill="1" applyBorder="1" applyAlignment="1" applyProtection="1">
      <alignment horizontal="left" wrapText="1"/>
    </xf>
    <xf numFmtId="4" fontId="2" fillId="15" borderId="4" xfId="0" applyNumberFormat="1" applyFont="1" applyFill="1" applyBorder="1" applyAlignment="1" applyProtection="1">
      <alignment wrapText="1"/>
    </xf>
    <xf numFmtId="0" fontId="2" fillId="15" borderId="19" xfId="0" applyFont="1" applyFill="1" applyBorder="1" applyAlignment="1" applyProtection="1">
      <alignment horizontal="left" wrapText="1"/>
    </xf>
    <xf numFmtId="4" fontId="2" fillId="15" borderId="19" xfId="0" applyNumberFormat="1" applyFont="1" applyFill="1" applyBorder="1" applyAlignment="1" applyProtection="1">
      <alignment wrapText="1"/>
    </xf>
    <xf numFmtId="0" fontId="3" fillId="15" borderId="19" xfId="0" quotePrefix="1" applyFont="1" applyFill="1" applyBorder="1" applyAlignment="1" applyProtection="1">
      <alignment horizontal="left" wrapText="1"/>
    </xf>
    <xf numFmtId="0" fontId="18" fillId="15" borderId="4" xfId="0" quotePrefix="1" applyFont="1" applyFill="1" applyBorder="1" applyAlignment="1" applyProtection="1">
      <alignment horizontal="left" wrapText="1"/>
    </xf>
    <xf numFmtId="0" fontId="2" fillId="15" borderId="3" xfId="0" quotePrefix="1" applyFont="1" applyFill="1" applyBorder="1" applyAlignment="1" applyProtection="1">
      <alignment horizontal="left" wrapText="1"/>
    </xf>
    <xf numFmtId="0" fontId="2" fillId="15" borderId="19" xfId="0" quotePrefix="1" applyFont="1" applyFill="1" applyBorder="1" applyAlignment="1" applyProtection="1">
      <alignment horizontal="left" wrapText="1"/>
    </xf>
    <xf numFmtId="0" fontId="2" fillId="14" borderId="19" xfId="0" applyFont="1" applyFill="1" applyBorder="1" applyAlignment="1" applyProtection="1">
      <alignment horizontal="left" wrapText="1"/>
    </xf>
    <xf numFmtId="0" fontId="2" fillId="4" borderId="19" xfId="0" applyFont="1" applyFill="1" applyBorder="1" applyAlignment="1" applyProtection="1">
      <alignment horizontal="left" wrapText="1"/>
    </xf>
    <xf numFmtId="4" fontId="2" fillId="4" borderId="19" xfId="0" applyNumberFormat="1" applyFont="1" applyFill="1" applyBorder="1" applyAlignment="1" applyProtection="1">
      <alignment horizontal="right" wrapText="1"/>
    </xf>
    <xf numFmtId="0" fontId="29" fillId="0" borderId="0" xfId="0" applyFont="1" applyFill="1" applyAlignment="1" applyProtection="1">
      <alignment horizontal="left"/>
    </xf>
    <xf numFmtId="4" fontId="29" fillId="0" borderId="0" xfId="0" applyNumberFormat="1" applyFont="1" applyFill="1" applyBorder="1" applyAlignment="1" applyProtection="1">
      <alignment horizontal="left" wrapText="1"/>
    </xf>
    <xf numFmtId="0" fontId="29" fillId="0" borderId="0" xfId="0" applyFont="1" applyAlignment="1" applyProtection="1">
      <alignment horizontal="left"/>
    </xf>
    <xf numFmtId="0" fontId="6" fillId="17" borderId="5" xfId="0" applyFont="1" applyFill="1" applyBorder="1" applyAlignment="1">
      <alignment horizontal="center" vertical="center" wrapText="1"/>
    </xf>
    <xf numFmtId="0" fontId="6" fillId="17" borderId="0" xfId="2" applyFont="1" applyFill="1" applyAlignment="1">
      <alignment vertical="center"/>
    </xf>
    <xf numFmtId="0" fontId="6" fillId="17" borderId="11" xfId="0" applyFont="1" applyFill="1" applyBorder="1" applyAlignment="1">
      <alignment horizontal="center" vertical="center" wrapText="1"/>
    </xf>
    <xf numFmtId="0" fontId="6" fillId="17" borderId="5" xfId="2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14" borderId="3" xfId="0" quotePrefix="1" applyFont="1" applyFill="1" applyBorder="1" applyAlignment="1" applyProtection="1">
      <alignment horizontal="left" wrapText="1"/>
    </xf>
    <xf numFmtId="4" fontId="2" fillId="15" borderId="3" xfId="0" applyNumberFormat="1" applyFont="1" applyFill="1" applyBorder="1" applyAlignment="1" applyProtection="1">
      <alignment wrapText="1"/>
    </xf>
    <xf numFmtId="49" fontId="3" fillId="15" borderId="3" xfId="0" applyNumberFormat="1" applyFont="1" applyFill="1" applyBorder="1" applyAlignment="1" applyProtection="1">
      <alignment wrapText="1"/>
    </xf>
    <xf numFmtId="49" fontId="2" fillId="15" borderId="3" xfId="0" applyNumberFormat="1" applyFont="1" applyFill="1" applyBorder="1" applyAlignment="1" applyProtection="1">
      <alignment wrapText="1"/>
    </xf>
    <xf numFmtId="49" fontId="2" fillId="14" borderId="3" xfId="0" applyNumberFormat="1" applyFont="1" applyFill="1" applyBorder="1" applyAlignment="1" applyProtection="1">
      <alignment wrapText="1"/>
    </xf>
    <xf numFmtId="4" fontId="11" fillId="14" borderId="3" xfId="0" applyNumberFormat="1" applyFont="1" applyFill="1" applyBorder="1" applyAlignment="1" applyProtection="1">
      <alignment wrapText="1"/>
    </xf>
    <xf numFmtId="3" fontId="5" fillId="17" borderId="5" xfId="0" applyNumberFormat="1" applyFont="1" applyFill="1" applyBorder="1" applyAlignment="1">
      <alignment horizontal="right" vertical="center"/>
    </xf>
    <xf numFmtId="3" fontId="5" fillId="5" borderId="5" xfId="1" applyNumberFormat="1" applyFont="1" applyFill="1" applyBorder="1" applyAlignment="1">
      <alignment horizontal="right" vertical="center"/>
    </xf>
    <xf numFmtId="3" fontId="6" fillId="0" borderId="20" xfId="0" applyNumberFormat="1" applyFont="1" applyBorder="1" applyAlignment="1">
      <alignment horizontal="right" vertical="center"/>
    </xf>
    <xf numFmtId="3" fontId="5" fillId="5" borderId="8" xfId="0" applyNumberFormat="1" applyFont="1" applyFill="1" applyBorder="1" applyAlignment="1">
      <alignment horizontal="right" vertical="center"/>
    </xf>
    <xf numFmtId="3" fontId="5" fillId="13" borderId="5" xfId="0" applyNumberFormat="1" applyFont="1" applyFill="1" applyBorder="1" applyAlignment="1">
      <alignment horizontal="right" vertical="center"/>
    </xf>
    <xf numFmtId="3" fontId="5" fillId="17" borderId="6" xfId="0" applyNumberFormat="1" applyFont="1" applyFill="1" applyBorder="1" applyAlignment="1">
      <alignment horizontal="right" vertical="center"/>
    </xf>
    <xf numFmtId="3" fontId="5" fillId="17" borderId="5" xfId="1" applyNumberFormat="1" applyFont="1" applyFill="1" applyBorder="1" applyAlignment="1">
      <alignment horizontal="right" vertical="center"/>
    </xf>
    <xf numFmtId="3" fontId="5" fillId="17" borderId="5" xfId="2" applyNumberFormat="1" applyFont="1" applyFill="1" applyBorder="1" applyAlignment="1">
      <alignment horizontal="right" vertical="center"/>
    </xf>
    <xf numFmtId="3" fontId="6" fillId="17" borderId="5" xfId="2" applyNumberFormat="1" applyFont="1" applyFill="1" applyBorder="1" applyAlignment="1">
      <alignment horizontal="right" vertical="center"/>
    </xf>
    <xf numFmtId="3" fontId="6" fillId="17" borderId="20" xfId="0" applyNumberFormat="1" applyFont="1" applyFill="1" applyBorder="1" applyAlignment="1">
      <alignment horizontal="right" vertical="center"/>
    </xf>
    <xf numFmtId="3" fontId="5" fillId="17" borderId="8" xfId="0" applyNumberFormat="1" applyFont="1" applyFill="1" applyBorder="1" applyAlignment="1">
      <alignment horizontal="right" vertical="center"/>
    </xf>
    <xf numFmtId="3" fontId="5" fillId="17" borderId="11" xfId="0" applyNumberFormat="1" applyFont="1" applyFill="1" applyBorder="1" applyAlignment="1">
      <alignment horizontal="right" vertical="center"/>
    </xf>
    <xf numFmtId="3" fontId="5" fillId="5" borderId="5" xfId="0" applyNumberFormat="1" applyFont="1" applyFill="1" applyBorder="1" applyAlignment="1">
      <alignment horizontal="right" vertical="center"/>
    </xf>
    <xf numFmtId="3" fontId="5" fillId="13" borderId="8" xfId="0" applyNumberFormat="1" applyFont="1" applyFill="1" applyBorder="1" applyAlignment="1">
      <alignment horizontal="right" vertical="center"/>
    </xf>
    <xf numFmtId="3" fontId="5" fillId="8" borderId="8" xfId="0" applyNumberFormat="1" applyFont="1" applyFill="1" applyBorder="1" applyAlignment="1">
      <alignment horizontal="right" vertical="center"/>
    </xf>
    <xf numFmtId="3" fontId="6" fillId="17" borderId="5" xfId="2" applyNumberFormat="1" applyFont="1" applyFill="1" applyBorder="1" applyAlignment="1">
      <alignment vertical="center"/>
    </xf>
    <xf numFmtId="3" fontId="5" fillId="13" borderId="5" xfId="1" applyNumberFormat="1" applyFont="1" applyFill="1" applyBorder="1" applyAlignment="1">
      <alignment horizontal="right" vertical="center"/>
    </xf>
    <xf numFmtId="3" fontId="5" fillId="4" borderId="5" xfId="1" applyNumberFormat="1" applyFont="1" applyFill="1" applyBorder="1" applyAlignment="1">
      <alignment horizontal="right" vertical="center"/>
    </xf>
    <xf numFmtId="3" fontId="6" fillId="0" borderId="10" xfId="2" applyNumberFormat="1" applyFont="1" applyFill="1" applyBorder="1" applyAlignment="1">
      <alignment vertical="center"/>
    </xf>
    <xf numFmtId="3" fontId="6" fillId="13" borderId="8" xfId="0" applyNumberFormat="1" applyFont="1" applyFill="1" applyBorder="1" applyAlignment="1">
      <alignment horizontal="right" vertical="center"/>
    </xf>
    <xf numFmtId="3" fontId="6" fillId="13" borderId="5" xfId="0" applyNumberFormat="1" applyFont="1" applyFill="1" applyBorder="1" applyAlignment="1">
      <alignment horizontal="right" vertical="center"/>
    </xf>
    <xf numFmtId="3" fontId="5" fillId="5" borderId="8" xfId="2" applyNumberFormat="1" applyFont="1" applyFill="1" applyBorder="1" applyAlignment="1">
      <alignment horizontal="right" vertical="center"/>
    </xf>
    <xf numFmtId="3" fontId="5" fillId="13" borderId="5" xfId="2" applyNumberFormat="1" applyFont="1" applyFill="1" applyBorder="1" applyAlignment="1">
      <alignment horizontal="right" vertical="center"/>
    </xf>
    <xf numFmtId="3" fontId="5" fillId="0" borderId="20" xfId="0" applyNumberFormat="1" applyFont="1" applyBorder="1" applyAlignment="1">
      <alignment horizontal="right" vertical="center"/>
    </xf>
    <xf numFmtId="3" fontId="5" fillId="0" borderId="20" xfId="0" applyNumberFormat="1" applyFont="1" applyFill="1" applyBorder="1" applyAlignment="1">
      <alignment horizontal="right" vertical="center"/>
    </xf>
    <xf numFmtId="3" fontId="6" fillId="5" borderId="8" xfId="0" applyNumberFormat="1" applyFont="1" applyFill="1" applyBorder="1" applyAlignment="1">
      <alignment horizontal="right" vertical="center"/>
    </xf>
    <xf numFmtId="3" fontId="6" fillId="5" borderId="5" xfId="2" applyNumberFormat="1" applyFont="1" applyFill="1" applyBorder="1" applyAlignment="1">
      <alignment vertical="center"/>
    </xf>
    <xf numFmtId="3" fontId="6" fillId="17" borderId="8" xfId="0" applyNumberFormat="1" applyFont="1" applyFill="1" applyBorder="1" applyAlignment="1">
      <alignment horizontal="right" vertical="center"/>
    </xf>
    <xf numFmtId="3" fontId="5" fillId="5" borderId="20" xfId="0" applyNumberFormat="1" applyFont="1" applyFill="1" applyBorder="1" applyAlignment="1">
      <alignment horizontal="right" vertical="center"/>
    </xf>
    <xf numFmtId="3" fontId="6" fillId="0" borderId="20" xfId="0" applyNumberFormat="1" applyFont="1" applyFill="1" applyBorder="1" applyAlignment="1">
      <alignment horizontal="right" vertical="center"/>
    </xf>
    <xf numFmtId="3" fontId="6" fillId="0" borderId="22" xfId="0" applyNumberFormat="1" applyFont="1" applyBorder="1" applyAlignment="1">
      <alignment horizontal="right" vertical="center"/>
    </xf>
    <xf numFmtId="3" fontId="6" fillId="17" borderId="22" xfId="0" applyNumberFormat="1" applyFont="1" applyFill="1" applyBorder="1" applyAlignment="1">
      <alignment horizontal="right" vertical="center"/>
    </xf>
    <xf numFmtId="3" fontId="5" fillId="0" borderId="22" xfId="0" applyNumberFormat="1" applyFont="1" applyBorder="1" applyAlignment="1">
      <alignment horizontal="right" vertical="center"/>
    </xf>
    <xf numFmtId="3" fontId="5" fillId="0" borderId="22" xfId="0" applyNumberFormat="1" applyFont="1" applyFill="1" applyBorder="1" applyAlignment="1">
      <alignment horizontal="right" vertical="center"/>
    </xf>
    <xf numFmtId="3" fontId="5" fillId="5" borderId="22" xfId="0" applyNumberFormat="1" applyFont="1" applyFill="1" applyBorder="1" applyAlignment="1">
      <alignment horizontal="right" vertical="center"/>
    </xf>
    <xf numFmtId="3" fontId="6" fillId="0" borderId="21" xfId="2" applyNumberFormat="1" applyFont="1" applyBorder="1" applyAlignment="1">
      <alignment vertical="center"/>
    </xf>
    <xf numFmtId="3" fontId="6" fillId="0" borderId="25" xfId="0" applyNumberFormat="1" applyFont="1" applyBorder="1" applyAlignment="1">
      <alignment horizontal="right" vertical="center"/>
    </xf>
    <xf numFmtId="3" fontId="6" fillId="0" borderId="9" xfId="0" applyNumberFormat="1" applyFont="1" applyFill="1" applyBorder="1" applyAlignment="1">
      <alignment horizontal="right" vertical="center"/>
    </xf>
    <xf numFmtId="3" fontId="6" fillId="17" borderId="5" xfId="0" applyNumberFormat="1" applyFont="1" applyFill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6" fillId="17" borderId="11" xfId="0" applyNumberFormat="1" applyFont="1" applyFill="1" applyBorder="1" applyAlignment="1">
      <alignment horizontal="right" vertical="center"/>
    </xf>
    <xf numFmtId="3" fontId="6" fillId="5" borderId="11" xfId="0" applyNumberFormat="1" applyFont="1" applyFill="1" applyBorder="1" applyAlignment="1">
      <alignment horizontal="right" vertical="center"/>
    </xf>
    <xf numFmtId="3" fontId="5" fillId="5" borderId="11" xfId="2" applyNumberFormat="1" applyFont="1" applyFill="1" applyBorder="1" applyAlignment="1">
      <alignment horizontal="right" vertical="center"/>
    </xf>
    <xf numFmtId="3" fontId="5" fillId="13" borderId="11" xfId="2" applyNumberFormat="1" applyFont="1" applyFill="1" applyBorder="1" applyAlignment="1">
      <alignment horizontal="right" vertical="center"/>
    </xf>
    <xf numFmtId="3" fontId="6" fillId="4" borderId="11" xfId="0" applyNumberFormat="1" applyFont="1" applyFill="1" applyBorder="1" applyAlignment="1">
      <alignment horizontal="right" vertical="center"/>
    </xf>
    <xf numFmtId="3" fontId="6" fillId="7" borderId="5" xfId="0" applyNumberFormat="1" applyFont="1" applyFill="1" applyBorder="1" applyAlignment="1">
      <alignment horizontal="right" vertical="center"/>
    </xf>
    <xf numFmtId="3" fontId="5" fillId="18" borderId="5" xfId="0" applyNumberFormat="1" applyFont="1" applyFill="1" applyBorder="1" applyAlignment="1">
      <alignment horizontal="right" vertical="center"/>
    </xf>
    <xf numFmtId="3" fontId="5" fillId="18" borderId="5" xfId="2" applyNumberFormat="1" applyFont="1" applyFill="1" applyBorder="1" applyAlignment="1">
      <alignment horizontal="right" vertical="center"/>
    </xf>
    <xf numFmtId="3" fontId="6" fillId="13" borderId="11" xfId="0" applyNumberFormat="1" applyFont="1" applyFill="1" applyBorder="1" applyAlignment="1">
      <alignment horizontal="right" vertical="center"/>
    </xf>
    <xf numFmtId="3" fontId="6" fillId="18" borderId="5" xfId="0" applyNumberFormat="1" applyFont="1" applyFill="1" applyBorder="1" applyAlignment="1">
      <alignment horizontal="right" vertical="center"/>
    </xf>
    <xf numFmtId="3" fontId="5" fillId="18" borderId="8" xfId="0" applyNumberFormat="1" applyFont="1" applyFill="1" applyBorder="1" applyAlignment="1">
      <alignment horizontal="right" vertical="center"/>
    </xf>
    <xf numFmtId="3" fontId="6" fillId="18" borderId="5" xfId="2" applyNumberFormat="1" applyFont="1" applyFill="1" applyBorder="1" applyAlignment="1">
      <alignment vertical="center"/>
    </xf>
    <xf numFmtId="3" fontId="5" fillId="18" borderId="11" xfId="0" applyNumberFormat="1" applyFont="1" applyFill="1" applyBorder="1" applyAlignment="1">
      <alignment horizontal="right" vertical="center"/>
    </xf>
    <xf numFmtId="3" fontId="5" fillId="5" borderId="6" xfId="1" applyNumberFormat="1" applyFont="1" applyFill="1" applyBorder="1" applyAlignment="1">
      <alignment horizontal="right" vertical="center"/>
    </xf>
    <xf numFmtId="3" fontId="5" fillId="17" borderId="6" xfId="1" applyNumberFormat="1" applyFont="1" applyFill="1" applyBorder="1" applyAlignment="1">
      <alignment horizontal="right" vertical="center"/>
    </xf>
    <xf numFmtId="3" fontId="5" fillId="4" borderId="5" xfId="2" applyNumberFormat="1" applyFont="1" applyFill="1" applyBorder="1" applyAlignment="1">
      <alignment horizontal="right" vertical="center"/>
    </xf>
    <xf numFmtId="3" fontId="6" fillId="5" borderId="0" xfId="2" applyNumberFormat="1" applyFont="1" applyFill="1" applyAlignment="1">
      <alignment vertical="center"/>
    </xf>
    <xf numFmtId="3" fontId="5" fillId="4" borderId="5" xfId="0" applyNumberFormat="1" applyFont="1" applyFill="1" applyBorder="1" applyAlignment="1">
      <alignment horizontal="right" vertical="center"/>
    </xf>
    <xf numFmtId="3" fontId="5" fillId="5" borderId="11" xfId="0" applyNumberFormat="1" applyFont="1" applyFill="1" applyBorder="1" applyAlignment="1">
      <alignment horizontal="right" vertical="center"/>
    </xf>
    <xf numFmtId="3" fontId="5" fillId="13" borderId="11" xfId="0" applyNumberFormat="1" applyFont="1" applyFill="1" applyBorder="1" applyAlignment="1">
      <alignment horizontal="right" vertical="center"/>
    </xf>
    <xf numFmtId="3" fontId="6" fillId="7" borderId="0" xfId="2" applyNumberFormat="1" applyFont="1" applyFill="1" applyAlignment="1">
      <alignment vertical="center"/>
    </xf>
    <xf numFmtId="3" fontId="5" fillId="17" borderId="8" xfId="1" applyNumberFormat="1" applyFont="1" applyFill="1" applyBorder="1" applyAlignment="1">
      <alignment horizontal="right" vertical="center"/>
    </xf>
    <xf numFmtId="49" fontId="2" fillId="4" borderId="3" xfId="0" applyNumberFormat="1" applyFont="1" applyFill="1" applyBorder="1" applyAlignment="1" applyProtection="1">
      <alignment wrapText="1"/>
    </xf>
    <xf numFmtId="0" fontId="6" fillId="19" borderId="5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center" vertical="center" wrapText="1"/>
    </xf>
    <xf numFmtId="3" fontId="5" fillId="19" borderId="5" xfId="0" applyNumberFormat="1" applyFont="1" applyFill="1" applyBorder="1" applyAlignment="1">
      <alignment horizontal="right" vertical="center"/>
    </xf>
    <xf numFmtId="3" fontId="6" fillId="19" borderId="5" xfId="0" applyNumberFormat="1" applyFont="1" applyFill="1" applyBorder="1" applyAlignment="1">
      <alignment horizontal="right" vertical="center"/>
    </xf>
    <xf numFmtId="3" fontId="5" fillId="19" borderId="5" xfId="2" applyNumberFormat="1" applyFont="1" applyFill="1" applyBorder="1" applyAlignment="1">
      <alignment horizontal="right" vertical="center"/>
    </xf>
    <xf numFmtId="3" fontId="5" fillId="19" borderId="8" xfId="0" applyNumberFormat="1" applyFont="1" applyFill="1" applyBorder="1" applyAlignment="1">
      <alignment horizontal="right" vertical="center"/>
    </xf>
    <xf numFmtId="3" fontId="6" fillId="19" borderId="9" xfId="0" applyNumberFormat="1" applyFont="1" applyFill="1" applyBorder="1" applyAlignment="1">
      <alignment horizontal="right" vertical="center"/>
    </xf>
    <xf numFmtId="3" fontId="6" fillId="19" borderId="5" xfId="2" applyNumberFormat="1" applyFont="1" applyFill="1" applyBorder="1" applyAlignment="1">
      <alignment vertical="center"/>
    </xf>
    <xf numFmtId="3" fontId="5" fillId="19" borderId="8" xfId="1" applyNumberFormat="1" applyFont="1" applyFill="1" applyBorder="1" applyAlignment="1">
      <alignment horizontal="right" vertical="center"/>
    </xf>
    <xf numFmtId="4" fontId="28" fillId="0" borderId="0" xfId="0" applyNumberFormat="1" applyFont="1" applyFill="1" applyBorder="1" applyAlignment="1" applyProtection="1">
      <alignment horizontal="left" wrapText="1"/>
    </xf>
    <xf numFmtId="0" fontId="28" fillId="0" borderId="0" xfId="0" applyFont="1" applyAlignment="1" applyProtection="1">
      <alignment horizontal="left"/>
    </xf>
    <xf numFmtId="0" fontId="6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8" xfId="2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6" fillId="0" borderId="2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9" fontId="21" fillId="0" borderId="9" xfId="0" applyNumberFormat="1" applyFont="1" applyBorder="1" applyAlignment="1">
      <alignment horizontal="right" vertical="center"/>
    </xf>
    <xf numFmtId="9" fontId="21" fillId="0" borderId="11" xfId="0" applyNumberFormat="1" applyFont="1" applyBorder="1" applyAlignment="1">
      <alignment horizontal="right" vertical="center"/>
    </xf>
    <xf numFmtId="0" fontId="22" fillId="0" borderId="9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vertical="center"/>
    </xf>
    <xf numFmtId="0" fontId="22" fillId="0" borderId="29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6" xfId="2" applyFont="1" applyBorder="1" applyAlignment="1">
      <alignment horizontal="center" vertical="center" wrapText="1"/>
    </xf>
    <xf numFmtId="0" fontId="22" fillId="0" borderId="7" xfId="2" applyFont="1" applyBorder="1" applyAlignment="1">
      <alignment horizontal="center" vertical="center" wrapText="1"/>
    </xf>
    <xf numFmtId="0" fontId="22" fillId="0" borderId="8" xfId="2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2" fillId="0" borderId="5" xfId="2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</cellXfs>
  <cellStyles count="5">
    <cellStyle name="Millares" xfId="1" builtinId="3"/>
    <cellStyle name="Normal" xfId="0" builtinId="0"/>
    <cellStyle name="Normal 2" xfId="2"/>
    <cellStyle name="Normal 3" xfId="4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10" sqref="B10"/>
    </sheetView>
  </sheetViews>
  <sheetFormatPr baseColWidth="10" defaultRowHeight="15" x14ac:dyDescent="0.25"/>
  <cols>
    <col min="1" max="16384" width="11.42578125" style="263"/>
  </cols>
  <sheetData>
    <row r="3" spans="2:2" x14ac:dyDescent="0.25">
      <c r="B3" s="263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8"/>
  <sheetViews>
    <sheetView tabSelected="1" topLeftCell="B44" zoomScale="90" zoomScaleNormal="90" workbookViewId="0">
      <selection activeCell="H61" sqref="H61"/>
    </sheetView>
  </sheetViews>
  <sheetFormatPr baseColWidth="10" defaultColWidth="114.42578125" defaultRowHeight="30" customHeight="1" x14ac:dyDescent="0.35"/>
  <cols>
    <col min="1" max="1" width="15.7109375" style="200" customWidth="1"/>
    <col min="2" max="2" width="131.85546875" style="203" customWidth="1"/>
    <col min="3" max="3" width="1.85546875" style="202" customWidth="1"/>
    <col min="4" max="4" width="21.7109375" style="203" customWidth="1"/>
    <col min="5" max="5" width="23.7109375" style="203" customWidth="1"/>
    <col min="6" max="6" width="21.85546875" style="203" customWidth="1"/>
    <col min="7" max="7" width="25.7109375" style="203" customWidth="1"/>
    <col min="8" max="8" width="91.28515625" style="204" customWidth="1"/>
    <col min="9" max="9" width="21.140625" style="199" customWidth="1"/>
    <col min="10" max="16384" width="114.42578125" style="199"/>
  </cols>
  <sheetData>
    <row r="1" spans="1:8" ht="30" customHeight="1" x14ac:dyDescent="0.35">
      <c r="A1" s="258"/>
      <c r="B1" s="262" t="s">
        <v>470</v>
      </c>
      <c r="C1" s="259"/>
      <c r="D1" s="260"/>
      <c r="E1" s="260"/>
      <c r="F1" s="260"/>
      <c r="G1" s="260"/>
      <c r="H1" s="261"/>
    </row>
    <row r="4" spans="1:8" ht="30" customHeight="1" x14ac:dyDescent="0.35">
      <c r="A4" s="196"/>
      <c r="B4" s="196" t="s">
        <v>410</v>
      </c>
      <c r="C4" s="197"/>
      <c r="D4" s="198"/>
      <c r="E4" s="198"/>
      <c r="F4" s="198"/>
      <c r="G4" s="198"/>
      <c r="H4" s="198"/>
    </row>
    <row r="6" spans="1:8" ht="30" customHeight="1" x14ac:dyDescent="0.35">
      <c r="B6" s="201" t="s">
        <v>392</v>
      </c>
    </row>
    <row r="8" spans="1:8" ht="30" customHeight="1" thickBot="1" x14ac:dyDescent="0.4"/>
    <row r="9" spans="1:8" ht="30" customHeight="1" thickBot="1" x14ac:dyDescent="0.4">
      <c r="A9" s="205"/>
      <c r="B9" s="205" t="s">
        <v>311</v>
      </c>
      <c r="C9" s="205"/>
      <c r="D9" s="205">
        <v>2010</v>
      </c>
      <c r="E9" s="205">
        <v>2011</v>
      </c>
      <c r="F9" s="205">
        <v>2012</v>
      </c>
      <c r="G9" s="205">
        <v>2013</v>
      </c>
      <c r="H9" s="205"/>
    </row>
    <row r="10" spans="1:8" ht="30" customHeight="1" thickTop="1" thickBot="1" x14ac:dyDescent="0.4">
      <c r="B10" s="206" t="s">
        <v>429</v>
      </c>
      <c r="C10" s="45"/>
      <c r="D10" s="256">
        <v>7.0000000000000007E-2</v>
      </c>
      <c r="E10" s="256">
        <v>7.0000000000000007E-2</v>
      </c>
      <c r="F10" s="256">
        <v>7.0000000000000007E-2</v>
      </c>
      <c r="G10" s="256">
        <v>7.0000000000000007E-2</v>
      </c>
      <c r="H10" s="207"/>
    </row>
    <row r="12" spans="1:8" ht="30" customHeight="1" thickBot="1" x14ac:dyDescent="0.4"/>
    <row r="13" spans="1:8" ht="30" customHeight="1" thickBot="1" x14ac:dyDescent="0.4">
      <c r="A13" s="209"/>
      <c r="B13" s="209" t="s">
        <v>448</v>
      </c>
      <c r="C13" s="210" t="s">
        <v>76</v>
      </c>
      <c r="D13" s="209">
        <v>2010</v>
      </c>
      <c r="E13" s="209">
        <v>2011</v>
      </c>
      <c r="F13" s="209">
        <v>2012</v>
      </c>
      <c r="G13" s="209">
        <v>2013</v>
      </c>
      <c r="H13" s="209"/>
    </row>
    <row r="14" spans="1:8" ht="30" customHeight="1" thickTop="1" thickBot="1" x14ac:dyDescent="0.4">
      <c r="A14" s="362"/>
      <c r="B14" s="329" t="s">
        <v>713</v>
      </c>
      <c r="C14" s="267"/>
      <c r="D14" s="267"/>
      <c r="E14" s="267"/>
      <c r="F14" s="267"/>
      <c r="G14" s="267"/>
      <c r="H14" s="211"/>
    </row>
    <row r="15" spans="1:8" ht="30" customHeight="1" thickTop="1" thickBot="1" x14ac:dyDescent="0.4">
      <c r="A15" s="362">
        <v>40100</v>
      </c>
      <c r="B15" s="329" t="s">
        <v>285</v>
      </c>
      <c r="C15" s="267"/>
      <c r="D15" s="267">
        <f>D16+D17+D18</f>
        <v>6084420</v>
      </c>
      <c r="E15" s="267">
        <f t="shared" ref="E15:G15" si="0">E16+E17+E18</f>
        <v>7447646</v>
      </c>
      <c r="F15" s="267">
        <f t="shared" si="0"/>
        <v>6521045</v>
      </c>
      <c r="G15" s="267">
        <f t="shared" si="0"/>
        <v>6772750</v>
      </c>
      <c r="H15" s="211" t="s">
        <v>356</v>
      </c>
    </row>
    <row r="16" spans="1:8" ht="30" customHeight="1" thickTop="1" thickBot="1" x14ac:dyDescent="0.4">
      <c r="A16" s="362">
        <v>40110</v>
      </c>
      <c r="B16" s="329" t="s">
        <v>286</v>
      </c>
      <c r="C16" s="267"/>
      <c r="D16" s="267">
        <v>622115</v>
      </c>
      <c r="E16" s="267">
        <v>722078</v>
      </c>
      <c r="F16" s="267">
        <v>632851</v>
      </c>
      <c r="G16" s="267">
        <v>887581</v>
      </c>
      <c r="H16" s="211"/>
    </row>
    <row r="17" spans="1:8" ht="30" customHeight="1" thickTop="1" thickBot="1" x14ac:dyDescent="0.4">
      <c r="A17" s="362">
        <v>40120</v>
      </c>
      <c r="B17" s="329" t="s">
        <v>287</v>
      </c>
      <c r="C17" s="267"/>
      <c r="D17" s="267">
        <v>5462305</v>
      </c>
      <c r="E17" s="267">
        <v>6725568</v>
      </c>
      <c r="F17" s="267">
        <v>5888194</v>
      </c>
      <c r="G17" s="267">
        <v>5885169</v>
      </c>
      <c r="H17" s="211"/>
    </row>
    <row r="18" spans="1:8" ht="30" customHeight="1" thickTop="1" thickBot="1" x14ac:dyDescent="0.4">
      <c r="A18" s="362" t="s">
        <v>722</v>
      </c>
      <c r="B18" s="329" t="s">
        <v>723</v>
      </c>
      <c r="C18" s="267"/>
      <c r="D18" s="267">
        <v>0</v>
      </c>
      <c r="E18" s="267">
        <v>0</v>
      </c>
      <c r="F18" s="267">
        <v>0</v>
      </c>
      <c r="G18" s="267">
        <v>0</v>
      </c>
      <c r="H18" s="342" t="s">
        <v>48</v>
      </c>
    </row>
    <row r="19" spans="1:8" ht="24.75" thickTop="1" thickBot="1" x14ac:dyDescent="0.4">
      <c r="A19" s="362">
        <v>40200</v>
      </c>
      <c r="B19" s="329" t="s">
        <v>288</v>
      </c>
      <c r="C19" s="267"/>
      <c r="D19" s="267">
        <v>0</v>
      </c>
      <c r="E19" s="267">
        <v>0</v>
      </c>
      <c r="F19" s="267">
        <v>0</v>
      </c>
      <c r="G19" s="267">
        <v>0</v>
      </c>
      <c r="H19" s="211"/>
    </row>
    <row r="20" spans="1:8" ht="30" customHeight="1" thickTop="1" thickBot="1" x14ac:dyDescent="0.4">
      <c r="A20" s="362">
        <v>40300</v>
      </c>
      <c r="B20" s="329" t="s">
        <v>289</v>
      </c>
      <c r="C20" s="267"/>
      <c r="D20" s="267">
        <v>0</v>
      </c>
      <c r="E20" s="267">
        <v>0</v>
      </c>
      <c r="F20" s="267">
        <v>0</v>
      </c>
      <c r="G20" s="267">
        <v>5000</v>
      </c>
      <c r="H20" s="211"/>
    </row>
    <row r="21" spans="1:8" ht="30" customHeight="1" thickTop="1" thickBot="1" x14ac:dyDescent="0.4">
      <c r="A21" s="362">
        <v>40400</v>
      </c>
      <c r="B21" s="329" t="s">
        <v>290</v>
      </c>
      <c r="C21" s="267"/>
      <c r="D21" s="267">
        <f>D22+D23+D24+D25</f>
        <v>-1201420</v>
      </c>
      <c r="E21" s="267">
        <f>E22+E23+E24+E25</f>
        <v>-1446590</v>
      </c>
      <c r="F21" s="267">
        <f>F22+F23+F24+F25</f>
        <v>-1285121</v>
      </c>
      <c r="G21" s="267">
        <f>G22+G23+G24+G25</f>
        <v>-1485373</v>
      </c>
      <c r="H21" s="211" t="s">
        <v>356</v>
      </c>
    </row>
    <row r="22" spans="1:8" ht="30" customHeight="1" thickTop="1" thickBot="1" x14ac:dyDescent="0.4">
      <c r="A22" s="362">
        <v>40410</v>
      </c>
      <c r="B22" s="329" t="s">
        <v>291</v>
      </c>
      <c r="C22" s="267"/>
      <c r="D22" s="267">
        <v>-941220</v>
      </c>
      <c r="E22" s="267">
        <v>-1141697</v>
      </c>
      <c r="F22" s="267">
        <v>-993330</v>
      </c>
      <c r="G22" s="267">
        <v>-1130663</v>
      </c>
      <c r="H22" s="211"/>
    </row>
    <row r="23" spans="1:8" ht="30" customHeight="1" thickTop="1" thickBot="1" x14ac:dyDescent="0.4">
      <c r="A23" s="362">
        <v>40420</v>
      </c>
      <c r="B23" s="329" t="s">
        <v>292</v>
      </c>
      <c r="C23" s="267"/>
      <c r="D23" s="267">
        <v>-178007</v>
      </c>
      <c r="E23" s="267">
        <v>-199492</v>
      </c>
      <c r="F23" s="267">
        <v>-163002</v>
      </c>
      <c r="G23" s="267">
        <v>-226190</v>
      </c>
      <c r="H23" s="211"/>
    </row>
    <row r="24" spans="1:8" ht="30" customHeight="1" thickTop="1" thickBot="1" x14ac:dyDescent="0.4">
      <c r="A24" s="362">
        <v>40430</v>
      </c>
      <c r="B24" s="329" t="s">
        <v>293</v>
      </c>
      <c r="C24" s="267"/>
      <c r="D24" s="267">
        <v>-82193</v>
      </c>
      <c r="E24" s="267">
        <v>-105401</v>
      </c>
      <c r="F24" s="267">
        <v>-128789</v>
      </c>
      <c r="G24" s="267">
        <v>-128320</v>
      </c>
      <c r="H24" s="211"/>
    </row>
    <row r="25" spans="1:8" ht="30" customHeight="1" thickTop="1" thickBot="1" x14ac:dyDescent="0.4">
      <c r="A25" s="362">
        <v>40440</v>
      </c>
      <c r="B25" s="329" t="s">
        <v>363</v>
      </c>
      <c r="C25" s="267"/>
      <c r="D25" s="267">
        <v>0</v>
      </c>
      <c r="E25" s="267">
        <v>0</v>
      </c>
      <c r="F25" s="267">
        <v>0</v>
      </c>
      <c r="G25" s="267">
        <v>-200</v>
      </c>
      <c r="H25" s="211"/>
    </row>
    <row r="26" spans="1:8" ht="30" customHeight="1" thickTop="1" thickBot="1" x14ac:dyDescent="0.4">
      <c r="A26" s="362">
        <v>40500</v>
      </c>
      <c r="B26" s="329" t="s">
        <v>294</v>
      </c>
      <c r="C26" s="267"/>
      <c r="D26" s="267">
        <f>D27+D31</f>
        <v>112093</v>
      </c>
      <c r="E26" s="267">
        <f>E27+E31</f>
        <v>100960</v>
      </c>
      <c r="F26" s="267">
        <f>F27+F31</f>
        <v>129680</v>
      </c>
      <c r="G26" s="267">
        <f>G27+G31</f>
        <v>108361</v>
      </c>
      <c r="H26" s="211" t="s">
        <v>356</v>
      </c>
    </row>
    <row r="27" spans="1:8" ht="30" customHeight="1" thickBot="1" x14ac:dyDescent="0.4">
      <c r="A27" s="258">
        <v>40510</v>
      </c>
      <c r="B27" s="270" t="s">
        <v>364</v>
      </c>
      <c r="C27" s="271"/>
      <c r="D27" s="271">
        <f>SUM(D28:D30)</f>
        <v>112093</v>
      </c>
      <c r="E27" s="271">
        <f>SUM(E28:E30)</f>
        <v>100960</v>
      </c>
      <c r="F27" s="271">
        <f>SUM(F28:F30)</f>
        <v>129680</v>
      </c>
      <c r="G27" s="271">
        <f>SUM(G28:G30)</f>
        <v>108361</v>
      </c>
      <c r="H27" s="437" t="s">
        <v>726</v>
      </c>
    </row>
    <row r="28" spans="1:8" ht="30" customHeight="1" thickBot="1" x14ac:dyDescent="0.4">
      <c r="A28" s="258" t="s">
        <v>90</v>
      </c>
      <c r="B28" s="270" t="s">
        <v>500</v>
      </c>
      <c r="C28" s="271"/>
      <c r="D28" s="296">
        <v>51093</v>
      </c>
      <c r="E28" s="296">
        <v>51205</v>
      </c>
      <c r="F28" s="296">
        <v>51371</v>
      </c>
      <c r="G28" s="296">
        <v>52792</v>
      </c>
      <c r="H28" s="341" t="s">
        <v>729</v>
      </c>
    </row>
    <row r="29" spans="1:8" ht="30" customHeight="1" thickBot="1" x14ac:dyDescent="0.4">
      <c r="A29" s="258" t="s">
        <v>91</v>
      </c>
      <c r="B29" s="270" t="s">
        <v>725</v>
      </c>
      <c r="C29" s="271"/>
      <c r="D29" s="296">
        <v>0</v>
      </c>
      <c r="E29" s="296">
        <v>0</v>
      </c>
      <c r="F29" s="296">
        <v>0</v>
      </c>
      <c r="G29" s="296">
        <v>0</v>
      </c>
      <c r="H29" s="341" t="s">
        <v>736</v>
      </c>
    </row>
    <row r="30" spans="1:8" ht="30" customHeight="1" thickBot="1" x14ac:dyDescent="0.4">
      <c r="A30" s="258" t="s">
        <v>92</v>
      </c>
      <c r="B30" s="270" t="s">
        <v>501</v>
      </c>
      <c r="C30" s="271"/>
      <c r="D30" s="296">
        <v>61000</v>
      </c>
      <c r="E30" s="296">
        <v>49755</v>
      </c>
      <c r="F30" s="296">
        <v>78309</v>
      </c>
      <c r="G30" s="296">
        <v>55569</v>
      </c>
      <c r="H30" s="341" t="s">
        <v>735</v>
      </c>
    </row>
    <row r="31" spans="1:8" ht="30" customHeight="1" thickTop="1" thickBot="1" x14ac:dyDescent="0.4">
      <c r="A31" s="362">
        <v>40520</v>
      </c>
      <c r="B31" s="329" t="s">
        <v>295</v>
      </c>
      <c r="C31" s="267"/>
      <c r="D31" s="267">
        <v>0</v>
      </c>
      <c r="E31" s="267">
        <v>0</v>
      </c>
      <c r="F31" s="267">
        <v>0</v>
      </c>
      <c r="G31" s="267">
        <v>0</v>
      </c>
      <c r="H31" s="211"/>
    </row>
    <row r="32" spans="1:8" ht="30" customHeight="1" thickTop="1" thickBot="1" x14ac:dyDescent="0.4">
      <c r="A32" s="362">
        <v>40600</v>
      </c>
      <c r="B32" s="329" t="s">
        <v>296</v>
      </c>
      <c r="C32" s="267"/>
      <c r="D32" s="267">
        <f>D33+D34+D35</f>
        <v>-2559741</v>
      </c>
      <c r="E32" s="267">
        <f>E33+E34+E35</f>
        <v>-2837284</v>
      </c>
      <c r="F32" s="267">
        <f>F33+F34+F35</f>
        <v>-2735086</v>
      </c>
      <c r="G32" s="267">
        <f>G33+G34+G35</f>
        <v>-3376466</v>
      </c>
      <c r="H32" s="211" t="s">
        <v>356</v>
      </c>
    </row>
    <row r="33" spans="1:8" ht="30" customHeight="1" thickTop="1" thickBot="1" x14ac:dyDescent="0.4">
      <c r="A33" s="362">
        <v>40610</v>
      </c>
      <c r="B33" s="329" t="s">
        <v>365</v>
      </c>
      <c r="C33" s="267"/>
      <c r="D33" s="267">
        <v>-1957144</v>
      </c>
      <c r="E33" s="267">
        <v>-2163836</v>
      </c>
      <c r="F33" s="267">
        <v>-2101700</v>
      </c>
      <c r="G33" s="267">
        <v>-2688153</v>
      </c>
      <c r="H33" s="211"/>
    </row>
    <row r="34" spans="1:8" ht="30" customHeight="1" thickTop="1" thickBot="1" x14ac:dyDescent="0.4">
      <c r="A34" s="362">
        <v>40620</v>
      </c>
      <c r="B34" s="329" t="s">
        <v>297</v>
      </c>
      <c r="C34" s="267"/>
      <c r="D34" s="267">
        <v>-602597</v>
      </c>
      <c r="E34" s="267">
        <v>-673448</v>
      </c>
      <c r="F34" s="267">
        <v>-633386</v>
      </c>
      <c r="G34" s="267">
        <v>-688313</v>
      </c>
      <c r="H34" s="211"/>
    </row>
    <row r="35" spans="1:8" ht="30" customHeight="1" thickTop="1" thickBot="1" x14ac:dyDescent="0.4">
      <c r="A35" s="362">
        <v>40630</v>
      </c>
      <c r="B35" s="329" t="s">
        <v>298</v>
      </c>
      <c r="C35" s="267"/>
      <c r="D35" s="267">
        <v>0</v>
      </c>
      <c r="E35" s="267">
        <v>0</v>
      </c>
      <c r="F35" s="267">
        <v>0</v>
      </c>
      <c r="G35" s="267">
        <v>0</v>
      </c>
      <c r="H35" s="211"/>
    </row>
    <row r="36" spans="1:8" ht="30" customHeight="1" thickTop="1" thickBot="1" x14ac:dyDescent="0.4">
      <c r="A36" s="362">
        <v>40700</v>
      </c>
      <c r="B36" s="329" t="s">
        <v>299</v>
      </c>
      <c r="C36" s="267"/>
      <c r="D36" s="267">
        <f>+D37+D43+D44+D45+D46</f>
        <v>-1515264</v>
      </c>
      <c r="E36" s="267">
        <f t="shared" ref="E36:G36" si="1">+E37+E43+E44+E45+E46</f>
        <v>-1551252</v>
      </c>
      <c r="F36" s="267">
        <f t="shared" si="1"/>
        <v>-1597463</v>
      </c>
      <c r="G36" s="267">
        <f t="shared" si="1"/>
        <v>-1678240</v>
      </c>
      <c r="H36" s="211" t="s">
        <v>356</v>
      </c>
    </row>
    <row r="37" spans="1:8" ht="30" customHeight="1" thickBot="1" x14ac:dyDescent="0.4">
      <c r="A37" s="258">
        <v>40710</v>
      </c>
      <c r="B37" s="270" t="s">
        <v>300</v>
      </c>
      <c r="C37" s="271"/>
      <c r="D37" s="271">
        <f>SUM(D38:D42)</f>
        <v>-1330225</v>
      </c>
      <c r="E37" s="271">
        <f>SUM(E38:E42)</f>
        <v>-1359519</v>
      </c>
      <c r="F37" s="271">
        <f>SUM(F38:F42)</f>
        <v>-1392645</v>
      </c>
      <c r="G37" s="271">
        <f>SUM(G38:G42)</f>
        <v>-1468959</v>
      </c>
      <c r="H37" s="437" t="s">
        <v>737</v>
      </c>
    </row>
    <row r="38" spans="1:8" ht="30" customHeight="1" thickBot="1" x14ac:dyDescent="0.4">
      <c r="A38" s="258" t="s">
        <v>94</v>
      </c>
      <c r="B38" s="270" t="s">
        <v>508</v>
      </c>
      <c r="C38" s="271"/>
      <c r="D38" s="296">
        <v>-3744</v>
      </c>
      <c r="E38" s="296">
        <v>-11735</v>
      </c>
      <c r="F38" s="296">
        <v>-22473</v>
      </c>
      <c r="G38" s="296">
        <v>-64982</v>
      </c>
      <c r="H38" s="341" t="s">
        <v>732</v>
      </c>
    </row>
    <row r="39" spans="1:8" ht="30" customHeight="1" thickBot="1" x14ac:dyDescent="0.4">
      <c r="A39" s="258" t="s">
        <v>95</v>
      </c>
      <c r="B39" s="270" t="s">
        <v>357</v>
      </c>
      <c r="C39" s="271"/>
      <c r="D39" s="296">
        <v>-24810</v>
      </c>
      <c r="E39" s="296">
        <v>-24160</v>
      </c>
      <c r="F39" s="296">
        <v>-24538</v>
      </c>
      <c r="G39" s="296">
        <v>-24781</v>
      </c>
      <c r="H39" s="341" t="s">
        <v>733</v>
      </c>
    </row>
    <row r="40" spans="1:8" ht="30" customHeight="1" thickBot="1" x14ac:dyDescent="0.4">
      <c r="A40" s="258" t="s">
        <v>96</v>
      </c>
      <c r="B40" s="270" t="s">
        <v>377</v>
      </c>
      <c r="C40" s="271"/>
      <c r="D40" s="296">
        <v>0</v>
      </c>
      <c r="E40" s="296">
        <v>0</v>
      </c>
      <c r="F40" s="296">
        <v>0</v>
      </c>
      <c r="G40" s="296">
        <v>0</v>
      </c>
      <c r="H40" s="341" t="s">
        <v>731</v>
      </c>
    </row>
    <row r="41" spans="1:8" ht="30" customHeight="1" thickBot="1" x14ac:dyDescent="0.4">
      <c r="A41" s="258" t="s">
        <v>97</v>
      </c>
      <c r="B41" s="270" t="s">
        <v>378</v>
      </c>
      <c r="C41" s="271"/>
      <c r="D41" s="296">
        <v>-9536</v>
      </c>
      <c r="E41" s="296">
        <v>-10038</v>
      </c>
      <c r="F41" s="296">
        <v>-9028</v>
      </c>
      <c r="G41" s="296">
        <v>-11082</v>
      </c>
      <c r="H41" s="341" t="s">
        <v>731</v>
      </c>
    </row>
    <row r="42" spans="1:8" ht="30" customHeight="1" thickBot="1" x14ac:dyDescent="0.4">
      <c r="A42" s="258" t="s">
        <v>108</v>
      </c>
      <c r="B42" s="270" t="s">
        <v>556</v>
      </c>
      <c r="C42" s="271"/>
      <c r="D42" s="296">
        <v>-1292135</v>
      </c>
      <c r="E42" s="296">
        <v>-1313586</v>
      </c>
      <c r="F42" s="296">
        <v>-1336606</v>
      </c>
      <c r="G42" s="296">
        <v>-1368114</v>
      </c>
      <c r="H42" s="341" t="s">
        <v>734</v>
      </c>
    </row>
    <row r="43" spans="1:8" ht="30" customHeight="1" thickTop="1" thickBot="1" x14ac:dyDescent="0.4">
      <c r="A43" s="362">
        <v>40720</v>
      </c>
      <c r="B43" s="329" t="s">
        <v>301</v>
      </c>
      <c r="C43" s="267"/>
      <c r="D43" s="267">
        <v>-185039</v>
      </c>
      <c r="E43" s="267">
        <v>-191733</v>
      </c>
      <c r="F43" s="267">
        <v>-204818</v>
      </c>
      <c r="G43" s="267">
        <v>-204818</v>
      </c>
      <c r="H43" s="211"/>
    </row>
    <row r="44" spans="1:8" ht="30" customHeight="1" thickTop="1" thickBot="1" x14ac:dyDescent="0.4">
      <c r="A44" s="362">
        <v>40730</v>
      </c>
      <c r="B44" s="329" t="s">
        <v>358</v>
      </c>
      <c r="C44" s="267"/>
      <c r="D44" s="267">
        <v>0</v>
      </c>
      <c r="E44" s="267">
        <v>0</v>
      </c>
      <c r="F44" s="267">
        <v>0</v>
      </c>
      <c r="G44" s="267">
        <v>-4463</v>
      </c>
      <c r="H44" s="211"/>
    </row>
    <row r="45" spans="1:8" ht="30" customHeight="1" thickTop="1" thickBot="1" x14ac:dyDescent="0.4">
      <c r="A45" s="362">
        <v>40740</v>
      </c>
      <c r="B45" s="329" t="s">
        <v>302</v>
      </c>
      <c r="C45" s="267"/>
      <c r="D45" s="267">
        <v>0</v>
      </c>
      <c r="E45" s="267">
        <v>0</v>
      </c>
      <c r="F45" s="267">
        <v>0</v>
      </c>
      <c r="G45" s="267">
        <v>0</v>
      </c>
      <c r="H45" s="211"/>
    </row>
    <row r="46" spans="1:8" ht="30" customHeight="1" thickTop="1" thickBot="1" x14ac:dyDescent="0.4">
      <c r="A46" s="362" t="s">
        <v>586</v>
      </c>
      <c r="B46" s="329" t="s">
        <v>706</v>
      </c>
      <c r="C46" s="267"/>
      <c r="D46" s="267">
        <v>0</v>
      </c>
      <c r="E46" s="267">
        <v>0</v>
      </c>
      <c r="F46" s="267">
        <v>0</v>
      </c>
      <c r="G46" s="267">
        <v>0</v>
      </c>
      <c r="H46" s="211"/>
    </row>
    <row r="47" spans="1:8" ht="30" customHeight="1" thickTop="1" thickBot="1" x14ac:dyDescent="0.4">
      <c r="A47" s="362">
        <v>40800</v>
      </c>
      <c r="B47" s="329" t="s">
        <v>359</v>
      </c>
      <c r="C47" s="267"/>
      <c r="D47" s="267">
        <v>-521816</v>
      </c>
      <c r="E47" s="267">
        <v>-420408</v>
      </c>
      <c r="F47" s="267">
        <v>-438170</v>
      </c>
      <c r="G47" s="267">
        <v>-444430</v>
      </c>
      <c r="H47" s="211"/>
    </row>
    <row r="48" spans="1:8" ht="30" customHeight="1" thickTop="1" thickBot="1" x14ac:dyDescent="0.4">
      <c r="A48" s="362">
        <v>40900</v>
      </c>
      <c r="B48" s="329" t="s">
        <v>360</v>
      </c>
      <c r="C48" s="267"/>
      <c r="D48" s="267">
        <v>133561</v>
      </c>
      <c r="E48" s="267">
        <v>104899</v>
      </c>
      <c r="F48" s="267">
        <v>104117</v>
      </c>
      <c r="G48" s="267">
        <v>104709</v>
      </c>
      <c r="H48" s="211"/>
    </row>
    <row r="49" spans="1:8" ht="30" customHeight="1" thickBot="1" x14ac:dyDescent="0.4">
      <c r="A49" s="258" t="s">
        <v>109</v>
      </c>
      <c r="B49" s="270" t="s">
        <v>303</v>
      </c>
      <c r="C49" s="271"/>
      <c r="D49" s="271">
        <f>SUM(D50:D52)</f>
        <v>0</v>
      </c>
      <c r="E49" s="271">
        <f>SUM(E50:E52)</f>
        <v>0</v>
      </c>
      <c r="F49" s="271">
        <f>SUM(F50:F52)</f>
        <v>0</v>
      </c>
      <c r="G49" s="271">
        <f>SUM(G50:G52)</f>
        <v>0</v>
      </c>
      <c r="H49" s="438" t="s">
        <v>425</v>
      </c>
    </row>
    <row r="50" spans="1:8" ht="30" customHeight="1" thickBot="1" x14ac:dyDescent="0.4">
      <c r="A50" s="258" t="s">
        <v>461</v>
      </c>
      <c r="B50" s="270" t="s">
        <v>558</v>
      </c>
      <c r="C50" s="271"/>
      <c r="D50" s="296">
        <v>0</v>
      </c>
      <c r="E50" s="296">
        <v>0</v>
      </c>
      <c r="F50" s="296">
        <v>0</v>
      </c>
      <c r="G50" s="296">
        <v>0</v>
      </c>
      <c r="H50" s="342" t="s">
        <v>730</v>
      </c>
    </row>
    <row r="51" spans="1:8" ht="30" customHeight="1" thickBot="1" x14ac:dyDescent="0.4">
      <c r="A51" s="258" t="s">
        <v>462</v>
      </c>
      <c r="B51" s="270" t="s">
        <v>459</v>
      </c>
      <c r="C51" s="271"/>
      <c r="D51" s="296">
        <v>0</v>
      </c>
      <c r="E51" s="296">
        <v>0</v>
      </c>
      <c r="F51" s="296">
        <v>0</v>
      </c>
      <c r="G51" s="296">
        <v>0</v>
      </c>
      <c r="H51" s="342" t="s">
        <v>730</v>
      </c>
    </row>
    <row r="52" spans="1:8" ht="30" customHeight="1" thickBot="1" x14ac:dyDescent="0.4">
      <c r="A52" s="258" t="s">
        <v>463</v>
      </c>
      <c r="B52" s="270" t="s">
        <v>460</v>
      </c>
      <c r="C52" s="271"/>
      <c r="D52" s="296">
        <v>0</v>
      </c>
      <c r="E52" s="296">
        <v>0</v>
      </c>
      <c r="F52" s="296">
        <v>0</v>
      </c>
      <c r="G52" s="296">
        <v>0</v>
      </c>
      <c r="H52" s="340" t="s">
        <v>728</v>
      </c>
    </row>
    <row r="53" spans="1:8" ht="30" customHeight="1" thickTop="1" thickBot="1" x14ac:dyDescent="0.4">
      <c r="A53" s="362">
        <v>41100</v>
      </c>
      <c r="B53" s="329" t="s">
        <v>361</v>
      </c>
      <c r="C53" s="267"/>
      <c r="D53" s="267">
        <f>+D54+D55</f>
        <v>0</v>
      </c>
      <c r="E53" s="267">
        <f>+E54+E55</f>
        <v>0</v>
      </c>
      <c r="F53" s="267">
        <f>+F54+F55</f>
        <v>0</v>
      </c>
      <c r="G53" s="267">
        <f>+G54+G55</f>
        <v>-6000</v>
      </c>
      <c r="H53" s="211" t="s">
        <v>356</v>
      </c>
    </row>
    <row r="54" spans="1:8" ht="30" customHeight="1" thickTop="1" thickBot="1" x14ac:dyDescent="0.4">
      <c r="A54" s="362">
        <v>41110</v>
      </c>
      <c r="B54" s="329" t="s">
        <v>362</v>
      </c>
      <c r="C54" s="267"/>
      <c r="D54" s="267">
        <v>0</v>
      </c>
      <c r="E54" s="267">
        <v>0</v>
      </c>
      <c r="F54" s="267">
        <v>0</v>
      </c>
      <c r="G54" s="267">
        <v>-16000</v>
      </c>
      <c r="H54" s="211" t="s">
        <v>356</v>
      </c>
    </row>
    <row r="55" spans="1:8" ht="30" customHeight="1" thickTop="1" thickBot="1" x14ac:dyDescent="0.4">
      <c r="A55" s="362">
        <v>41120</v>
      </c>
      <c r="B55" s="329" t="s">
        <v>366</v>
      </c>
      <c r="C55" s="267"/>
      <c r="D55" s="267">
        <v>0</v>
      </c>
      <c r="E55" s="267">
        <v>0</v>
      </c>
      <c r="F55" s="267">
        <v>0</v>
      </c>
      <c r="G55" s="267">
        <v>10000</v>
      </c>
      <c r="H55" s="211" t="s">
        <v>356</v>
      </c>
    </row>
    <row r="56" spans="1:8" ht="30" customHeight="1" thickTop="1" thickBot="1" x14ac:dyDescent="0.4">
      <c r="A56" s="362" t="s">
        <v>118</v>
      </c>
      <c r="B56" s="329" t="s">
        <v>304</v>
      </c>
      <c r="C56" s="267"/>
      <c r="D56" s="267">
        <v>0</v>
      </c>
      <c r="E56" s="267">
        <v>0</v>
      </c>
      <c r="F56" s="267">
        <v>0</v>
      </c>
      <c r="G56" s="267">
        <v>0</v>
      </c>
      <c r="H56" s="211"/>
    </row>
    <row r="57" spans="1:8" ht="30" customHeight="1" thickBot="1" x14ac:dyDescent="0.4">
      <c r="A57" s="258">
        <v>41300</v>
      </c>
      <c r="B57" s="270" t="s">
        <v>305</v>
      </c>
      <c r="C57" s="271"/>
      <c r="D57" s="271">
        <f>SUM(D58:D61)</f>
        <v>0</v>
      </c>
      <c r="E57" s="271">
        <f>SUM(E58:E61)</f>
        <v>-6740</v>
      </c>
      <c r="F57" s="271">
        <f>SUM(F58:F61)</f>
        <v>0</v>
      </c>
      <c r="G57" s="271">
        <f>SUM(G58:G61)</f>
        <v>-16078</v>
      </c>
      <c r="H57" s="437" t="s">
        <v>49</v>
      </c>
    </row>
    <row r="58" spans="1:8" ht="30" customHeight="1" thickBot="1" x14ac:dyDescent="0.4">
      <c r="A58" s="258" t="s">
        <v>98</v>
      </c>
      <c r="B58" s="270" t="s">
        <v>533</v>
      </c>
      <c r="C58" s="271"/>
      <c r="D58" s="296">
        <v>0</v>
      </c>
      <c r="E58" s="296">
        <v>0</v>
      </c>
      <c r="F58" s="296">
        <v>0</v>
      </c>
      <c r="G58" s="296">
        <v>-16000</v>
      </c>
      <c r="H58" s="341" t="s">
        <v>49</v>
      </c>
    </row>
    <row r="59" spans="1:8" ht="30" customHeight="1" thickBot="1" x14ac:dyDescent="0.4">
      <c r="A59" s="258" t="s">
        <v>99</v>
      </c>
      <c r="B59" s="270" t="s">
        <v>238</v>
      </c>
      <c r="C59" s="271"/>
      <c r="D59" s="296">
        <v>0</v>
      </c>
      <c r="E59" s="296">
        <v>0</v>
      </c>
      <c r="F59" s="296">
        <v>0</v>
      </c>
      <c r="G59" s="296">
        <v>0</v>
      </c>
      <c r="H59" s="341" t="s">
        <v>49</v>
      </c>
    </row>
    <row r="60" spans="1:8" ht="30" customHeight="1" thickBot="1" x14ac:dyDescent="0.4">
      <c r="A60" s="258" t="s">
        <v>100</v>
      </c>
      <c r="B60" s="270" t="s">
        <v>534</v>
      </c>
      <c r="C60" s="271"/>
      <c r="D60" s="296">
        <v>0</v>
      </c>
      <c r="E60" s="296">
        <v>-6740</v>
      </c>
      <c r="F60" s="296">
        <v>0</v>
      </c>
      <c r="G60" s="296">
        <v>-78</v>
      </c>
      <c r="H60" s="341" t="s">
        <v>49</v>
      </c>
    </row>
    <row r="61" spans="1:8" ht="30" customHeight="1" thickBot="1" x14ac:dyDescent="0.4">
      <c r="A61" s="258" t="s">
        <v>101</v>
      </c>
      <c r="B61" s="270" t="s">
        <v>557</v>
      </c>
      <c r="C61" s="271"/>
      <c r="D61" s="296">
        <v>0</v>
      </c>
      <c r="E61" s="296">
        <v>0</v>
      </c>
      <c r="F61" s="296">
        <v>0</v>
      </c>
      <c r="G61" s="296">
        <v>0</v>
      </c>
      <c r="H61" s="341" t="s">
        <v>727</v>
      </c>
    </row>
    <row r="62" spans="1:8" ht="30" customHeight="1" thickBot="1" x14ac:dyDescent="0.4">
      <c r="A62" s="328">
        <v>49100</v>
      </c>
      <c r="B62" s="268" t="s">
        <v>721</v>
      </c>
      <c r="C62" s="269"/>
      <c r="D62" s="269">
        <f>+D15+D19+D20+D21+D26+D32+D36+D47+D48+D49+D53+D56+D57</f>
        <v>531833</v>
      </c>
      <c r="E62" s="269">
        <f>+E15+E19+E20+E21+E26+E32+E36+E47+E48+E49+E53+E56+E57</f>
        <v>1391231</v>
      </c>
      <c r="F62" s="269">
        <f>+F15+F19+F20+F21+F26+F32+F36+F47+F48+F49+F53+F56+F57</f>
        <v>699002</v>
      </c>
      <c r="G62" s="269">
        <f>+G15+G19+G20+G21+G26+G32+G36+G47+G48+G49+G53+G56+G57</f>
        <v>-15767</v>
      </c>
      <c r="H62" s="211" t="s">
        <v>356</v>
      </c>
    </row>
    <row r="63" spans="1:8" ht="30" customHeight="1" thickTop="1" thickBot="1" x14ac:dyDescent="0.4">
      <c r="A63" s="362">
        <v>41400</v>
      </c>
      <c r="B63" s="329" t="s">
        <v>306</v>
      </c>
      <c r="C63" s="267"/>
      <c r="D63" s="267">
        <v>29344</v>
      </c>
      <c r="E63" s="267">
        <v>42027</v>
      </c>
      <c r="F63" s="267">
        <v>33824</v>
      </c>
      <c r="G63" s="267">
        <v>17232</v>
      </c>
      <c r="H63" s="211"/>
    </row>
    <row r="64" spans="1:8" ht="30" customHeight="1" thickTop="1" thickBot="1" x14ac:dyDescent="0.4">
      <c r="A64" s="362">
        <v>41500</v>
      </c>
      <c r="B64" s="329" t="s">
        <v>307</v>
      </c>
      <c r="C64" s="267"/>
      <c r="D64" s="267">
        <v>-233265</v>
      </c>
      <c r="E64" s="267">
        <v>-443189</v>
      </c>
      <c r="F64" s="267">
        <v>-483465</v>
      </c>
      <c r="G64" s="267">
        <v>-476438</v>
      </c>
      <c r="H64" s="211"/>
    </row>
    <row r="65" spans="1:8" ht="30" customHeight="1" thickTop="1" thickBot="1" x14ac:dyDescent="0.4">
      <c r="A65" s="362" t="s">
        <v>104</v>
      </c>
      <c r="B65" s="329" t="s">
        <v>308</v>
      </c>
      <c r="C65" s="267"/>
      <c r="D65" s="267">
        <v>0</v>
      </c>
      <c r="E65" s="267">
        <v>0</v>
      </c>
      <c r="F65" s="267">
        <v>0</v>
      </c>
      <c r="G65" s="267">
        <v>0</v>
      </c>
      <c r="H65" s="211"/>
    </row>
    <row r="66" spans="1:8" ht="30" customHeight="1" thickTop="1" thickBot="1" x14ac:dyDescent="0.4">
      <c r="A66" s="362" t="s">
        <v>105</v>
      </c>
      <c r="B66" s="329" t="s">
        <v>309</v>
      </c>
      <c r="C66" s="267"/>
      <c r="D66" s="267">
        <v>0</v>
      </c>
      <c r="E66" s="267">
        <v>0</v>
      </c>
      <c r="F66" s="267">
        <v>0</v>
      </c>
      <c r="G66" s="267">
        <v>0</v>
      </c>
      <c r="H66" s="211"/>
    </row>
    <row r="67" spans="1:8" ht="30" customHeight="1" thickTop="1" thickBot="1" x14ac:dyDescent="0.4">
      <c r="A67" s="362" t="s">
        <v>106</v>
      </c>
      <c r="B67" s="329" t="s">
        <v>367</v>
      </c>
      <c r="C67" s="267"/>
      <c r="D67" s="267">
        <f>+D68+D69</f>
        <v>0</v>
      </c>
      <c r="E67" s="267">
        <f>+E68+E69</f>
        <v>0</v>
      </c>
      <c r="F67" s="267">
        <f>+F68+F69</f>
        <v>0</v>
      </c>
      <c r="G67" s="267">
        <f>+G68+G69</f>
        <v>0</v>
      </c>
      <c r="H67" s="211"/>
    </row>
    <row r="68" spans="1:8" ht="30" customHeight="1" thickTop="1" thickBot="1" x14ac:dyDescent="0.4">
      <c r="A68" s="362" t="s">
        <v>128</v>
      </c>
      <c r="B68" s="329" t="s">
        <v>362</v>
      </c>
      <c r="C68" s="267"/>
      <c r="D68" s="267">
        <v>0</v>
      </c>
      <c r="E68" s="267">
        <v>0</v>
      </c>
      <c r="F68" s="267">
        <v>0</v>
      </c>
      <c r="G68" s="267">
        <v>0</v>
      </c>
      <c r="H68" s="211"/>
    </row>
    <row r="69" spans="1:8" ht="30" customHeight="1" thickTop="1" thickBot="1" x14ac:dyDescent="0.4">
      <c r="A69" s="362" t="s">
        <v>129</v>
      </c>
      <c r="B69" s="329" t="s">
        <v>366</v>
      </c>
      <c r="C69" s="267"/>
      <c r="D69" s="267">
        <v>0</v>
      </c>
      <c r="E69" s="267">
        <v>0</v>
      </c>
      <c r="F69" s="267">
        <v>0</v>
      </c>
      <c r="G69" s="267">
        <v>0</v>
      </c>
      <c r="H69" s="211"/>
    </row>
    <row r="70" spans="1:8" ht="30" customHeight="1" thickTop="1" thickBot="1" x14ac:dyDescent="0.4">
      <c r="A70" s="362" t="s">
        <v>582</v>
      </c>
      <c r="B70" s="329" t="s">
        <v>707</v>
      </c>
      <c r="C70" s="267"/>
      <c r="D70" s="267">
        <v>0</v>
      </c>
      <c r="E70" s="267">
        <v>0</v>
      </c>
      <c r="F70" s="267">
        <v>0</v>
      </c>
      <c r="G70" s="267">
        <v>0</v>
      </c>
      <c r="H70" s="211"/>
    </row>
    <row r="71" spans="1:8" ht="30" customHeight="1" thickTop="1" thickBot="1" x14ac:dyDescent="0.4">
      <c r="A71" s="362" t="s">
        <v>583</v>
      </c>
      <c r="B71" s="329" t="s">
        <v>708</v>
      </c>
      <c r="C71" s="267"/>
      <c r="D71" s="267">
        <v>0</v>
      </c>
      <c r="E71" s="267">
        <v>0</v>
      </c>
      <c r="F71" s="267">
        <v>0</v>
      </c>
      <c r="G71" s="267">
        <v>0</v>
      </c>
      <c r="H71" s="211"/>
    </row>
    <row r="72" spans="1:8" ht="30" customHeight="1" thickTop="1" thickBot="1" x14ac:dyDescent="0.4">
      <c r="A72" s="362" t="s">
        <v>584</v>
      </c>
      <c r="B72" s="329" t="s">
        <v>709</v>
      </c>
      <c r="C72" s="267"/>
      <c r="D72" s="267">
        <v>0</v>
      </c>
      <c r="E72" s="267">
        <v>0</v>
      </c>
      <c r="F72" s="267">
        <v>0</v>
      </c>
      <c r="G72" s="267">
        <v>0</v>
      </c>
      <c r="H72" s="211"/>
    </row>
    <row r="73" spans="1:8" ht="30" customHeight="1" thickTop="1" thickBot="1" x14ac:dyDescent="0.4">
      <c r="A73" s="362" t="s">
        <v>585</v>
      </c>
      <c r="B73" s="329" t="s">
        <v>710</v>
      </c>
      <c r="C73" s="267"/>
      <c r="D73" s="267">
        <v>0</v>
      </c>
      <c r="E73" s="267">
        <v>0</v>
      </c>
      <c r="F73" s="267">
        <v>0</v>
      </c>
      <c r="G73" s="267">
        <v>0</v>
      </c>
      <c r="H73" s="211"/>
    </row>
    <row r="74" spans="1:8" ht="30" customHeight="1" thickTop="1" thickBot="1" x14ac:dyDescent="0.4">
      <c r="A74" s="361">
        <v>49200</v>
      </c>
      <c r="B74" s="268" t="s">
        <v>720</v>
      </c>
      <c r="C74" s="269"/>
      <c r="D74" s="269">
        <f>+D63+D64+D65+D66+D67+D70</f>
        <v>-203921</v>
      </c>
      <c r="E74" s="269">
        <f>+E63+E64+E65+E66+E67+E70</f>
        <v>-401162</v>
      </c>
      <c r="F74" s="269">
        <f t="shared" ref="F74:G74" si="2">+F63+F64+F65+F66+F67+F70</f>
        <v>-449641</v>
      </c>
      <c r="G74" s="269">
        <f t="shared" si="2"/>
        <v>-459206</v>
      </c>
      <c r="H74" s="211" t="s">
        <v>356</v>
      </c>
    </row>
    <row r="75" spans="1:8" ht="30" customHeight="1" thickTop="1" thickBot="1" x14ac:dyDescent="0.4">
      <c r="A75" s="361">
        <v>49300</v>
      </c>
      <c r="B75" s="268" t="s">
        <v>719</v>
      </c>
      <c r="C75" s="269"/>
      <c r="D75" s="269">
        <f>D62+D74</f>
        <v>327912</v>
      </c>
      <c r="E75" s="269">
        <f>E62+E74</f>
        <v>990069</v>
      </c>
      <c r="F75" s="269">
        <f>F62+F74</f>
        <v>249361</v>
      </c>
      <c r="G75" s="269">
        <f>G62+G74</f>
        <v>-474973</v>
      </c>
      <c r="H75" s="211" t="s">
        <v>356</v>
      </c>
    </row>
    <row r="76" spans="1:8" ht="30" customHeight="1" thickTop="1" thickBot="1" x14ac:dyDescent="0.4">
      <c r="A76" s="361" t="s">
        <v>103</v>
      </c>
      <c r="B76" s="268" t="s">
        <v>310</v>
      </c>
      <c r="C76" s="267"/>
      <c r="D76" s="269">
        <v>0</v>
      </c>
      <c r="E76" s="269">
        <v>0</v>
      </c>
      <c r="F76" s="269">
        <v>0</v>
      </c>
      <c r="G76" s="269">
        <v>0</v>
      </c>
      <c r="H76" s="211"/>
    </row>
    <row r="77" spans="1:8" ht="30" customHeight="1" thickTop="1" thickBot="1" x14ac:dyDescent="0.4">
      <c r="A77" s="361" t="s">
        <v>102</v>
      </c>
      <c r="B77" s="268" t="s">
        <v>718</v>
      </c>
      <c r="C77" s="267"/>
      <c r="D77" s="269">
        <f>+D75+D76</f>
        <v>327912</v>
      </c>
      <c r="E77" s="269">
        <f t="shared" ref="E77:G77" si="3">+E75+E76</f>
        <v>990069</v>
      </c>
      <c r="F77" s="269">
        <f t="shared" si="3"/>
        <v>249361</v>
      </c>
      <c r="G77" s="269">
        <f t="shared" si="3"/>
        <v>-474973</v>
      </c>
      <c r="H77" s="211"/>
    </row>
    <row r="78" spans="1:8" ht="30" customHeight="1" thickTop="1" thickBot="1" x14ac:dyDescent="0.4">
      <c r="A78" s="361"/>
      <c r="B78" s="268" t="s">
        <v>714</v>
      </c>
      <c r="C78" s="267"/>
      <c r="D78" s="269"/>
      <c r="E78" s="269"/>
      <c r="F78" s="269"/>
      <c r="G78" s="269"/>
      <c r="H78" s="211"/>
    </row>
    <row r="79" spans="1:8" ht="30" customHeight="1" thickTop="1" thickBot="1" x14ac:dyDescent="0.4">
      <c r="A79" s="361" t="s">
        <v>715</v>
      </c>
      <c r="B79" s="268" t="s">
        <v>716</v>
      </c>
      <c r="C79" s="267"/>
      <c r="D79" s="269">
        <v>0</v>
      </c>
      <c r="E79" s="269">
        <v>0</v>
      </c>
      <c r="F79" s="269">
        <v>0</v>
      </c>
      <c r="G79" s="269">
        <v>0</v>
      </c>
      <c r="H79" s="211"/>
    </row>
    <row r="80" spans="1:8" ht="30" customHeight="1" thickTop="1" thickBot="1" x14ac:dyDescent="0.4">
      <c r="A80" s="361" t="s">
        <v>712</v>
      </c>
      <c r="B80" s="268" t="s">
        <v>717</v>
      </c>
      <c r="C80" s="269"/>
      <c r="D80" s="269">
        <f>+D77+D79</f>
        <v>327912</v>
      </c>
      <c r="E80" s="269">
        <f t="shared" ref="E80:G80" si="4">+E77+E79</f>
        <v>990069</v>
      </c>
      <c r="F80" s="269">
        <f t="shared" si="4"/>
        <v>249361</v>
      </c>
      <c r="G80" s="269">
        <f t="shared" si="4"/>
        <v>-474973</v>
      </c>
      <c r="H80" s="211" t="s">
        <v>356</v>
      </c>
    </row>
    <row r="81" spans="1:8" ht="30" customHeight="1" x14ac:dyDescent="0.35">
      <c r="D81" s="215"/>
      <c r="E81" s="215"/>
      <c r="F81" s="215"/>
      <c r="G81" s="215"/>
      <c r="H81" s="216"/>
    </row>
    <row r="82" spans="1:8" ht="30" customHeight="1" thickBot="1" x14ac:dyDescent="0.4"/>
    <row r="83" spans="1:8" ht="30" customHeight="1" x14ac:dyDescent="0.35">
      <c r="A83" s="275"/>
      <c r="B83" s="275" t="s">
        <v>449</v>
      </c>
      <c r="C83" s="276"/>
      <c r="D83" s="275">
        <v>2010</v>
      </c>
      <c r="E83" s="275">
        <v>2011</v>
      </c>
      <c r="F83" s="275">
        <v>2012</v>
      </c>
      <c r="G83" s="275">
        <v>2013</v>
      </c>
      <c r="H83" s="275"/>
    </row>
    <row r="84" spans="1:8" ht="30" customHeight="1" thickBot="1" x14ac:dyDescent="0.4">
      <c r="A84" s="277"/>
      <c r="B84" s="277"/>
      <c r="C84" s="278"/>
      <c r="D84" s="277"/>
      <c r="E84" s="277"/>
      <c r="F84" s="277"/>
      <c r="G84" s="277"/>
      <c r="H84" s="277"/>
    </row>
    <row r="85" spans="1:8" ht="30" customHeight="1" thickTop="1" thickBot="1" x14ac:dyDescent="0.4">
      <c r="A85" s="360"/>
      <c r="B85" s="323" t="s">
        <v>473</v>
      </c>
      <c r="C85" s="333"/>
      <c r="D85" s="333"/>
      <c r="E85" s="324"/>
      <c r="F85" s="324"/>
      <c r="G85" s="324"/>
      <c r="H85" s="277"/>
    </row>
    <row r="86" spans="1:8" ht="30" customHeight="1" thickTop="1" thickBot="1" x14ac:dyDescent="0.4">
      <c r="A86" s="360" t="s">
        <v>478</v>
      </c>
      <c r="B86" s="335" t="s">
        <v>472</v>
      </c>
      <c r="C86" s="336"/>
      <c r="D86" s="336"/>
      <c r="E86" s="324">
        <f t="shared" ref="E86:G89" si="5">+E22</f>
        <v>-1141697</v>
      </c>
      <c r="F86" s="324">
        <f t="shared" si="5"/>
        <v>-993330</v>
      </c>
      <c r="G86" s="324">
        <f t="shared" si="5"/>
        <v>-1130663</v>
      </c>
      <c r="H86" s="277"/>
    </row>
    <row r="87" spans="1:8" ht="30" customHeight="1" thickTop="1" thickBot="1" x14ac:dyDescent="0.4">
      <c r="A87" s="360" t="s">
        <v>482</v>
      </c>
      <c r="B87" s="336" t="s">
        <v>479</v>
      </c>
      <c r="C87" s="336"/>
      <c r="D87" s="336"/>
      <c r="E87" s="324">
        <f t="shared" si="5"/>
        <v>-199492</v>
      </c>
      <c r="F87" s="324">
        <f t="shared" si="5"/>
        <v>-163002</v>
      </c>
      <c r="G87" s="324">
        <f t="shared" si="5"/>
        <v>-226190</v>
      </c>
      <c r="H87" s="277"/>
    </row>
    <row r="88" spans="1:8" ht="30" customHeight="1" thickTop="1" thickBot="1" x14ac:dyDescent="0.4">
      <c r="A88" s="360" t="s">
        <v>481</v>
      </c>
      <c r="B88" s="336" t="s">
        <v>480</v>
      </c>
      <c r="C88" s="336"/>
      <c r="D88" s="336"/>
      <c r="E88" s="324">
        <f t="shared" si="5"/>
        <v>-105401</v>
      </c>
      <c r="F88" s="324">
        <f t="shared" si="5"/>
        <v>-128789</v>
      </c>
      <c r="G88" s="324">
        <f t="shared" si="5"/>
        <v>-128320</v>
      </c>
      <c r="H88" s="277"/>
    </row>
    <row r="89" spans="1:8" ht="30" customHeight="1" thickTop="1" thickBot="1" x14ac:dyDescent="0.4">
      <c r="A89" s="360" t="s">
        <v>487</v>
      </c>
      <c r="B89" s="336" t="s">
        <v>486</v>
      </c>
      <c r="C89" s="336"/>
      <c r="D89" s="336"/>
      <c r="E89" s="324">
        <f t="shared" si="5"/>
        <v>0</v>
      </c>
      <c r="F89" s="324">
        <f t="shared" si="5"/>
        <v>0</v>
      </c>
      <c r="G89" s="324">
        <f t="shared" si="5"/>
        <v>-200</v>
      </c>
      <c r="H89" s="277"/>
    </row>
    <row r="90" spans="1:8" ht="30" customHeight="1" thickTop="1" thickBot="1" x14ac:dyDescent="0.4">
      <c r="A90" s="360" t="s">
        <v>121</v>
      </c>
      <c r="B90" s="329" t="s">
        <v>475</v>
      </c>
      <c r="C90" s="333"/>
      <c r="D90" s="333"/>
      <c r="E90" s="324">
        <f>-(E116-D116)</f>
        <v>1414</v>
      </c>
      <c r="F90" s="324">
        <f t="shared" ref="F90:G90" si="6">-(F116-E116)</f>
        <v>7183</v>
      </c>
      <c r="G90" s="324">
        <f t="shared" si="6"/>
        <v>-5429</v>
      </c>
      <c r="H90" s="277"/>
    </row>
    <row r="91" spans="1:8" ht="30" customHeight="1" thickTop="1" thickBot="1" x14ac:dyDescent="0.4">
      <c r="A91" s="360" t="s">
        <v>131</v>
      </c>
      <c r="B91" s="329" t="s">
        <v>476</v>
      </c>
      <c r="C91" s="333"/>
      <c r="D91" s="333"/>
      <c r="E91" s="324">
        <f>-(E117-D117)</f>
        <v>8906</v>
      </c>
      <c r="F91" s="324">
        <f t="shared" ref="F91:G91" si="7">-(F117-E117)</f>
        <v>4818</v>
      </c>
      <c r="G91" s="324">
        <f t="shared" si="7"/>
        <v>-18450</v>
      </c>
      <c r="H91" s="277"/>
    </row>
    <row r="92" spans="1:8" ht="30" customHeight="1" thickTop="1" thickBot="1" x14ac:dyDescent="0.4">
      <c r="A92" s="360" t="s">
        <v>108</v>
      </c>
      <c r="B92" s="329" t="s">
        <v>483</v>
      </c>
      <c r="C92" s="333"/>
      <c r="D92" s="333"/>
      <c r="E92" s="324">
        <f>+E42</f>
        <v>-1313586</v>
      </c>
      <c r="F92" s="324">
        <f>+F42</f>
        <v>-1336606</v>
      </c>
      <c r="G92" s="324">
        <f>+G42</f>
        <v>-1368114</v>
      </c>
      <c r="H92" s="277"/>
    </row>
    <row r="93" spans="1:8" ht="30" customHeight="1" thickTop="1" thickBot="1" x14ac:dyDescent="0.4">
      <c r="A93" s="363" t="s">
        <v>616</v>
      </c>
      <c r="B93" s="334" t="s">
        <v>576</v>
      </c>
      <c r="C93" s="333"/>
      <c r="D93" s="333"/>
      <c r="E93" s="324">
        <f>SUM(E86:E92)</f>
        <v>-2749856</v>
      </c>
      <c r="F93" s="324">
        <f t="shared" ref="F93:G93" si="8">SUM(F86:F92)</f>
        <v>-2609726</v>
      </c>
      <c r="G93" s="324">
        <f t="shared" si="8"/>
        <v>-2877366</v>
      </c>
      <c r="H93" s="277"/>
    </row>
    <row r="94" spans="1:8" ht="30" customHeight="1" thickBot="1" x14ac:dyDescent="0.4">
      <c r="A94" s="277"/>
      <c r="B94" s="277"/>
      <c r="C94" s="278"/>
      <c r="D94" s="295"/>
      <c r="E94" s="295"/>
      <c r="F94" s="295"/>
      <c r="G94" s="295"/>
      <c r="H94" s="277"/>
    </row>
    <row r="95" spans="1:8" ht="30" customHeight="1" thickBot="1" x14ac:dyDescent="0.4">
      <c r="A95" s="264"/>
      <c r="B95" s="265" t="s">
        <v>515</v>
      </c>
      <c r="C95" s="279"/>
      <c r="D95" s="279"/>
      <c r="E95" s="279">
        <f>ROUND(E10*(E15+E30),0)</f>
        <v>524818</v>
      </c>
      <c r="F95" s="279">
        <f>ROUND(F10*(F15+F30),0)</f>
        <v>461955</v>
      </c>
      <c r="G95" s="279">
        <f>ROUND(G10*(G15+G30),0)</f>
        <v>477982</v>
      </c>
      <c r="H95" s="211" t="s">
        <v>356</v>
      </c>
    </row>
    <row r="96" spans="1:8" ht="30" customHeight="1" thickBot="1" x14ac:dyDescent="0.4">
      <c r="A96" s="264"/>
      <c r="B96" s="265" t="s">
        <v>502</v>
      </c>
      <c r="C96" s="266"/>
      <c r="D96" s="266"/>
      <c r="E96" s="266">
        <f>ROUND(E10*(E28+E29),0)</f>
        <v>3584</v>
      </c>
      <c r="F96" s="266">
        <f>ROUND(F10*(F28+F29),0)</f>
        <v>3596</v>
      </c>
      <c r="G96" s="266">
        <f>ROUND(G10*(G28+G29),0)</f>
        <v>3695</v>
      </c>
      <c r="H96" s="211" t="s">
        <v>356</v>
      </c>
    </row>
    <row r="97" spans="1:8" ht="24" thickBot="1" x14ac:dyDescent="0.4">
      <c r="A97" s="264"/>
      <c r="B97" s="265" t="s">
        <v>513</v>
      </c>
      <c r="C97" s="266"/>
      <c r="D97" s="266"/>
      <c r="E97" s="266">
        <f>ROUND(E10*E93,0)</f>
        <v>-192490</v>
      </c>
      <c r="F97" s="266">
        <f>ROUND(F10*F93,0)</f>
        <v>-182681</v>
      </c>
      <c r="G97" s="266">
        <f>ROUND(G10*G93,0)</f>
        <v>-201416</v>
      </c>
      <c r="H97" s="211" t="s">
        <v>356</v>
      </c>
    </row>
    <row r="98" spans="1:8" ht="24" thickBot="1" x14ac:dyDescent="0.4">
      <c r="A98" s="264"/>
      <c r="B98" s="265" t="s">
        <v>514</v>
      </c>
      <c r="C98" s="306"/>
      <c r="D98" s="266"/>
      <c r="E98" s="266">
        <f>ROUND(E10*E38,0)</f>
        <v>-821</v>
      </c>
      <c r="F98" s="266">
        <f>ROUND(F10*F38,0)</f>
        <v>-1573</v>
      </c>
      <c r="G98" s="266">
        <f>ROUND(G10*G38,0)</f>
        <v>-4549</v>
      </c>
      <c r="H98" s="211" t="s">
        <v>356</v>
      </c>
    </row>
    <row r="100" spans="1:8" ht="30" customHeight="1" thickBot="1" x14ac:dyDescent="0.4"/>
    <row r="101" spans="1:8" ht="30" customHeight="1" thickBot="1" x14ac:dyDescent="0.4">
      <c r="A101" s="205"/>
      <c r="B101" s="205" t="s">
        <v>466</v>
      </c>
      <c r="C101" s="208"/>
      <c r="D101" s="205">
        <v>2010</v>
      </c>
      <c r="E101" s="205">
        <v>2011</v>
      </c>
      <c r="F101" s="205">
        <v>2012</v>
      </c>
      <c r="G101" s="205">
        <v>2013</v>
      </c>
      <c r="H101" s="205"/>
    </row>
    <row r="102" spans="1:8" ht="30" customHeight="1" thickTop="1" thickBot="1" x14ac:dyDescent="0.4"/>
    <row r="103" spans="1:8" ht="30" customHeight="1" thickBot="1" x14ac:dyDescent="0.4">
      <c r="A103" s="205"/>
      <c r="B103" s="205" t="s">
        <v>467</v>
      </c>
      <c r="C103" s="208"/>
      <c r="D103" s="205">
        <v>2010</v>
      </c>
      <c r="E103" s="205">
        <v>2011</v>
      </c>
      <c r="F103" s="205">
        <v>2012</v>
      </c>
      <c r="G103" s="205">
        <v>2013</v>
      </c>
      <c r="H103" s="205"/>
    </row>
    <row r="104" spans="1:8" ht="30" customHeight="1" thickTop="1" thickBot="1" x14ac:dyDescent="0.4"/>
    <row r="105" spans="1:8" ht="30" customHeight="1" thickTop="1" thickBot="1" x14ac:dyDescent="0.4">
      <c r="A105" s="360" t="s">
        <v>110</v>
      </c>
      <c r="B105" s="325" t="s">
        <v>314</v>
      </c>
      <c r="C105" s="326"/>
      <c r="D105" s="327">
        <f>+D106+D107+D108+D109+D110+D111+D112</f>
        <v>18986309</v>
      </c>
      <c r="E105" s="327">
        <f>+E106+E107+E108+E109+E110+E111+E112</f>
        <v>19163617</v>
      </c>
      <c r="F105" s="327">
        <f>+F106+F107+F108+F109+F110+F111+F112</f>
        <v>18735975</v>
      </c>
      <c r="G105" s="327">
        <f>+G106+G107+G108+G109+G110+G111+G112</f>
        <v>17651245</v>
      </c>
      <c r="H105" s="211" t="s">
        <v>356</v>
      </c>
    </row>
    <row r="106" spans="1:8" ht="30" customHeight="1" thickTop="1" thickBot="1" x14ac:dyDescent="0.4">
      <c r="A106" s="360" t="s">
        <v>111</v>
      </c>
      <c r="B106" s="329" t="s">
        <v>315</v>
      </c>
      <c r="C106" s="267"/>
      <c r="D106" s="330">
        <v>80562</v>
      </c>
      <c r="E106" s="330">
        <v>73384</v>
      </c>
      <c r="F106" s="330">
        <v>66805</v>
      </c>
      <c r="G106" s="330">
        <v>65233</v>
      </c>
      <c r="H106" s="211"/>
    </row>
    <row r="107" spans="1:8" ht="30" customHeight="1" thickTop="1" thickBot="1" x14ac:dyDescent="0.4">
      <c r="A107" s="360" t="s">
        <v>112</v>
      </c>
      <c r="B107" s="329" t="s">
        <v>316</v>
      </c>
      <c r="C107" s="267"/>
      <c r="D107" s="330">
        <v>17453965</v>
      </c>
      <c r="E107" s="330">
        <v>17253098</v>
      </c>
      <c r="F107" s="330">
        <v>16946787</v>
      </c>
      <c r="G107" s="330">
        <v>16563524</v>
      </c>
      <c r="H107" s="211"/>
    </row>
    <row r="108" spans="1:8" ht="30" customHeight="1" thickTop="1" thickBot="1" x14ac:dyDescent="0.4">
      <c r="A108" s="360" t="s">
        <v>113</v>
      </c>
      <c r="B108" s="329" t="s">
        <v>317</v>
      </c>
      <c r="C108" s="267"/>
      <c r="D108" s="330">
        <v>0</v>
      </c>
      <c r="E108" s="330">
        <v>0</v>
      </c>
      <c r="F108" s="330">
        <v>0</v>
      </c>
      <c r="G108" s="330">
        <v>0</v>
      </c>
      <c r="H108" s="211"/>
    </row>
    <row r="109" spans="1:8" ht="30" customHeight="1" thickTop="1" thickBot="1" x14ac:dyDescent="0.4">
      <c r="A109" s="360" t="s">
        <v>114</v>
      </c>
      <c r="B109" s="329" t="s">
        <v>318</v>
      </c>
      <c r="C109" s="267"/>
      <c r="D109" s="330">
        <v>1172909</v>
      </c>
      <c r="E109" s="330">
        <v>1540244</v>
      </c>
      <c r="F109" s="330">
        <v>1431905</v>
      </c>
      <c r="G109" s="330">
        <v>732015</v>
      </c>
      <c r="H109" s="211"/>
    </row>
    <row r="110" spans="1:8" ht="30" customHeight="1" thickTop="1" thickBot="1" x14ac:dyDescent="0.4">
      <c r="A110" s="360" t="s">
        <v>115</v>
      </c>
      <c r="B110" s="329" t="s">
        <v>319</v>
      </c>
      <c r="C110" s="267"/>
      <c r="D110" s="330">
        <v>19560</v>
      </c>
      <c r="E110" s="330">
        <v>37578</v>
      </c>
      <c r="F110" s="330">
        <v>31165</v>
      </c>
      <c r="G110" s="330">
        <v>31160</v>
      </c>
      <c r="H110" s="211"/>
    </row>
    <row r="111" spans="1:8" ht="30" customHeight="1" thickTop="1" thickBot="1" x14ac:dyDescent="0.4">
      <c r="A111" s="360" t="s">
        <v>116</v>
      </c>
      <c r="B111" s="331" t="s">
        <v>320</v>
      </c>
      <c r="C111" s="324"/>
      <c r="D111" s="332">
        <v>259313</v>
      </c>
      <c r="E111" s="332">
        <v>259313</v>
      </c>
      <c r="F111" s="332">
        <v>259313</v>
      </c>
      <c r="G111" s="332">
        <v>259313</v>
      </c>
      <c r="H111" s="211"/>
    </row>
    <row r="112" spans="1:8" ht="30" customHeight="1" thickTop="1" thickBot="1" x14ac:dyDescent="0.4">
      <c r="A112" s="360" t="s">
        <v>117</v>
      </c>
      <c r="B112" s="331" t="s">
        <v>321</v>
      </c>
      <c r="C112" s="324"/>
      <c r="D112" s="332">
        <v>0</v>
      </c>
      <c r="E112" s="332">
        <v>0</v>
      </c>
      <c r="F112" s="332">
        <v>0</v>
      </c>
      <c r="G112" s="332">
        <v>0</v>
      </c>
      <c r="H112" s="211"/>
    </row>
    <row r="113" spans="1:8" ht="30" customHeight="1" thickTop="1" thickBot="1" x14ac:dyDescent="0.4">
      <c r="A113" s="360" t="s">
        <v>120</v>
      </c>
      <c r="B113" s="325" t="s">
        <v>322</v>
      </c>
      <c r="C113" s="326"/>
      <c r="D113" s="327">
        <f>+D114+D115+D122+D123+D124+D125+D126</f>
        <v>949518</v>
      </c>
      <c r="E113" s="327">
        <f>+E114+E115+E122+E123+E124+E125+E126</f>
        <v>908151</v>
      </c>
      <c r="F113" s="327">
        <f>+F114+F115+F122+F123+F124+F125+F126</f>
        <v>1097337</v>
      </c>
      <c r="G113" s="327">
        <f>+G114+G115+G122+G123+G124+G125+G126</f>
        <v>4125372</v>
      </c>
      <c r="H113" s="211" t="s">
        <v>356</v>
      </c>
    </row>
    <row r="114" spans="1:8" ht="30" customHeight="1" thickTop="1" thickBot="1" x14ac:dyDescent="0.4">
      <c r="A114" s="360" t="s">
        <v>119</v>
      </c>
      <c r="B114" s="329" t="s">
        <v>323</v>
      </c>
      <c r="C114" s="267"/>
      <c r="D114" s="330">
        <v>0</v>
      </c>
      <c r="E114" s="330">
        <v>0</v>
      </c>
      <c r="F114" s="330">
        <v>0</v>
      </c>
      <c r="G114" s="330">
        <v>0</v>
      </c>
      <c r="H114" s="211"/>
    </row>
    <row r="115" spans="1:8" ht="30" customHeight="1" thickTop="1" thickBot="1" x14ac:dyDescent="0.4">
      <c r="A115" s="360" t="s">
        <v>121</v>
      </c>
      <c r="B115" s="329" t="s">
        <v>388</v>
      </c>
      <c r="C115" s="267"/>
      <c r="D115" s="330">
        <f>+D116+D117+D118+D119+D120+D121</f>
        <v>103878</v>
      </c>
      <c r="E115" s="330">
        <f>+E116+E117+E118+E119+E120+E121</f>
        <v>96736</v>
      </c>
      <c r="F115" s="330">
        <f>+F116+F117+F118+F119+F120+F121</f>
        <v>83698</v>
      </c>
      <c r="G115" s="330">
        <f>+G116+G117+G118+G119+G120+G121</f>
        <v>131959</v>
      </c>
      <c r="H115" s="211" t="s">
        <v>356</v>
      </c>
    </row>
    <row r="116" spans="1:8" ht="30" customHeight="1" thickTop="1" thickBot="1" x14ac:dyDescent="0.4">
      <c r="A116" s="360" t="s">
        <v>130</v>
      </c>
      <c r="B116" s="329" t="s">
        <v>324</v>
      </c>
      <c r="C116" s="267"/>
      <c r="D116" s="330">
        <v>51893</v>
      </c>
      <c r="E116" s="330">
        <v>50479</v>
      </c>
      <c r="F116" s="330">
        <v>43296</v>
      </c>
      <c r="G116" s="330">
        <v>48725</v>
      </c>
      <c r="H116" s="211"/>
    </row>
    <row r="117" spans="1:8" ht="30" customHeight="1" thickTop="1" thickBot="1" x14ac:dyDescent="0.4">
      <c r="A117" s="360" t="s">
        <v>131</v>
      </c>
      <c r="B117" s="329" t="s">
        <v>369</v>
      </c>
      <c r="C117" s="267"/>
      <c r="D117" s="330">
        <v>24847</v>
      </c>
      <c r="E117" s="330">
        <v>15941</v>
      </c>
      <c r="F117" s="330">
        <v>11123</v>
      </c>
      <c r="G117" s="330">
        <v>29573</v>
      </c>
      <c r="H117" s="211"/>
    </row>
    <row r="118" spans="1:8" ht="30" customHeight="1" thickTop="1" thickBot="1" x14ac:dyDescent="0.4">
      <c r="A118" s="360" t="s">
        <v>132</v>
      </c>
      <c r="B118" s="329" t="s">
        <v>325</v>
      </c>
      <c r="C118" s="267"/>
      <c r="D118" s="330">
        <v>0</v>
      </c>
      <c r="E118" s="330">
        <v>0</v>
      </c>
      <c r="F118" s="330">
        <v>0</v>
      </c>
      <c r="G118" s="330">
        <v>0</v>
      </c>
      <c r="H118" s="211"/>
    </row>
    <row r="119" spans="1:8" ht="30" customHeight="1" thickTop="1" thickBot="1" x14ac:dyDescent="0.4">
      <c r="A119" s="360" t="s">
        <v>133</v>
      </c>
      <c r="B119" s="329" t="s">
        <v>326</v>
      </c>
      <c r="C119" s="267"/>
      <c r="D119" s="330">
        <v>0</v>
      </c>
      <c r="E119" s="330">
        <v>0</v>
      </c>
      <c r="F119" s="330">
        <v>0</v>
      </c>
      <c r="G119" s="330">
        <v>0</v>
      </c>
      <c r="H119" s="211"/>
    </row>
    <row r="120" spans="1:8" ht="30" customHeight="1" thickTop="1" thickBot="1" x14ac:dyDescent="0.4">
      <c r="A120" s="360" t="s">
        <v>134</v>
      </c>
      <c r="B120" s="329" t="s">
        <v>370</v>
      </c>
      <c r="C120" s="267"/>
      <c r="D120" s="330">
        <v>0</v>
      </c>
      <c r="E120" s="330">
        <v>0</v>
      </c>
      <c r="F120" s="330">
        <v>0</v>
      </c>
      <c r="G120" s="330">
        <v>0</v>
      </c>
      <c r="H120" s="211"/>
    </row>
    <row r="121" spans="1:8" ht="30" customHeight="1" thickTop="1" thickBot="1" x14ac:dyDescent="0.4">
      <c r="A121" s="360" t="s">
        <v>135</v>
      </c>
      <c r="B121" s="329" t="s">
        <v>327</v>
      </c>
      <c r="C121" s="330"/>
      <c r="D121" s="330">
        <v>27138</v>
      </c>
      <c r="E121" s="330">
        <v>30316</v>
      </c>
      <c r="F121" s="330">
        <v>29279</v>
      </c>
      <c r="G121" s="330">
        <v>53661</v>
      </c>
      <c r="H121" s="211"/>
    </row>
    <row r="122" spans="1:8" ht="30" customHeight="1" thickTop="1" thickBot="1" x14ac:dyDescent="0.4">
      <c r="A122" s="360" t="s">
        <v>122</v>
      </c>
      <c r="B122" s="329" t="s">
        <v>371</v>
      </c>
      <c r="C122" s="267"/>
      <c r="D122" s="330">
        <v>718133</v>
      </c>
      <c r="E122" s="330">
        <v>660303</v>
      </c>
      <c r="F122" s="330">
        <v>935461</v>
      </c>
      <c r="G122" s="330">
        <v>483072</v>
      </c>
      <c r="H122" s="211"/>
    </row>
    <row r="123" spans="1:8" ht="30" customHeight="1" thickTop="1" thickBot="1" x14ac:dyDescent="0.4">
      <c r="A123" s="360" t="s">
        <v>123</v>
      </c>
      <c r="B123" s="329" t="s">
        <v>372</v>
      </c>
      <c r="C123" s="267"/>
      <c r="D123" s="330">
        <v>0</v>
      </c>
      <c r="E123" s="330">
        <v>0</v>
      </c>
      <c r="F123" s="330">
        <v>0</v>
      </c>
      <c r="G123" s="330">
        <v>0</v>
      </c>
      <c r="H123" s="211"/>
    </row>
    <row r="124" spans="1:8" ht="30" customHeight="1" thickTop="1" thickBot="1" x14ac:dyDescent="0.4">
      <c r="A124" s="360" t="s">
        <v>124</v>
      </c>
      <c r="B124" s="329" t="s">
        <v>328</v>
      </c>
      <c r="C124" s="267"/>
      <c r="D124" s="330">
        <v>0</v>
      </c>
      <c r="E124" s="330">
        <v>0</v>
      </c>
      <c r="F124" s="330">
        <v>0</v>
      </c>
      <c r="G124" s="330">
        <v>16851</v>
      </c>
      <c r="H124" s="211"/>
    </row>
    <row r="125" spans="1:8" ht="30" customHeight="1" thickTop="1" thickBot="1" x14ac:dyDescent="0.4">
      <c r="A125" s="360" t="s">
        <v>125</v>
      </c>
      <c r="B125" s="329" t="s">
        <v>329</v>
      </c>
      <c r="C125" s="267"/>
      <c r="D125" s="330">
        <v>6390</v>
      </c>
      <c r="E125" s="330">
        <v>0</v>
      </c>
      <c r="F125" s="330">
        <v>0</v>
      </c>
      <c r="G125" s="330">
        <v>0</v>
      </c>
      <c r="H125" s="211"/>
    </row>
    <row r="126" spans="1:8" ht="30" customHeight="1" thickTop="1" thickBot="1" x14ac:dyDescent="0.4">
      <c r="A126" s="360" t="s">
        <v>126</v>
      </c>
      <c r="B126" s="329" t="s">
        <v>373</v>
      </c>
      <c r="C126" s="267"/>
      <c r="D126" s="330">
        <v>121117</v>
      </c>
      <c r="E126" s="330">
        <v>151112</v>
      </c>
      <c r="F126" s="330">
        <v>78178</v>
      </c>
      <c r="G126" s="330">
        <v>3493490</v>
      </c>
      <c r="H126" s="211"/>
    </row>
    <row r="127" spans="1:8" ht="30" customHeight="1" thickTop="1" thickBot="1" x14ac:dyDescent="0.4">
      <c r="A127" s="360" t="s">
        <v>127</v>
      </c>
      <c r="B127" s="325" t="s">
        <v>330</v>
      </c>
      <c r="C127" s="326"/>
      <c r="D127" s="327">
        <f>D113+D105</f>
        <v>19935827</v>
      </c>
      <c r="E127" s="327">
        <f>E113+E105</f>
        <v>20071768</v>
      </c>
      <c r="F127" s="327">
        <f>F113+F105</f>
        <v>19833312</v>
      </c>
      <c r="G127" s="327">
        <f>G113+G105</f>
        <v>21776617</v>
      </c>
      <c r="H127" s="211" t="s">
        <v>356</v>
      </c>
    </row>
    <row r="129" spans="1:15" ht="30" customHeight="1" thickBot="1" x14ac:dyDescent="0.4">
      <c r="D129" s="224"/>
      <c r="E129" s="224"/>
      <c r="F129" s="224"/>
      <c r="G129" s="224"/>
      <c r="H129" s="225"/>
    </row>
    <row r="130" spans="1:15" ht="30" customHeight="1" thickBot="1" x14ac:dyDescent="0.4">
      <c r="A130" s="205"/>
      <c r="B130" s="205" t="s">
        <v>450</v>
      </c>
      <c r="C130" s="205"/>
      <c r="D130" s="205">
        <v>2010</v>
      </c>
      <c r="E130" s="205">
        <v>2011</v>
      </c>
      <c r="F130" s="205">
        <v>2012</v>
      </c>
      <c r="G130" s="205">
        <v>2013</v>
      </c>
      <c r="H130" s="205"/>
      <c r="I130" s="226"/>
      <c r="J130" s="226"/>
      <c r="K130" s="226"/>
      <c r="L130" s="226"/>
      <c r="M130" s="226"/>
      <c r="N130" s="226"/>
    </row>
    <row r="131" spans="1:15" ht="30" customHeight="1" thickTop="1" thickBot="1" x14ac:dyDescent="0.4">
      <c r="A131" s="312" t="s">
        <v>136</v>
      </c>
      <c r="B131" s="297" t="s">
        <v>331</v>
      </c>
      <c r="C131" s="313"/>
      <c r="D131" s="301">
        <f>+D132+D144+D145</f>
        <v>7693824</v>
      </c>
      <c r="E131" s="301">
        <f>+E132+E144+E145</f>
        <v>8620027</v>
      </c>
      <c r="F131" s="301">
        <f>+F132+F144+F145</f>
        <v>8796506</v>
      </c>
      <c r="G131" s="301">
        <f>+G132+G144+G145</f>
        <v>9173237</v>
      </c>
      <c r="H131" s="213" t="s">
        <v>356</v>
      </c>
      <c r="I131" s="226"/>
      <c r="J131" s="226"/>
      <c r="K131" s="226"/>
      <c r="L131" s="226"/>
      <c r="M131" s="226"/>
      <c r="N131" s="226"/>
    </row>
    <row r="132" spans="1:15" ht="30" customHeight="1" thickTop="1" thickBot="1" x14ac:dyDescent="0.4">
      <c r="A132" s="312" t="s">
        <v>153</v>
      </c>
      <c r="B132" s="265" t="s">
        <v>332</v>
      </c>
      <c r="C132" s="266"/>
      <c r="D132" s="266">
        <f>+D133+D134+D135+D136+D137+D140+D141+D143</f>
        <v>7115886</v>
      </c>
      <c r="E132" s="266">
        <f>+E133+E134+E135+E136+E137+E140+E141+E143</f>
        <v>8105955</v>
      </c>
      <c r="F132" s="266">
        <f>+F133+F134+F135+F136+F137+F140+F141+F143</f>
        <v>8355316</v>
      </c>
      <c r="G132" s="266">
        <f>+G133+G134+G135+G136+G137+G140+G141+G143</f>
        <v>8805343</v>
      </c>
      <c r="H132" s="213" t="s">
        <v>356</v>
      </c>
      <c r="I132" s="226"/>
      <c r="J132" s="226"/>
      <c r="K132" s="226"/>
      <c r="L132" s="226"/>
      <c r="M132" s="226"/>
      <c r="N132" s="226"/>
    </row>
    <row r="133" spans="1:15" ht="30" customHeight="1" thickTop="1" thickBot="1" x14ac:dyDescent="0.4">
      <c r="A133" s="312" t="s">
        <v>154</v>
      </c>
      <c r="B133" s="265" t="s">
        <v>83</v>
      </c>
      <c r="C133" s="266"/>
      <c r="D133" s="266">
        <v>14554295</v>
      </c>
      <c r="E133" s="266">
        <v>14554295</v>
      </c>
      <c r="F133" s="266">
        <v>14554295</v>
      </c>
      <c r="G133" s="266">
        <v>15554295</v>
      </c>
      <c r="H133" s="213"/>
      <c r="I133" s="226"/>
      <c r="J133" s="226"/>
      <c r="K133" s="226"/>
      <c r="L133" s="226"/>
      <c r="M133" s="226"/>
      <c r="N133" s="226"/>
    </row>
    <row r="134" spans="1:15" ht="30" customHeight="1" thickTop="1" thickBot="1" x14ac:dyDescent="0.4">
      <c r="A134" s="312" t="s">
        <v>155</v>
      </c>
      <c r="B134" s="265" t="s">
        <v>333</v>
      </c>
      <c r="C134" s="266"/>
      <c r="D134" s="266">
        <v>0</v>
      </c>
      <c r="E134" s="266">
        <v>0</v>
      </c>
      <c r="F134" s="266">
        <v>0</v>
      </c>
      <c r="G134" s="266">
        <v>0</v>
      </c>
      <c r="H134" s="213"/>
      <c r="I134" s="226"/>
      <c r="J134" s="226"/>
      <c r="K134" s="226"/>
      <c r="L134" s="226"/>
      <c r="M134" s="226"/>
      <c r="N134" s="226"/>
    </row>
    <row r="135" spans="1:15" ht="30" customHeight="1" thickTop="1" thickBot="1" x14ac:dyDescent="0.4">
      <c r="A135" s="312" t="s">
        <v>156</v>
      </c>
      <c r="B135" s="265" t="s">
        <v>334</v>
      </c>
      <c r="C135" s="266"/>
      <c r="D135" s="266">
        <v>-968</v>
      </c>
      <c r="E135" s="266">
        <v>-968</v>
      </c>
      <c r="F135" s="266">
        <v>-968</v>
      </c>
      <c r="G135" s="266">
        <v>-968</v>
      </c>
      <c r="H135" s="213"/>
      <c r="I135" s="226"/>
      <c r="J135" s="226"/>
      <c r="K135" s="226"/>
      <c r="L135" s="226"/>
      <c r="M135" s="226"/>
      <c r="N135" s="226"/>
    </row>
    <row r="136" spans="1:15" ht="30" customHeight="1" thickTop="1" thickBot="1" x14ac:dyDescent="0.4">
      <c r="A136" s="312" t="s">
        <v>157</v>
      </c>
      <c r="B136" s="265" t="s">
        <v>335</v>
      </c>
      <c r="C136" s="266"/>
      <c r="D136" s="266">
        <v>0</v>
      </c>
      <c r="E136" s="266">
        <v>0</v>
      </c>
      <c r="F136" s="266">
        <v>0</v>
      </c>
      <c r="G136" s="266">
        <v>0</v>
      </c>
      <c r="H136" s="213"/>
      <c r="I136" s="226"/>
      <c r="J136" s="226"/>
      <c r="K136" s="226"/>
      <c r="L136" s="226"/>
      <c r="M136" s="226"/>
      <c r="N136" s="226"/>
      <c r="O136" s="226"/>
    </row>
    <row r="137" spans="1:15" ht="30" customHeight="1" thickTop="1" thickBot="1" x14ac:dyDescent="0.4">
      <c r="A137" s="312" t="s">
        <v>158</v>
      </c>
      <c r="B137" s="265" t="s">
        <v>336</v>
      </c>
      <c r="C137" s="266"/>
      <c r="D137" s="266">
        <v>-7765353</v>
      </c>
      <c r="E137" s="266">
        <v>-7437441</v>
      </c>
      <c r="F137" s="266">
        <v>-6447372</v>
      </c>
      <c r="G137" s="266">
        <v>-6273011</v>
      </c>
      <c r="H137" s="213" t="s">
        <v>356</v>
      </c>
      <c r="I137" s="226"/>
      <c r="J137" s="226"/>
      <c r="K137" s="226"/>
      <c r="L137" s="226"/>
      <c r="M137" s="226"/>
      <c r="N137" s="226"/>
      <c r="O137" s="226"/>
    </row>
    <row r="138" spans="1:15" ht="30" customHeight="1" thickTop="1" thickBot="1" x14ac:dyDescent="0.4">
      <c r="A138" s="312" t="s">
        <v>159</v>
      </c>
      <c r="B138" s="265" t="s">
        <v>337</v>
      </c>
      <c r="C138" s="266"/>
      <c r="D138" s="266">
        <v>0</v>
      </c>
      <c r="E138" s="266">
        <v>0</v>
      </c>
      <c r="F138" s="266">
        <v>0</v>
      </c>
      <c r="G138" s="266">
        <v>0</v>
      </c>
      <c r="H138" s="213"/>
      <c r="I138" s="226"/>
      <c r="J138" s="226"/>
      <c r="K138" s="226"/>
      <c r="L138" s="226"/>
      <c r="M138" s="226"/>
      <c r="N138" s="226"/>
      <c r="O138" s="226"/>
    </row>
    <row r="139" spans="1:15" ht="30" customHeight="1" thickTop="1" thickBot="1" x14ac:dyDescent="0.4">
      <c r="A139" s="312" t="s">
        <v>160</v>
      </c>
      <c r="B139" s="265" t="s">
        <v>338</v>
      </c>
      <c r="C139" s="266"/>
      <c r="D139" s="266">
        <v>-7765353</v>
      </c>
      <c r="E139" s="266">
        <v>-7437441</v>
      </c>
      <c r="F139" s="266">
        <v>-6447372</v>
      </c>
      <c r="G139" s="266">
        <v>-6273011</v>
      </c>
      <c r="H139" s="213"/>
      <c r="I139" s="226"/>
      <c r="J139" s="226"/>
      <c r="K139" s="226"/>
      <c r="L139" s="226"/>
      <c r="M139" s="226"/>
      <c r="N139" s="226"/>
      <c r="O139" s="226"/>
    </row>
    <row r="140" spans="1:15" ht="30" customHeight="1" thickTop="1" thickBot="1" x14ac:dyDescent="0.4">
      <c r="A140" s="312" t="s">
        <v>161</v>
      </c>
      <c r="B140" s="265" t="s">
        <v>339</v>
      </c>
      <c r="C140" s="266"/>
      <c r="D140" s="266">
        <v>0</v>
      </c>
      <c r="E140" s="266">
        <v>0</v>
      </c>
      <c r="F140" s="266">
        <v>0</v>
      </c>
      <c r="G140" s="266">
        <v>0</v>
      </c>
      <c r="H140" s="213"/>
      <c r="I140" s="226"/>
      <c r="J140" s="226"/>
      <c r="K140" s="226"/>
      <c r="L140" s="226"/>
      <c r="M140" s="226"/>
      <c r="N140" s="226"/>
      <c r="O140" s="226"/>
    </row>
    <row r="141" spans="1:15" ht="30" customHeight="1" thickTop="1" thickBot="1" x14ac:dyDescent="0.4">
      <c r="A141" s="312" t="s">
        <v>162</v>
      </c>
      <c r="B141" s="265" t="s">
        <v>340</v>
      </c>
      <c r="C141" s="266"/>
      <c r="D141" s="266">
        <v>327912</v>
      </c>
      <c r="E141" s="266">
        <v>990069</v>
      </c>
      <c r="F141" s="266">
        <v>249361</v>
      </c>
      <c r="G141" s="266">
        <v>-474973</v>
      </c>
      <c r="H141" s="213"/>
      <c r="I141" s="226"/>
      <c r="J141" s="226"/>
      <c r="K141" s="226"/>
      <c r="L141" s="226"/>
      <c r="M141" s="226"/>
      <c r="N141" s="226"/>
      <c r="O141" s="226"/>
    </row>
    <row r="142" spans="1:15" ht="30" customHeight="1" thickTop="1" thickBot="1" x14ac:dyDescent="0.4">
      <c r="A142" s="312" t="s">
        <v>163</v>
      </c>
      <c r="B142" s="265" t="s">
        <v>341</v>
      </c>
      <c r="C142" s="266"/>
      <c r="D142" s="266">
        <v>0</v>
      </c>
      <c r="E142" s="266">
        <v>0</v>
      </c>
      <c r="F142" s="266">
        <v>0</v>
      </c>
      <c r="G142" s="266">
        <v>0</v>
      </c>
      <c r="H142" s="213"/>
      <c r="I142" s="226"/>
      <c r="J142" s="226"/>
      <c r="K142" s="226"/>
      <c r="L142" s="226"/>
      <c r="M142" s="226"/>
      <c r="N142" s="226"/>
    </row>
    <row r="143" spans="1:15" ht="30" customHeight="1" thickTop="1" thickBot="1" x14ac:dyDescent="0.4">
      <c r="A143" s="312" t="s">
        <v>164</v>
      </c>
      <c r="B143" s="265" t="s">
        <v>342</v>
      </c>
      <c r="C143" s="266"/>
      <c r="D143" s="266">
        <v>0</v>
      </c>
      <c r="E143" s="266">
        <v>0</v>
      </c>
      <c r="F143" s="266">
        <v>0</v>
      </c>
      <c r="G143" s="266">
        <v>0</v>
      </c>
      <c r="H143" s="213"/>
      <c r="I143" s="226"/>
      <c r="J143" s="226"/>
      <c r="K143" s="226"/>
      <c r="L143" s="226"/>
      <c r="M143" s="226"/>
      <c r="N143" s="226"/>
    </row>
    <row r="144" spans="1:15" ht="30" customHeight="1" thickTop="1" thickBot="1" x14ac:dyDescent="0.4">
      <c r="A144" s="312" t="s">
        <v>165</v>
      </c>
      <c r="B144" s="265" t="s">
        <v>343</v>
      </c>
      <c r="C144" s="266"/>
      <c r="D144" s="266">
        <v>0</v>
      </c>
      <c r="E144" s="266">
        <v>0</v>
      </c>
      <c r="F144" s="266">
        <v>0</v>
      </c>
      <c r="G144" s="266">
        <v>0</v>
      </c>
      <c r="H144" s="213"/>
      <c r="I144" s="226"/>
      <c r="J144" s="226"/>
      <c r="K144" s="226"/>
      <c r="L144" s="226"/>
      <c r="M144" s="226"/>
      <c r="N144" s="226"/>
    </row>
    <row r="145" spans="1:14" ht="30" customHeight="1" thickTop="1" thickBot="1" x14ac:dyDescent="0.4">
      <c r="A145" s="312" t="s">
        <v>166</v>
      </c>
      <c r="B145" s="265" t="s">
        <v>374</v>
      </c>
      <c r="C145" s="266"/>
      <c r="D145" s="266">
        <v>577938</v>
      </c>
      <c r="E145" s="266">
        <v>514072</v>
      </c>
      <c r="F145" s="266">
        <v>441190</v>
      </c>
      <c r="G145" s="266">
        <v>367894</v>
      </c>
      <c r="H145" s="213"/>
      <c r="I145" s="226"/>
      <c r="J145" s="226"/>
      <c r="K145" s="226"/>
      <c r="L145" s="226"/>
      <c r="M145" s="226"/>
      <c r="N145" s="226"/>
    </row>
    <row r="146" spans="1:14" ht="30" customHeight="1" thickTop="1" thickBot="1" x14ac:dyDescent="0.4">
      <c r="A146" s="312" t="s">
        <v>137</v>
      </c>
      <c r="B146" s="297" t="s">
        <v>344</v>
      </c>
      <c r="C146" s="311"/>
      <c r="D146" s="300">
        <f>+D147+D148+D149+D150+D151+D152+D153</f>
        <v>10757164</v>
      </c>
      <c r="E146" s="300">
        <f>+E147+E148+E149+E150+E151+E152+E153</f>
        <v>10055121</v>
      </c>
      <c r="F146" s="300">
        <f>+F147+F148+F149+F150+F151+F152+F153</f>
        <v>9745886</v>
      </c>
      <c r="G146" s="300">
        <f>+G147+G148+G149+G150+G151+G152+G153</f>
        <v>10192269</v>
      </c>
      <c r="H146" s="213" t="s">
        <v>356</v>
      </c>
      <c r="I146" s="226"/>
      <c r="J146" s="226"/>
      <c r="K146" s="226"/>
      <c r="L146" s="226"/>
      <c r="M146" s="226"/>
      <c r="N146" s="226"/>
    </row>
    <row r="147" spans="1:14" ht="30" customHeight="1" thickTop="1" thickBot="1" x14ac:dyDescent="0.4">
      <c r="A147" s="312" t="s">
        <v>84</v>
      </c>
      <c r="B147" s="265" t="s">
        <v>345</v>
      </c>
      <c r="C147" s="266"/>
      <c r="D147" s="266">
        <v>0</v>
      </c>
      <c r="E147" s="266">
        <v>0</v>
      </c>
      <c r="F147" s="266">
        <v>0</v>
      </c>
      <c r="G147" s="266">
        <v>0</v>
      </c>
      <c r="H147" s="213"/>
      <c r="I147" s="226"/>
      <c r="J147" s="226"/>
      <c r="K147" s="226"/>
      <c r="L147" s="226"/>
      <c r="M147" s="226"/>
      <c r="N147" s="226"/>
    </row>
    <row r="148" spans="1:14" ht="30" customHeight="1" thickTop="1" thickBot="1" x14ac:dyDescent="0.4">
      <c r="A148" s="312" t="s">
        <v>138</v>
      </c>
      <c r="B148" s="265" t="s">
        <v>346</v>
      </c>
      <c r="C148" s="266"/>
      <c r="D148" s="266">
        <v>10508924</v>
      </c>
      <c r="E148" s="266">
        <v>9818562</v>
      </c>
      <c r="F148" s="266">
        <v>9540562</v>
      </c>
      <c r="G148" s="266">
        <v>9134047</v>
      </c>
      <c r="H148" s="213"/>
      <c r="I148" s="226"/>
      <c r="J148" s="226"/>
      <c r="K148" s="226"/>
      <c r="L148" s="226"/>
      <c r="M148" s="226"/>
      <c r="N148" s="226"/>
    </row>
    <row r="149" spans="1:14" ht="30" customHeight="1" thickTop="1" thickBot="1" x14ac:dyDescent="0.4">
      <c r="A149" s="312" t="s">
        <v>139</v>
      </c>
      <c r="B149" s="337" t="s">
        <v>442</v>
      </c>
      <c r="C149" s="279"/>
      <c r="D149" s="279">
        <v>0</v>
      </c>
      <c r="E149" s="279">
        <v>0</v>
      </c>
      <c r="F149" s="279">
        <v>0</v>
      </c>
      <c r="G149" s="279">
        <v>0</v>
      </c>
      <c r="H149" s="213"/>
      <c r="I149" s="226"/>
      <c r="J149" s="226"/>
      <c r="K149" s="226"/>
      <c r="L149" s="226"/>
      <c r="M149" s="226"/>
      <c r="N149" s="226"/>
    </row>
    <row r="150" spans="1:14" ht="30" customHeight="1" thickTop="1" thickBot="1" x14ac:dyDescent="0.4">
      <c r="A150" s="312" t="s">
        <v>140</v>
      </c>
      <c r="B150" s="337" t="s">
        <v>347</v>
      </c>
      <c r="C150" s="279"/>
      <c r="D150" s="279">
        <v>248240</v>
      </c>
      <c r="E150" s="279">
        <v>220869</v>
      </c>
      <c r="F150" s="279">
        <v>189634</v>
      </c>
      <c r="G150" s="279">
        <v>158222</v>
      </c>
      <c r="H150" s="213"/>
      <c r="I150" s="226"/>
      <c r="J150" s="226"/>
      <c r="K150" s="226"/>
      <c r="L150" s="226"/>
      <c r="M150" s="226"/>
      <c r="N150" s="226"/>
    </row>
    <row r="151" spans="1:14" ht="30" customHeight="1" thickTop="1" thickBot="1" x14ac:dyDescent="0.4">
      <c r="A151" s="312" t="s">
        <v>141</v>
      </c>
      <c r="B151" s="337" t="s">
        <v>348</v>
      </c>
      <c r="C151" s="279"/>
      <c r="D151" s="279">
        <v>0</v>
      </c>
      <c r="E151" s="279">
        <v>0</v>
      </c>
      <c r="F151" s="279">
        <v>0</v>
      </c>
      <c r="G151" s="279">
        <v>0</v>
      </c>
      <c r="H151" s="213"/>
      <c r="I151" s="226"/>
      <c r="J151" s="226"/>
      <c r="K151" s="226"/>
      <c r="L151" s="226"/>
      <c r="M151" s="226"/>
      <c r="N151" s="226"/>
    </row>
    <row r="152" spans="1:14" ht="30" customHeight="1" thickTop="1" thickBot="1" x14ac:dyDescent="0.4">
      <c r="A152" s="312" t="s">
        <v>142</v>
      </c>
      <c r="B152" s="337" t="s">
        <v>441</v>
      </c>
      <c r="C152" s="279"/>
      <c r="D152" s="279">
        <v>0</v>
      </c>
      <c r="E152" s="279">
        <v>15690</v>
      </c>
      <c r="F152" s="279">
        <v>15690</v>
      </c>
      <c r="G152" s="279">
        <v>900000</v>
      </c>
      <c r="H152" s="213"/>
      <c r="I152" s="226"/>
      <c r="J152" s="226"/>
      <c r="K152" s="226"/>
      <c r="L152" s="226"/>
      <c r="M152" s="226"/>
      <c r="N152" s="226"/>
    </row>
    <row r="153" spans="1:14" ht="30" customHeight="1" thickTop="1" thickBot="1" x14ac:dyDescent="0.4">
      <c r="A153" s="312" t="s">
        <v>143</v>
      </c>
      <c r="B153" s="337" t="s">
        <v>440</v>
      </c>
      <c r="C153" s="279"/>
      <c r="D153" s="279">
        <v>0</v>
      </c>
      <c r="E153" s="279">
        <v>0</v>
      </c>
      <c r="F153" s="279">
        <v>0</v>
      </c>
      <c r="G153" s="279">
        <v>0</v>
      </c>
      <c r="H153" s="213"/>
      <c r="I153" s="226"/>
      <c r="J153" s="226"/>
      <c r="K153" s="226"/>
      <c r="L153" s="226"/>
      <c r="M153" s="226"/>
      <c r="N153" s="226"/>
    </row>
    <row r="154" spans="1:14" ht="30" customHeight="1" thickTop="1" thickBot="1" x14ac:dyDescent="0.4">
      <c r="A154" s="312" t="s">
        <v>144</v>
      </c>
      <c r="B154" s="297" t="s">
        <v>349</v>
      </c>
      <c r="C154" s="313"/>
      <c r="D154" s="301">
        <f>+D155+D156+D157+D158+D159+D160+D161</f>
        <v>1484839</v>
      </c>
      <c r="E154" s="301">
        <f>+E155+E156+E157+E158+E159+E160+E161</f>
        <v>1396620</v>
      </c>
      <c r="F154" s="301">
        <f>+F155+F156+F157+F158+F159+F160+F161</f>
        <v>1290920</v>
      </c>
      <c r="G154" s="301">
        <f>+G155+G156+G157+G158+G159+G160+G161</f>
        <v>2411111</v>
      </c>
      <c r="H154" s="213" t="s">
        <v>356</v>
      </c>
      <c r="I154" s="226"/>
      <c r="J154" s="226"/>
      <c r="K154" s="226"/>
      <c r="L154" s="226"/>
      <c r="M154" s="226"/>
      <c r="N154" s="226"/>
    </row>
    <row r="155" spans="1:14" ht="30" customHeight="1" thickTop="1" thickBot="1" x14ac:dyDescent="0.4">
      <c r="A155" s="312" t="s">
        <v>145</v>
      </c>
      <c r="B155" s="265" t="s">
        <v>350</v>
      </c>
      <c r="C155" s="266"/>
      <c r="D155" s="266">
        <v>0</v>
      </c>
      <c r="E155" s="266">
        <v>0</v>
      </c>
      <c r="F155" s="266">
        <v>0</v>
      </c>
      <c r="G155" s="266">
        <v>0</v>
      </c>
      <c r="H155" s="213"/>
      <c r="I155" s="226"/>
      <c r="J155" s="226"/>
      <c r="K155" s="226"/>
      <c r="L155" s="226"/>
      <c r="M155" s="226"/>
      <c r="N155" s="226"/>
    </row>
    <row r="156" spans="1:14" ht="30" customHeight="1" thickTop="1" thickBot="1" x14ac:dyDescent="0.4">
      <c r="A156" s="312" t="s">
        <v>146</v>
      </c>
      <c r="B156" s="265" t="s">
        <v>351</v>
      </c>
      <c r="C156" s="266"/>
      <c r="D156" s="266">
        <v>81555</v>
      </c>
      <c r="E156" s="266">
        <v>21410</v>
      </c>
      <c r="F156" s="266">
        <v>4251</v>
      </c>
      <c r="G156" s="266">
        <v>5164</v>
      </c>
      <c r="H156" s="213"/>
      <c r="I156" s="226"/>
      <c r="J156" s="226"/>
      <c r="K156" s="226"/>
      <c r="L156" s="226"/>
      <c r="M156" s="226"/>
      <c r="N156" s="226"/>
    </row>
    <row r="157" spans="1:14" ht="30" customHeight="1" thickTop="1" thickBot="1" x14ac:dyDescent="0.4">
      <c r="A157" s="312" t="s">
        <v>147</v>
      </c>
      <c r="B157" s="265" t="s">
        <v>352</v>
      </c>
      <c r="C157" s="266"/>
      <c r="D157" s="266">
        <v>0</v>
      </c>
      <c r="E157" s="266">
        <v>0</v>
      </c>
      <c r="F157" s="266">
        <v>0</v>
      </c>
      <c r="G157" s="266">
        <v>0</v>
      </c>
      <c r="H157" s="213"/>
      <c r="I157" s="226"/>
      <c r="J157" s="226"/>
      <c r="K157" s="226"/>
      <c r="L157" s="226"/>
      <c r="M157" s="226"/>
      <c r="N157" s="226"/>
    </row>
    <row r="158" spans="1:14" ht="30" customHeight="1" thickTop="1" thickBot="1" x14ac:dyDescent="0.4">
      <c r="A158" s="312" t="s">
        <v>148</v>
      </c>
      <c r="B158" s="265" t="s">
        <v>443</v>
      </c>
      <c r="C158" s="266"/>
      <c r="D158" s="266">
        <v>0</v>
      </c>
      <c r="E158" s="266">
        <v>0</v>
      </c>
      <c r="F158" s="266">
        <v>0</v>
      </c>
      <c r="G158" s="266">
        <v>0</v>
      </c>
      <c r="H158" s="213"/>
      <c r="I158" s="226"/>
      <c r="J158" s="226"/>
      <c r="K158" s="226"/>
      <c r="L158" s="226"/>
      <c r="M158" s="226"/>
      <c r="N158" s="226"/>
    </row>
    <row r="159" spans="1:14" ht="30" customHeight="1" thickTop="1" thickBot="1" x14ac:dyDescent="0.4">
      <c r="A159" s="312" t="s">
        <v>149</v>
      </c>
      <c r="B159" s="312" t="s">
        <v>375</v>
      </c>
      <c r="C159" s="266"/>
      <c r="D159" s="266">
        <v>1403284</v>
      </c>
      <c r="E159" s="266">
        <v>1375210</v>
      </c>
      <c r="F159" s="266">
        <v>1286669</v>
      </c>
      <c r="G159" s="266">
        <v>2405947</v>
      </c>
      <c r="H159" s="213"/>
      <c r="I159" s="226"/>
      <c r="J159" s="226"/>
      <c r="K159" s="226"/>
      <c r="L159" s="226"/>
      <c r="M159" s="226"/>
      <c r="N159" s="226"/>
    </row>
    <row r="160" spans="1:14" ht="30" customHeight="1" thickTop="1" thickBot="1" x14ac:dyDescent="0.4">
      <c r="A160" s="312" t="s">
        <v>150</v>
      </c>
      <c r="B160" s="265" t="s">
        <v>353</v>
      </c>
      <c r="C160" s="266"/>
      <c r="D160" s="266">
        <v>0</v>
      </c>
      <c r="E160" s="266">
        <v>0</v>
      </c>
      <c r="F160" s="266">
        <v>0</v>
      </c>
      <c r="G160" s="266">
        <v>0</v>
      </c>
      <c r="H160" s="213"/>
      <c r="I160" s="226"/>
      <c r="J160" s="226"/>
      <c r="K160" s="226"/>
      <c r="L160" s="226"/>
      <c r="M160" s="226"/>
      <c r="N160" s="226"/>
    </row>
    <row r="161" spans="1:14" ht="30" customHeight="1" thickTop="1" thickBot="1" x14ac:dyDescent="0.4">
      <c r="A161" s="312" t="s">
        <v>151</v>
      </c>
      <c r="B161" s="265" t="s">
        <v>354</v>
      </c>
      <c r="C161" s="266"/>
      <c r="D161" s="266">
        <v>0</v>
      </c>
      <c r="E161" s="266">
        <v>0</v>
      </c>
      <c r="F161" s="266">
        <v>0</v>
      </c>
      <c r="G161" s="266">
        <v>0</v>
      </c>
      <c r="H161" s="213"/>
      <c r="I161" s="226"/>
      <c r="J161" s="226"/>
      <c r="K161" s="226"/>
      <c r="L161" s="226"/>
      <c r="M161" s="226"/>
      <c r="N161" s="226"/>
    </row>
    <row r="162" spans="1:14" ht="30" customHeight="1" thickTop="1" thickBot="1" x14ac:dyDescent="0.4">
      <c r="A162" s="312" t="s">
        <v>152</v>
      </c>
      <c r="B162" s="297" t="s">
        <v>355</v>
      </c>
      <c r="C162" s="300"/>
      <c r="D162" s="301">
        <f>D131+D146+D154</f>
        <v>19935827</v>
      </c>
      <c r="E162" s="301">
        <f>E131+E146+E154</f>
        <v>20071768</v>
      </c>
      <c r="F162" s="301">
        <f>F131+F146+F154</f>
        <v>19833312</v>
      </c>
      <c r="G162" s="301">
        <f>G131+G146+G154</f>
        <v>21776617</v>
      </c>
      <c r="H162" s="213" t="s">
        <v>356</v>
      </c>
    </row>
    <row r="164" spans="1:14" ht="30" customHeight="1" x14ac:dyDescent="0.35">
      <c r="B164" s="217" t="s">
        <v>390</v>
      </c>
      <c r="C164" s="218"/>
      <c r="D164" s="227">
        <f>D127-D162</f>
        <v>0</v>
      </c>
      <c r="E164" s="227">
        <f>E127-E162</f>
        <v>0</v>
      </c>
      <c r="F164" s="228">
        <f>F127-F162</f>
        <v>0</v>
      </c>
      <c r="G164" s="228">
        <f>G127-G162</f>
        <v>0</v>
      </c>
      <c r="H164" s="229" t="s">
        <v>393</v>
      </c>
    </row>
    <row r="166" spans="1:14" ht="30" customHeight="1" thickBot="1" x14ac:dyDescent="0.4">
      <c r="D166" s="215"/>
      <c r="E166" s="215"/>
      <c r="F166" s="215"/>
      <c r="G166" s="215"/>
      <c r="H166" s="216"/>
    </row>
    <row r="167" spans="1:14" ht="24" thickBot="1" x14ac:dyDescent="0.4">
      <c r="A167" s="205"/>
      <c r="B167" s="205" t="s">
        <v>451</v>
      </c>
      <c r="C167" s="205"/>
      <c r="D167" s="205">
        <v>2010</v>
      </c>
      <c r="E167" s="205">
        <v>2011</v>
      </c>
      <c r="F167" s="205">
        <v>2012</v>
      </c>
      <c r="G167" s="205">
        <v>2013</v>
      </c>
      <c r="H167" s="205"/>
    </row>
    <row r="168" spans="1:14" ht="30" customHeight="1" thickTop="1" x14ac:dyDescent="0.35">
      <c r="D168" s="215"/>
      <c r="E168" s="215"/>
      <c r="F168" s="215"/>
      <c r="G168" s="215"/>
      <c r="H168" s="216"/>
    </row>
    <row r="169" spans="1:14" ht="24" thickBot="1" x14ac:dyDescent="0.4">
      <c r="A169" s="223"/>
      <c r="B169" s="223" t="s">
        <v>452</v>
      </c>
      <c r="C169" s="223"/>
      <c r="D169" s="223">
        <v>2010</v>
      </c>
      <c r="E169" s="223">
        <v>2011</v>
      </c>
      <c r="F169" s="223">
        <v>2012</v>
      </c>
      <c r="G169" s="223">
        <v>2013</v>
      </c>
      <c r="H169" s="223"/>
    </row>
    <row r="170" spans="1:14" ht="30" customHeight="1" thickTop="1" thickBot="1" x14ac:dyDescent="0.4">
      <c r="A170" s="364" t="s">
        <v>587</v>
      </c>
      <c r="B170" s="273" t="s">
        <v>609</v>
      </c>
      <c r="C170" s="266"/>
      <c r="D170" s="274">
        <f>+D80</f>
        <v>327912</v>
      </c>
      <c r="E170" s="274">
        <f>+E80</f>
        <v>990069</v>
      </c>
      <c r="F170" s="274">
        <f>+F80</f>
        <v>249361</v>
      </c>
      <c r="G170" s="274">
        <f>+G80</f>
        <v>-474973</v>
      </c>
      <c r="H170" s="211" t="s">
        <v>356</v>
      </c>
    </row>
    <row r="171" spans="1:14" ht="30" customHeight="1" thickTop="1" thickBot="1" x14ac:dyDescent="0.4">
      <c r="A171" s="364" t="s">
        <v>588</v>
      </c>
      <c r="B171" s="265" t="s">
        <v>312</v>
      </c>
      <c r="C171" s="266"/>
      <c r="D171" s="266">
        <v>0</v>
      </c>
      <c r="E171" s="266">
        <v>0</v>
      </c>
      <c r="F171" s="266">
        <v>0</v>
      </c>
      <c r="G171" s="266">
        <v>0</v>
      </c>
      <c r="H171" s="211"/>
    </row>
    <row r="172" spans="1:14" ht="30" customHeight="1" thickTop="1" thickBot="1" x14ac:dyDescent="0.4">
      <c r="A172" s="364" t="s">
        <v>589</v>
      </c>
      <c r="B172" s="265" t="s">
        <v>313</v>
      </c>
      <c r="C172" s="266"/>
      <c r="D172" s="266">
        <v>0</v>
      </c>
      <c r="E172" s="266">
        <v>0</v>
      </c>
      <c r="F172" s="266">
        <v>0</v>
      </c>
      <c r="G172" s="266">
        <v>0</v>
      </c>
      <c r="H172" s="207"/>
    </row>
    <row r="173" spans="1:14" ht="30" customHeight="1" thickTop="1" thickBot="1" x14ac:dyDescent="0.4">
      <c r="A173" s="364" t="s">
        <v>590</v>
      </c>
      <c r="B173" s="265" t="s">
        <v>376</v>
      </c>
      <c r="C173" s="266"/>
      <c r="D173" s="266">
        <v>0</v>
      </c>
      <c r="E173" s="266">
        <v>13660</v>
      </c>
      <c r="F173" s="266">
        <v>0</v>
      </c>
      <c r="G173" s="266">
        <v>0</v>
      </c>
      <c r="H173" s="211"/>
    </row>
    <row r="174" spans="1:14" ht="30" customHeight="1" thickTop="1" thickBot="1" x14ac:dyDescent="0.4">
      <c r="A174" s="364" t="s">
        <v>591</v>
      </c>
      <c r="B174" s="265" t="s">
        <v>368</v>
      </c>
      <c r="C174" s="266"/>
      <c r="D174" s="266">
        <v>0</v>
      </c>
      <c r="E174" s="266">
        <v>0</v>
      </c>
      <c r="F174" s="266">
        <v>0</v>
      </c>
      <c r="G174" s="266">
        <v>0</v>
      </c>
      <c r="H174" s="207"/>
    </row>
    <row r="175" spans="1:14" ht="30" customHeight="1" thickTop="1" thickBot="1" x14ac:dyDescent="0.4">
      <c r="A175" s="364" t="s">
        <v>593</v>
      </c>
      <c r="B175" s="265" t="s">
        <v>640</v>
      </c>
      <c r="C175" s="266"/>
      <c r="D175" s="266">
        <v>0</v>
      </c>
      <c r="E175" s="266">
        <v>0</v>
      </c>
      <c r="F175" s="266">
        <v>0</v>
      </c>
      <c r="G175" s="266">
        <v>0</v>
      </c>
      <c r="H175" s="207"/>
    </row>
    <row r="176" spans="1:14" ht="30" customHeight="1" thickTop="1" thickBot="1" x14ac:dyDescent="0.4">
      <c r="A176" s="364" t="s">
        <v>594</v>
      </c>
      <c r="B176" s="265" t="s">
        <v>642</v>
      </c>
      <c r="C176" s="266"/>
      <c r="D176" s="266">
        <v>0</v>
      </c>
      <c r="E176" s="266">
        <v>0</v>
      </c>
      <c r="F176" s="266">
        <v>0</v>
      </c>
      <c r="G176" s="266">
        <v>0</v>
      </c>
      <c r="H176" s="207"/>
    </row>
    <row r="177" spans="1:14" ht="30" customHeight="1" thickTop="1" thickBot="1" x14ac:dyDescent="0.4">
      <c r="A177" s="364" t="s">
        <v>592</v>
      </c>
      <c r="B177" s="265" t="s">
        <v>595</v>
      </c>
      <c r="C177" s="266"/>
      <c r="D177" s="266">
        <v>0</v>
      </c>
      <c r="E177" s="266">
        <v>-4098</v>
      </c>
      <c r="F177" s="266">
        <v>0</v>
      </c>
      <c r="G177" s="266">
        <v>0</v>
      </c>
      <c r="H177" s="207"/>
    </row>
    <row r="178" spans="1:14" ht="30" customHeight="1" thickTop="1" thickBot="1" x14ac:dyDescent="0.4">
      <c r="A178" s="364" t="s">
        <v>596</v>
      </c>
      <c r="B178" s="273" t="s">
        <v>610</v>
      </c>
      <c r="C178" s="266"/>
      <c r="D178" s="274">
        <f>SUM(D171:D177)</f>
        <v>0</v>
      </c>
      <c r="E178" s="274">
        <f>SUM(E171:E177)</f>
        <v>9562</v>
      </c>
      <c r="F178" s="274">
        <f t="shared" ref="F178:G178" si="9">SUM(F171:F177)</f>
        <v>0</v>
      </c>
      <c r="G178" s="274">
        <f t="shared" si="9"/>
        <v>0</v>
      </c>
      <c r="H178" s="211" t="s">
        <v>356</v>
      </c>
    </row>
    <row r="179" spans="1:14" ht="30" customHeight="1" thickTop="1" thickBot="1" x14ac:dyDescent="0.4">
      <c r="A179" s="364" t="s">
        <v>599</v>
      </c>
      <c r="B179" s="265" t="s">
        <v>597</v>
      </c>
      <c r="C179" s="266"/>
      <c r="D179" s="266">
        <v>0</v>
      </c>
      <c r="E179" s="266">
        <v>0</v>
      </c>
      <c r="F179" s="266">
        <v>0</v>
      </c>
      <c r="G179" s="266">
        <v>0</v>
      </c>
      <c r="H179" s="211"/>
    </row>
    <row r="180" spans="1:14" ht="30" customHeight="1" thickTop="1" thickBot="1" x14ac:dyDescent="0.4">
      <c r="A180" s="364" t="s">
        <v>600</v>
      </c>
      <c r="B180" s="265" t="s">
        <v>598</v>
      </c>
      <c r="C180" s="266"/>
      <c r="D180" s="266">
        <v>0</v>
      </c>
      <c r="E180" s="266">
        <v>0</v>
      </c>
      <c r="F180" s="266">
        <v>0</v>
      </c>
      <c r="G180" s="266">
        <v>0</v>
      </c>
      <c r="H180" s="207"/>
    </row>
    <row r="181" spans="1:14" ht="30" customHeight="1" thickTop="1" thickBot="1" x14ac:dyDescent="0.4">
      <c r="A181" s="364" t="s">
        <v>601</v>
      </c>
      <c r="B181" s="265" t="s">
        <v>607</v>
      </c>
      <c r="C181" s="266"/>
      <c r="D181" s="266">
        <v>-133561</v>
      </c>
      <c r="E181" s="266">
        <v>-104899</v>
      </c>
      <c r="F181" s="266">
        <v>-104117</v>
      </c>
      <c r="G181" s="266">
        <v>-104709</v>
      </c>
      <c r="H181" s="211"/>
    </row>
    <row r="182" spans="1:14" ht="30" customHeight="1" thickTop="1" thickBot="1" x14ac:dyDescent="0.4">
      <c r="A182" s="364" t="s">
        <v>602</v>
      </c>
      <c r="B182" s="265" t="s">
        <v>641</v>
      </c>
      <c r="C182" s="266"/>
      <c r="D182" s="266">
        <v>0</v>
      </c>
      <c r="E182" s="266">
        <v>0</v>
      </c>
      <c r="F182" s="266">
        <v>0</v>
      </c>
      <c r="G182" s="266">
        <v>0</v>
      </c>
      <c r="H182" s="211"/>
    </row>
    <row r="183" spans="1:14" ht="30" customHeight="1" thickTop="1" thickBot="1" x14ac:dyDescent="0.4">
      <c r="A183" s="364" t="s">
        <v>603</v>
      </c>
      <c r="B183" s="265" t="s">
        <v>643</v>
      </c>
      <c r="C183" s="266"/>
      <c r="D183" s="266">
        <v>0</v>
      </c>
      <c r="E183" s="266">
        <v>0</v>
      </c>
      <c r="F183" s="266">
        <v>0</v>
      </c>
      <c r="G183" s="266">
        <v>0</v>
      </c>
      <c r="H183" s="211"/>
    </row>
    <row r="184" spans="1:14" ht="30" customHeight="1" thickTop="1" thickBot="1" x14ac:dyDescent="0.4">
      <c r="A184" s="364" t="s">
        <v>604</v>
      </c>
      <c r="B184" s="265" t="s">
        <v>608</v>
      </c>
      <c r="C184" s="266"/>
      <c r="D184" s="266">
        <v>40069</v>
      </c>
      <c r="E184" s="266">
        <v>31471</v>
      </c>
      <c r="F184" s="266">
        <v>31235</v>
      </c>
      <c r="G184" s="266">
        <v>31413</v>
      </c>
      <c r="H184" s="207"/>
    </row>
    <row r="185" spans="1:14" ht="30" customHeight="1" thickTop="1" thickBot="1" x14ac:dyDescent="0.4">
      <c r="A185" s="364" t="s">
        <v>605</v>
      </c>
      <c r="B185" s="273" t="s">
        <v>611</v>
      </c>
      <c r="C185" s="274"/>
      <c r="D185" s="274">
        <f>SUM(D179:D184)</f>
        <v>-93492</v>
      </c>
      <c r="E185" s="274">
        <f t="shared" ref="E185:G185" si="10">SUM(E179:E184)</f>
        <v>-73428</v>
      </c>
      <c r="F185" s="274">
        <f t="shared" si="10"/>
        <v>-72882</v>
      </c>
      <c r="G185" s="274">
        <f t="shared" si="10"/>
        <v>-73296</v>
      </c>
      <c r="H185" s="211" t="s">
        <v>356</v>
      </c>
    </row>
    <row r="186" spans="1:14" ht="30" customHeight="1" thickTop="1" thickBot="1" x14ac:dyDescent="0.4">
      <c r="A186" s="364" t="s">
        <v>606</v>
      </c>
      <c r="B186" s="273" t="s">
        <v>612</v>
      </c>
      <c r="C186" s="274"/>
      <c r="D186" s="274">
        <f>+D170+D178+D185</f>
        <v>234420</v>
      </c>
      <c r="E186" s="274">
        <f>+E170+E178+E185</f>
        <v>926203</v>
      </c>
      <c r="F186" s="274">
        <f>+F170+F178+F185</f>
        <v>176479</v>
      </c>
      <c r="G186" s="274">
        <f>+G170+G178+G185</f>
        <v>-548269</v>
      </c>
      <c r="H186" s="211" t="s">
        <v>356</v>
      </c>
    </row>
    <row r="187" spans="1:14" ht="30" customHeight="1" x14ac:dyDescent="0.35">
      <c r="D187" s="215"/>
      <c r="E187" s="215"/>
      <c r="F187" s="215"/>
      <c r="G187" s="215"/>
      <c r="H187" s="216"/>
    </row>
    <row r="188" spans="1:14" ht="24" thickBot="1" x14ac:dyDescent="0.4">
      <c r="A188" s="223"/>
      <c r="B188" s="223" t="s">
        <v>453</v>
      </c>
      <c r="C188" s="223"/>
      <c r="D188" s="223">
        <v>2010</v>
      </c>
      <c r="E188" s="223">
        <v>2011</v>
      </c>
      <c r="F188" s="223">
        <v>2012</v>
      </c>
      <c r="G188" s="223">
        <v>2013</v>
      </c>
      <c r="H188" s="223"/>
      <c r="I188" s="226"/>
      <c r="J188" s="226"/>
      <c r="K188" s="226"/>
      <c r="L188" s="226"/>
      <c r="M188" s="226"/>
      <c r="N188" s="226"/>
    </row>
    <row r="189" spans="1:14" s="219" customFormat="1" ht="24" thickBot="1" x14ac:dyDescent="0.4">
      <c r="A189" s="308"/>
      <c r="B189" s="309"/>
      <c r="C189" s="309"/>
      <c r="D189" s="309"/>
      <c r="E189" s="309"/>
      <c r="F189" s="309"/>
      <c r="G189" s="309"/>
      <c r="H189" s="308"/>
      <c r="I189" s="310"/>
      <c r="J189" s="310"/>
      <c r="K189" s="310"/>
      <c r="L189" s="310"/>
      <c r="M189" s="310"/>
      <c r="N189" s="310"/>
    </row>
    <row r="190" spans="1:14" ht="30" customHeight="1" thickTop="1" thickBot="1" x14ac:dyDescent="0.4">
      <c r="A190" s="312"/>
      <c r="B190" s="265" t="s">
        <v>454</v>
      </c>
      <c r="C190" s="266"/>
      <c r="D190" s="266"/>
      <c r="E190" s="266">
        <f>+(E133+E136)-(D133+D136)</f>
        <v>0</v>
      </c>
      <c r="F190" s="266">
        <f>+(F133+F136)-(E133+E136)</f>
        <v>0</v>
      </c>
      <c r="G190" s="266">
        <f>+(G133+G136)-(F133+F136)</f>
        <v>1000000</v>
      </c>
      <c r="H190" s="213" t="s">
        <v>356</v>
      </c>
    </row>
    <row r="191" spans="1:14" ht="30" customHeight="1" thickTop="1" thickBot="1" x14ac:dyDescent="0.4">
      <c r="A191" s="312"/>
      <c r="B191" s="265" t="s">
        <v>455</v>
      </c>
      <c r="C191" s="266"/>
      <c r="D191" s="266"/>
      <c r="E191" s="266">
        <f>(E134+E135+E137+E140+E141+E142+E143)-(D134+D135+D137+D140+D141+D142+D143)</f>
        <v>990069</v>
      </c>
      <c r="F191" s="266">
        <f>(F134+F135+F137+F140+F141+F142+F143)-(E134+E135+E137+E140+E141+E142+E143)</f>
        <v>249361</v>
      </c>
      <c r="G191" s="266">
        <f>(G134+G135+G137+G140+G141+G142+G143)-(F134+F135+F137+F140+F141+F142+F143)</f>
        <v>-549973</v>
      </c>
      <c r="H191" s="213" t="s">
        <v>356</v>
      </c>
    </row>
    <row r="192" spans="1:14" ht="30" customHeight="1" thickTop="1" thickBot="1" x14ac:dyDescent="0.4">
      <c r="A192" s="312" t="s">
        <v>625</v>
      </c>
      <c r="B192" s="282" t="s">
        <v>394</v>
      </c>
      <c r="C192" s="300"/>
      <c r="D192" s="301"/>
      <c r="E192" s="301">
        <f>SUM(E190:E191)</f>
        <v>990069</v>
      </c>
      <c r="F192" s="301">
        <f>SUM(F190:F191)</f>
        <v>249361</v>
      </c>
      <c r="G192" s="301">
        <f>SUM(G190:G191)</f>
        <v>450027</v>
      </c>
      <c r="H192" s="213" t="s">
        <v>356</v>
      </c>
    </row>
    <row r="193" spans="1:9" ht="30" customHeight="1" thickBot="1" x14ac:dyDescent="0.4">
      <c r="B193" s="202"/>
    </row>
    <row r="194" spans="1:9" ht="30" customHeight="1" thickTop="1" thickBot="1" x14ac:dyDescent="0.4">
      <c r="A194" s="312"/>
      <c r="B194" s="305" t="s">
        <v>406</v>
      </c>
      <c r="C194" s="311"/>
      <c r="D194" s="312"/>
      <c r="E194" s="312">
        <v>0</v>
      </c>
      <c r="F194" s="312">
        <v>0</v>
      </c>
      <c r="G194" s="312">
        <v>0</v>
      </c>
      <c r="H194" s="213"/>
    </row>
    <row r="195" spans="1:9" ht="30" customHeight="1" thickTop="1" thickBot="1" x14ac:dyDescent="0.4">
      <c r="A195" s="312"/>
      <c r="B195" s="305" t="s">
        <v>405</v>
      </c>
      <c r="C195" s="311"/>
      <c r="D195" s="312"/>
      <c r="E195" s="312">
        <v>0</v>
      </c>
      <c r="F195" s="312">
        <v>0</v>
      </c>
      <c r="G195" s="312">
        <v>1000000</v>
      </c>
      <c r="H195" s="213"/>
    </row>
    <row r="196" spans="1:9" ht="30" customHeight="1" thickTop="1" thickBot="1" x14ac:dyDescent="0.4">
      <c r="A196" s="312"/>
      <c r="B196" s="305" t="s">
        <v>404</v>
      </c>
      <c r="C196" s="311"/>
      <c r="D196" s="312"/>
      <c r="E196" s="312">
        <v>0</v>
      </c>
      <c r="F196" s="312">
        <v>0</v>
      </c>
      <c r="G196" s="312">
        <v>0</v>
      </c>
      <c r="H196" s="213"/>
    </row>
    <row r="197" spans="1:9" s="219" customFormat="1" ht="30" customHeight="1" x14ac:dyDescent="0.35">
      <c r="A197" s="200"/>
      <c r="B197" s="230"/>
      <c r="C197" s="231"/>
      <c r="D197" s="231"/>
      <c r="E197" s="231"/>
      <c r="F197" s="232"/>
      <c r="G197" s="232"/>
      <c r="H197" s="213"/>
    </row>
    <row r="198" spans="1:9" ht="30" customHeight="1" x14ac:dyDescent="0.35">
      <c r="B198" s="233" t="s">
        <v>411</v>
      </c>
      <c r="C198" s="234"/>
      <c r="D198" s="234"/>
      <c r="E198" s="221">
        <f>+E190-E194-E195-E196</f>
        <v>0</v>
      </c>
      <c r="F198" s="221">
        <f>+F190-F194-F195-F196</f>
        <v>0</v>
      </c>
      <c r="G198" s="222">
        <f>+G190-G194-G195-G196</f>
        <v>0</v>
      </c>
      <c r="H198" s="229" t="s">
        <v>393</v>
      </c>
    </row>
    <row r="199" spans="1:9" ht="30" customHeight="1" thickBot="1" x14ac:dyDescent="0.4">
      <c r="B199" s="202"/>
    </row>
    <row r="200" spans="1:9" ht="30" customHeight="1" thickTop="1" thickBot="1" x14ac:dyDescent="0.4">
      <c r="A200" s="363" t="s">
        <v>162</v>
      </c>
      <c r="B200" s="305" t="s">
        <v>389</v>
      </c>
      <c r="C200" s="311"/>
      <c r="D200" s="312"/>
      <c r="E200" s="312">
        <f>+E141</f>
        <v>990069</v>
      </c>
      <c r="F200" s="312">
        <f>+F141</f>
        <v>249361</v>
      </c>
      <c r="G200" s="312">
        <f>+G141</f>
        <v>-474973</v>
      </c>
      <c r="H200" s="213"/>
    </row>
    <row r="201" spans="1:9" ht="30" customHeight="1" thickTop="1" thickBot="1" x14ac:dyDescent="0.4">
      <c r="A201" s="312" t="s">
        <v>613</v>
      </c>
      <c r="B201" s="305" t="s">
        <v>244</v>
      </c>
      <c r="C201" s="311"/>
      <c r="D201" s="312"/>
      <c r="E201" s="312">
        <v>0</v>
      </c>
      <c r="F201" s="312">
        <v>0</v>
      </c>
      <c r="G201" s="312">
        <v>-75000</v>
      </c>
      <c r="H201" s="213"/>
    </row>
    <row r="202" spans="1:9" ht="30" customHeight="1" thickTop="1" thickBot="1" x14ac:dyDescent="0.4">
      <c r="A202" s="312"/>
      <c r="B202" s="305" t="s">
        <v>407</v>
      </c>
      <c r="C202" s="311"/>
      <c r="D202" s="312"/>
      <c r="E202" s="312">
        <f>-E194</f>
        <v>0</v>
      </c>
      <c r="F202" s="312">
        <f>-F194</f>
        <v>0</v>
      </c>
      <c r="G202" s="312">
        <f>-G194</f>
        <v>0</v>
      </c>
      <c r="H202" s="213"/>
    </row>
    <row r="203" spans="1:9" ht="30" customHeight="1" thickTop="1" thickBot="1" x14ac:dyDescent="0.4">
      <c r="A203" s="312"/>
      <c r="B203" s="305" t="s">
        <v>408</v>
      </c>
      <c r="C203" s="311"/>
      <c r="D203" s="312"/>
      <c r="E203" s="312">
        <v>0</v>
      </c>
      <c r="F203" s="312">
        <v>0</v>
      </c>
      <c r="G203" s="312">
        <v>0</v>
      </c>
      <c r="H203" s="213"/>
    </row>
    <row r="204" spans="1:9" ht="30" customHeight="1" thickTop="1" thickBot="1" x14ac:dyDescent="0.4">
      <c r="A204" s="312"/>
      <c r="B204" s="305" t="s">
        <v>409</v>
      </c>
      <c r="C204" s="311"/>
      <c r="D204" s="312"/>
      <c r="E204" s="312">
        <v>0</v>
      </c>
      <c r="F204" s="312">
        <v>0</v>
      </c>
      <c r="G204" s="312">
        <v>0</v>
      </c>
      <c r="H204" s="214"/>
    </row>
    <row r="205" spans="1:9" s="219" customFormat="1" ht="30" customHeight="1" x14ac:dyDescent="0.35">
      <c r="A205" s="200"/>
      <c r="B205" s="220"/>
      <c r="C205" s="220"/>
      <c r="D205" s="220"/>
      <c r="E205" s="220"/>
      <c r="F205" s="220"/>
      <c r="G205" s="220"/>
      <c r="H205" s="212"/>
      <c r="I205" s="235"/>
    </row>
    <row r="206" spans="1:9" s="219" customFormat="1" ht="30" customHeight="1" x14ac:dyDescent="0.35">
      <c r="A206" s="200"/>
      <c r="B206" s="233" t="s">
        <v>412</v>
      </c>
      <c r="C206" s="236"/>
      <c r="D206" s="236"/>
      <c r="E206" s="237">
        <f>+E191-E200-E201-E202-E203-E204</f>
        <v>0</v>
      </c>
      <c r="F206" s="237">
        <f>+F191-F200-F201-F202-F203-F204</f>
        <v>0</v>
      </c>
      <c r="G206" s="237">
        <f>+G191-G200-G201-G202-G203-G204</f>
        <v>0</v>
      </c>
      <c r="H206" s="257" t="s">
        <v>393</v>
      </c>
    </row>
    <row r="207" spans="1:9" ht="30" customHeight="1" x14ac:dyDescent="0.35">
      <c r="B207" s="214"/>
      <c r="C207" s="214"/>
      <c r="D207" s="214"/>
      <c r="E207" s="214"/>
      <c r="F207" s="214"/>
      <c r="G207" s="214"/>
      <c r="H207" s="212"/>
    </row>
    <row r="209" spans="1:8" ht="30" customHeight="1" x14ac:dyDescent="0.35">
      <c r="A209" s="196"/>
      <c r="B209" s="196" t="s">
        <v>415</v>
      </c>
      <c r="C209" s="197"/>
      <c r="D209" s="198"/>
      <c r="E209" s="198"/>
      <c r="F209" s="198"/>
      <c r="G209" s="198"/>
      <c r="H209" s="196"/>
    </row>
    <row r="211" spans="1:8" ht="30" customHeight="1" thickBot="1" x14ac:dyDescent="0.4">
      <c r="A211" s="238"/>
      <c r="B211" s="238" t="s">
        <v>14</v>
      </c>
      <c r="C211" s="238"/>
      <c r="D211" s="238"/>
      <c r="E211" s="238">
        <v>2011</v>
      </c>
      <c r="F211" s="238">
        <v>2012</v>
      </c>
      <c r="G211" s="238">
        <v>2013</v>
      </c>
      <c r="H211" s="238"/>
    </row>
    <row r="212" spans="1:8" ht="30" customHeight="1" thickBot="1" x14ac:dyDescent="0.4"/>
    <row r="213" spans="1:8" ht="30" customHeight="1" thickBot="1" x14ac:dyDescent="0.4">
      <c r="A213" s="239"/>
      <c r="B213" s="239" t="s">
        <v>379</v>
      </c>
      <c r="C213" s="240"/>
      <c r="D213" s="240"/>
      <c r="E213" s="239">
        <v>2011</v>
      </c>
      <c r="F213" s="239">
        <v>2012</v>
      </c>
      <c r="G213" s="239">
        <v>2013</v>
      </c>
      <c r="H213" s="239"/>
    </row>
    <row r="214" spans="1:8" ht="30" customHeight="1" thickTop="1" thickBot="1" x14ac:dyDescent="0.4">
      <c r="A214" s="363" t="s">
        <v>85</v>
      </c>
      <c r="B214" s="265" t="s">
        <v>494</v>
      </c>
      <c r="C214" s="266"/>
      <c r="D214" s="266"/>
      <c r="E214" s="266">
        <f t="shared" ref="E214:G215" si="11">+E16</f>
        <v>722078</v>
      </c>
      <c r="F214" s="266">
        <f t="shared" si="11"/>
        <v>632851</v>
      </c>
      <c r="G214" s="266">
        <f t="shared" si="11"/>
        <v>887581</v>
      </c>
      <c r="H214" s="213"/>
    </row>
    <row r="215" spans="1:8" ht="30" customHeight="1" thickTop="1" thickBot="1" x14ac:dyDescent="0.4">
      <c r="A215" s="363" t="s">
        <v>86</v>
      </c>
      <c r="B215" s="265" t="s">
        <v>495</v>
      </c>
      <c r="C215" s="266"/>
      <c r="D215" s="266"/>
      <c r="E215" s="266">
        <f t="shared" si="11"/>
        <v>6725568</v>
      </c>
      <c r="F215" s="266">
        <f t="shared" si="11"/>
        <v>5888194</v>
      </c>
      <c r="G215" s="266">
        <f t="shared" si="11"/>
        <v>5885169</v>
      </c>
      <c r="H215" s="213"/>
    </row>
    <row r="216" spans="1:8" ht="24.75" thickTop="1" thickBot="1" x14ac:dyDescent="0.4">
      <c r="A216" s="363" t="s">
        <v>107</v>
      </c>
      <c r="B216" s="265" t="s">
        <v>522</v>
      </c>
      <c r="C216" s="266"/>
      <c r="D216" s="266"/>
      <c r="E216" s="266">
        <f>+E19</f>
        <v>0</v>
      </c>
      <c r="F216" s="266">
        <f>+F19</f>
        <v>0</v>
      </c>
      <c r="G216" s="266">
        <f>+G19</f>
        <v>0</v>
      </c>
      <c r="H216" s="213"/>
    </row>
    <row r="217" spans="1:8" ht="30" customHeight="1" thickTop="1" thickBot="1" x14ac:dyDescent="0.4">
      <c r="A217" s="427" t="s">
        <v>92</v>
      </c>
      <c r="B217" s="270" t="s">
        <v>521</v>
      </c>
      <c r="C217" s="271"/>
      <c r="D217" s="271"/>
      <c r="E217" s="271">
        <f>+E30</f>
        <v>49755</v>
      </c>
      <c r="F217" s="271">
        <f>+F30</f>
        <v>78309</v>
      </c>
      <c r="G217" s="271">
        <f>+G30</f>
        <v>55569</v>
      </c>
      <c r="H217" s="213"/>
    </row>
    <row r="218" spans="1:8" ht="30" customHeight="1" thickTop="1" thickBot="1" x14ac:dyDescent="0.4">
      <c r="A218" s="363" t="s">
        <v>87</v>
      </c>
      <c r="B218" s="265" t="s">
        <v>523</v>
      </c>
      <c r="C218" s="266"/>
      <c r="D218" s="266"/>
      <c r="E218" s="266">
        <f>+E20</f>
        <v>0</v>
      </c>
      <c r="F218" s="266">
        <f>+F20</f>
        <v>0</v>
      </c>
      <c r="G218" s="266">
        <f>+G20</f>
        <v>5000</v>
      </c>
      <c r="H218" s="213"/>
    </row>
    <row r="219" spans="1:8" ht="30" customHeight="1" thickTop="1" thickBot="1" x14ac:dyDescent="0.4">
      <c r="A219" s="363" t="s">
        <v>93</v>
      </c>
      <c r="B219" s="265" t="s">
        <v>524</v>
      </c>
      <c r="C219" s="274"/>
      <c r="D219" s="274"/>
      <c r="E219" s="266">
        <f>+E31</f>
        <v>0</v>
      </c>
      <c r="F219" s="266">
        <f>+F31</f>
        <v>0</v>
      </c>
      <c r="G219" s="266">
        <f>+G31</f>
        <v>0</v>
      </c>
      <c r="H219" s="213"/>
    </row>
    <row r="220" spans="1:8" ht="30" customHeight="1" thickTop="1" thickBot="1" x14ac:dyDescent="0.4">
      <c r="A220" s="363" t="s">
        <v>614</v>
      </c>
      <c r="B220" s="282" t="s">
        <v>381</v>
      </c>
      <c r="C220" s="300"/>
      <c r="D220" s="301"/>
      <c r="E220" s="301">
        <f>SUM(E214:E219)</f>
        <v>7497401</v>
      </c>
      <c r="F220" s="301">
        <f>SUM(F214:F219)</f>
        <v>6599354</v>
      </c>
      <c r="G220" s="301">
        <f>SUM(G214:G219)</f>
        <v>6833319</v>
      </c>
      <c r="H220" s="213"/>
    </row>
    <row r="221" spans="1:8" ht="30" customHeight="1" thickBot="1" x14ac:dyDescent="0.4"/>
    <row r="222" spans="1:8" ht="30" customHeight="1" thickBot="1" x14ac:dyDescent="0.4">
      <c r="A222" s="239"/>
      <c r="B222" s="239" t="s">
        <v>380</v>
      </c>
      <c r="C222" s="240"/>
      <c r="D222" s="240"/>
      <c r="E222" s="239">
        <v>2011</v>
      </c>
      <c r="F222" s="239">
        <v>2012</v>
      </c>
      <c r="G222" s="239">
        <v>2013</v>
      </c>
      <c r="H222" s="239"/>
    </row>
    <row r="223" spans="1:8" ht="30" customHeight="1" thickTop="1" thickBot="1" x14ac:dyDescent="0.4">
      <c r="A223" s="363" t="s">
        <v>88</v>
      </c>
      <c r="B223" s="305" t="s">
        <v>516</v>
      </c>
      <c r="C223" s="266"/>
      <c r="D223" s="266"/>
      <c r="E223" s="266">
        <f>E22</f>
        <v>-1141697</v>
      </c>
      <c r="F223" s="266">
        <f>F22</f>
        <v>-993330</v>
      </c>
      <c r="G223" s="266">
        <f>G22</f>
        <v>-1130663</v>
      </c>
      <c r="H223" s="213"/>
    </row>
    <row r="224" spans="1:8" ht="30" customHeight="1" thickTop="1" thickBot="1" x14ac:dyDescent="0.4">
      <c r="A224" s="363" t="s">
        <v>89</v>
      </c>
      <c r="B224" s="305" t="s">
        <v>517</v>
      </c>
      <c r="C224" s="266"/>
      <c r="D224" s="266"/>
      <c r="E224" s="266">
        <f t="shared" ref="E224:G226" si="12">+E23</f>
        <v>-199492</v>
      </c>
      <c r="F224" s="266">
        <f t="shared" si="12"/>
        <v>-163002</v>
      </c>
      <c r="G224" s="266">
        <f t="shared" si="12"/>
        <v>-226190</v>
      </c>
      <c r="H224" s="213"/>
    </row>
    <row r="225" spans="1:8" ht="30" customHeight="1" thickTop="1" thickBot="1" x14ac:dyDescent="0.4">
      <c r="A225" s="363" t="s">
        <v>481</v>
      </c>
      <c r="B225" s="305" t="s">
        <v>518</v>
      </c>
      <c r="C225" s="266"/>
      <c r="D225" s="266"/>
      <c r="E225" s="266">
        <f t="shared" si="12"/>
        <v>-105401</v>
      </c>
      <c r="F225" s="266">
        <f t="shared" si="12"/>
        <v>-128789</v>
      </c>
      <c r="G225" s="266">
        <f t="shared" si="12"/>
        <v>-128320</v>
      </c>
      <c r="H225" s="213"/>
    </row>
    <row r="226" spans="1:8" ht="30" customHeight="1" thickTop="1" thickBot="1" x14ac:dyDescent="0.4">
      <c r="A226" s="363" t="s">
        <v>487</v>
      </c>
      <c r="B226" s="305" t="s">
        <v>519</v>
      </c>
      <c r="C226" s="266"/>
      <c r="D226" s="266"/>
      <c r="E226" s="266">
        <f t="shared" si="12"/>
        <v>0</v>
      </c>
      <c r="F226" s="266">
        <f t="shared" si="12"/>
        <v>0</v>
      </c>
      <c r="G226" s="266">
        <f t="shared" si="12"/>
        <v>-200</v>
      </c>
      <c r="H226" s="213"/>
    </row>
    <row r="227" spans="1:8" ht="30" customHeight="1" thickBot="1" x14ac:dyDescent="0.4">
      <c r="A227" s="258" t="s">
        <v>108</v>
      </c>
      <c r="B227" s="270" t="s">
        <v>520</v>
      </c>
      <c r="C227" s="271"/>
      <c r="D227" s="271"/>
      <c r="E227" s="271">
        <f>+E42</f>
        <v>-1313586</v>
      </c>
      <c r="F227" s="271">
        <f>+F42</f>
        <v>-1336606</v>
      </c>
      <c r="G227" s="271">
        <f>+G42</f>
        <v>-1368114</v>
      </c>
      <c r="H227" s="213"/>
    </row>
    <row r="228" spans="1:8" ht="30" customHeight="1" thickBot="1" x14ac:dyDescent="0.4">
      <c r="A228" s="258" t="s">
        <v>96</v>
      </c>
      <c r="B228" s="270" t="s">
        <v>529</v>
      </c>
      <c r="C228" s="271"/>
      <c r="D228" s="271"/>
      <c r="E228" s="271">
        <f t="shared" ref="E228:G229" si="13">+E40</f>
        <v>0</v>
      </c>
      <c r="F228" s="271">
        <f t="shared" si="13"/>
        <v>0</v>
      </c>
      <c r="G228" s="271">
        <f t="shared" si="13"/>
        <v>0</v>
      </c>
      <c r="H228" s="213"/>
    </row>
    <row r="229" spans="1:8" ht="30" customHeight="1" thickBot="1" x14ac:dyDescent="0.4">
      <c r="A229" s="258" t="s">
        <v>97</v>
      </c>
      <c r="B229" s="270" t="s">
        <v>530</v>
      </c>
      <c r="C229" s="271"/>
      <c r="D229" s="271"/>
      <c r="E229" s="271">
        <f t="shared" si="13"/>
        <v>-10038</v>
      </c>
      <c r="F229" s="271">
        <f t="shared" si="13"/>
        <v>-9028</v>
      </c>
      <c r="G229" s="271">
        <f t="shared" si="13"/>
        <v>-11082</v>
      </c>
      <c r="H229" s="213"/>
    </row>
    <row r="230" spans="1:8" ht="30" customHeight="1" thickTop="1" thickBot="1" x14ac:dyDescent="0.4">
      <c r="A230" s="363" t="s">
        <v>577</v>
      </c>
      <c r="B230" s="337" t="s">
        <v>578</v>
      </c>
      <c r="C230" s="279"/>
      <c r="D230" s="279"/>
      <c r="E230" s="279">
        <f t="shared" ref="E230:G231" si="14">+E45</f>
        <v>0</v>
      </c>
      <c r="F230" s="279">
        <f t="shared" si="14"/>
        <v>0</v>
      </c>
      <c r="G230" s="279">
        <f t="shared" si="14"/>
        <v>0</v>
      </c>
      <c r="H230" s="213"/>
    </row>
    <row r="231" spans="1:8" ht="30" customHeight="1" thickTop="1" thickBot="1" x14ac:dyDescent="0.4">
      <c r="A231" s="363" t="s">
        <v>586</v>
      </c>
      <c r="B231" s="337" t="s">
        <v>711</v>
      </c>
      <c r="C231" s="279"/>
      <c r="D231" s="279"/>
      <c r="E231" s="279">
        <f t="shared" si="14"/>
        <v>0</v>
      </c>
      <c r="F231" s="279">
        <f t="shared" si="14"/>
        <v>0</v>
      </c>
      <c r="G231" s="279">
        <f t="shared" si="14"/>
        <v>0</v>
      </c>
      <c r="H231" s="213"/>
    </row>
    <row r="232" spans="1:8" ht="30" customHeight="1" thickBot="1" x14ac:dyDescent="0.4">
      <c r="A232" s="258" t="s">
        <v>463</v>
      </c>
      <c r="B232" s="338" t="s">
        <v>579</v>
      </c>
      <c r="C232" s="339"/>
      <c r="D232" s="339"/>
      <c r="E232" s="339">
        <f>+E52</f>
        <v>0</v>
      </c>
      <c r="F232" s="339">
        <f>+F52</f>
        <v>0</v>
      </c>
      <c r="G232" s="339">
        <f>+G52</f>
        <v>0</v>
      </c>
      <c r="H232" s="213"/>
    </row>
    <row r="233" spans="1:8" ht="30" customHeight="1" thickTop="1" thickBot="1" x14ac:dyDescent="0.4">
      <c r="A233" s="363" t="s">
        <v>615</v>
      </c>
      <c r="B233" s="302" t="s">
        <v>391</v>
      </c>
      <c r="C233" s="303"/>
      <c r="D233" s="304"/>
      <c r="E233" s="304">
        <f>SUM(E223:E232)</f>
        <v>-2770214</v>
      </c>
      <c r="F233" s="304">
        <f t="shared" ref="F233:G233" si="15">SUM(F223:F232)</f>
        <v>-2630755</v>
      </c>
      <c r="G233" s="304">
        <f t="shared" si="15"/>
        <v>-2864569</v>
      </c>
      <c r="H233" s="213"/>
    </row>
    <row r="234" spans="1:8" s="294" customFormat="1" ht="30" customHeight="1" thickBot="1" x14ac:dyDescent="0.4">
      <c r="A234" s="289"/>
      <c r="B234" s="290"/>
      <c r="C234" s="291"/>
      <c r="D234" s="292"/>
      <c r="E234" s="292"/>
      <c r="F234" s="292"/>
      <c r="G234" s="292"/>
      <c r="H234" s="293"/>
    </row>
    <row r="235" spans="1:8" ht="30" customHeight="1" thickTop="1" thickBot="1" x14ac:dyDescent="0.4">
      <c r="A235" s="363"/>
      <c r="B235" s="280" t="s">
        <v>473</v>
      </c>
      <c r="C235" s="281"/>
      <c r="D235" s="281"/>
      <c r="E235" s="281"/>
      <c r="F235" s="281"/>
      <c r="G235" s="281"/>
      <c r="H235" s="213"/>
    </row>
    <row r="236" spans="1:8" ht="30" customHeight="1" thickTop="1" thickBot="1" x14ac:dyDescent="0.4">
      <c r="A236" s="363" t="s">
        <v>615</v>
      </c>
      <c r="B236" s="359" t="s">
        <v>391</v>
      </c>
      <c r="C236" s="281"/>
      <c r="D236" s="281"/>
      <c r="E236" s="283">
        <f>+E233</f>
        <v>-2770214</v>
      </c>
      <c r="F236" s="283">
        <f t="shared" ref="F236:G236" si="16">+F233</f>
        <v>-2630755</v>
      </c>
      <c r="G236" s="283">
        <f t="shared" si="16"/>
        <v>-2864569</v>
      </c>
      <c r="H236" s="213"/>
    </row>
    <row r="237" spans="1:8" ht="30" customHeight="1" thickTop="1" thickBot="1" x14ac:dyDescent="0.4">
      <c r="A237" s="363" t="s">
        <v>623</v>
      </c>
      <c r="B237" s="265" t="s">
        <v>475</v>
      </c>
      <c r="C237" s="281"/>
      <c r="D237" s="281"/>
      <c r="E237" s="283">
        <f t="shared" ref="E237:G238" si="17">-(E116-D116)</f>
        <v>1414</v>
      </c>
      <c r="F237" s="283">
        <f t="shared" si="17"/>
        <v>7183</v>
      </c>
      <c r="G237" s="283">
        <f t="shared" si="17"/>
        <v>-5429</v>
      </c>
      <c r="H237" s="213"/>
    </row>
    <row r="238" spans="1:8" ht="30" customHeight="1" thickTop="1" thickBot="1" x14ac:dyDescent="0.4">
      <c r="A238" s="363" t="s">
        <v>624</v>
      </c>
      <c r="B238" s="265" t="s">
        <v>476</v>
      </c>
      <c r="C238" s="281"/>
      <c r="D238" s="281"/>
      <c r="E238" s="283">
        <f t="shared" si="17"/>
        <v>8906</v>
      </c>
      <c r="F238" s="283">
        <f t="shared" si="17"/>
        <v>4818</v>
      </c>
      <c r="G238" s="283">
        <f t="shared" si="17"/>
        <v>-18450</v>
      </c>
      <c r="H238" s="213"/>
    </row>
    <row r="239" spans="1:8" ht="30" customHeight="1" thickBot="1" x14ac:dyDescent="0.4">
      <c r="A239" s="258" t="s">
        <v>96</v>
      </c>
      <c r="B239" s="286" t="s">
        <v>531</v>
      </c>
      <c r="C239" s="284"/>
      <c r="D239" s="284"/>
      <c r="E239" s="285">
        <f>+E40</f>
        <v>0</v>
      </c>
      <c r="F239" s="285">
        <f>+F40</f>
        <v>0</v>
      </c>
      <c r="G239" s="285">
        <f>+G40</f>
        <v>0</v>
      </c>
      <c r="H239" s="213"/>
    </row>
    <row r="240" spans="1:8" ht="30" customHeight="1" thickBot="1" x14ac:dyDescent="0.4">
      <c r="A240" s="258" t="s">
        <v>97</v>
      </c>
      <c r="B240" s="286" t="s">
        <v>532</v>
      </c>
      <c r="C240" s="284"/>
      <c r="D240" s="284"/>
      <c r="E240" s="285">
        <f>-E41</f>
        <v>10038</v>
      </c>
      <c r="F240" s="285">
        <f>-F41</f>
        <v>9028</v>
      </c>
      <c r="G240" s="285">
        <f>-G41</f>
        <v>11082</v>
      </c>
      <c r="H240" s="213"/>
    </row>
    <row r="241" spans="1:8" ht="30" customHeight="1" thickTop="1" thickBot="1" x14ac:dyDescent="0.4">
      <c r="A241" s="363" t="s">
        <v>616</v>
      </c>
      <c r="B241" s="287" t="s">
        <v>474</v>
      </c>
      <c r="C241" s="281"/>
      <c r="D241" s="281"/>
      <c r="E241" s="288">
        <f>SUM(E236:E240)</f>
        <v>-2749856</v>
      </c>
      <c r="F241" s="288">
        <f>SUM(F236:F240)</f>
        <v>-2609726</v>
      </c>
      <c r="G241" s="288">
        <f>SUM(G236:G240)</f>
        <v>-2877366</v>
      </c>
      <c r="H241" s="213"/>
    </row>
    <row r="242" spans="1:8" ht="30" customHeight="1" thickBot="1" x14ac:dyDescent="0.4">
      <c r="B242" s="241"/>
      <c r="C242" s="242"/>
      <c r="D242" s="242"/>
      <c r="E242" s="243"/>
      <c r="F242" s="243"/>
      <c r="G242" s="243"/>
      <c r="H242" s="213"/>
    </row>
    <row r="243" spans="1:8" ht="30" customHeight="1" thickBot="1" x14ac:dyDescent="0.4">
      <c r="A243" s="239"/>
      <c r="B243" s="239" t="s">
        <v>31</v>
      </c>
      <c r="C243" s="240"/>
      <c r="D243" s="240"/>
      <c r="E243" s="239">
        <v>2011</v>
      </c>
      <c r="F243" s="239">
        <v>2012</v>
      </c>
      <c r="G243" s="239">
        <v>2013</v>
      </c>
      <c r="H243" s="239"/>
    </row>
    <row r="244" spans="1:8" ht="30" customHeight="1" thickTop="1" thickBot="1" x14ac:dyDescent="0.4">
      <c r="A244" s="363" t="s">
        <v>496</v>
      </c>
      <c r="B244" s="265" t="s">
        <v>499</v>
      </c>
      <c r="C244" s="266"/>
      <c r="D244" s="266"/>
      <c r="E244" s="266">
        <f>+E47</f>
        <v>-420408</v>
      </c>
      <c r="F244" s="266">
        <f>+F47</f>
        <v>-438170</v>
      </c>
      <c r="G244" s="266">
        <f>+G47</f>
        <v>-444430</v>
      </c>
      <c r="H244" s="213"/>
    </row>
    <row r="245" spans="1:8" ht="30" customHeight="1" thickTop="1" thickBot="1" x14ac:dyDescent="0.4">
      <c r="A245" s="363" t="s">
        <v>498</v>
      </c>
      <c r="B245" s="265" t="s">
        <v>497</v>
      </c>
      <c r="C245" s="266"/>
      <c r="D245" s="266"/>
      <c r="E245" s="266">
        <f>+E54</f>
        <v>0</v>
      </c>
      <c r="F245" s="266">
        <f>+F54</f>
        <v>0</v>
      </c>
      <c r="G245" s="266">
        <f>+G54</f>
        <v>-16000</v>
      </c>
      <c r="H245" s="213"/>
    </row>
    <row r="246" spans="1:8" ht="30" customHeight="1" thickTop="1" thickBot="1" x14ac:dyDescent="0.4">
      <c r="A246" s="363" t="s">
        <v>617</v>
      </c>
      <c r="B246" s="282" t="s">
        <v>395</v>
      </c>
      <c r="C246" s="300"/>
      <c r="D246" s="301"/>
      <c r="E246" s="301">
        <f>SUM(E244:E245)</f>
        <v>-420408</v>
      </c>
      <c r="F246" s="301">
        <f>SUM(F244:F245)</f>
        <v>-438170</v>
      </c>
      <c r="G246" s="301">
        <f>SUM(G244:G245)</f>
        <v>-460430</v>
      </c>
      <c r="H246" s="213"/>
    </row>
    <row r="247" spans="1:8" ht="30" customHeight="1" thickBot="1" x14ac:dyDescent="0.4"/>
    <row r="248" spans="1:8" ht="30" customHeight="1" thickBot="1" x14ac:dyDescent="0.4">
      <c r="A248" s="239"/>
      <c r="B248" s="239" t="s">
        <v>383</v>
      </c>
      <c r="C248" s="240"/>
      <c r="D248" s="240"/>
      <c r="E248" s="239">
        <v>2011</v>
      </c>
      <c r="F248" s="239">
        <v>2012</v>
      </c>
      <c r="G248" s="239">
        <v>2013</v>
      </c>
      <c r="H248" s="239"/>
    </row>
    <row r="249" spans="1:8" ht="30" customHeight="1" thickTop="1" thickBot="1" x14ac:dyDescent="0.4">
      <c r="A249" s="363" t="s">
        <v>614</v>
      </c>
      <c r="B249" s="265" t="s">
        <v>397</v>
      </c>
      <c r="C249" s="266"/>
      <c r="D249" s="266"/>
      <c r="E249" s="266">
        <f>+E220</f>
        <v>7497401</v>
      </c>
      <c r="F249" s="266">
        <f>+F220</f>
        <v>6599354</v>
      </c>
      <c r="G249" s="266">
        <f>+G220</f>
        <v>6833319</v>
      </c>
      <c r="H249" s="213"/>
    </row>
    <row r="250" spans="1:8" ht="30" customHeight="1" thickTop="1" thickBot="1" x14ac:dyDescent="0.4">
      <c r="A250" s="363" t="s">
        <v>615</v>
      </c>
      <c r="B250" s="265" t="s">
        <v>398</v>
      </c>
      <c r="C250" s="274"/>
      <c r="D250" s="274"/>
      <c r="E250" s="266">
        <f>+E233</f>
        <v>-2770214</v>
      </c>
      <c r="F250" s="266">
        <f>+F233</f>
        <v>-2630755</v>
      </c>
      <c r="G250" s="266">
        <f>+G233</f>
        <v>-2864569</v>
      </c>
      <c r="H250" s="213"/>
    </row>
    <row r="251" spans="1:8" ht="30" customHeight="1" thickTop="1" thickBot="1" x14ac:dyDescent="0.4">
      <c r="A251" s="363" t="s">
        <v>617</v>
      </c>
      <c r="B251" s="265" t="s">
        <v>413</v>
      </c>
      <c r="C251" s="274"/>
      <c r="D251" s="274"/>
      <c r="E251" s="266">
        <f>+E246</f>
        <v>-420408</v>
      </c>
      <c r="F251" s="266">
        <f t="shared" ref="F251:G251" si="18">+F246</f>
        <v>-438170</v>
      </c>
      <c r="G251" s="266">
        <f t="shared" si="18"/>
        <v>-460430</v>
      </c>
      <c r="H251" s="213"/>
    </row>
    <row r="252" spans="1:8" ht="30" customHeight="1" thickTop="1" thickBot="1" x14ac:dyDescent="0.4">
      <c r="A252" s="363" t="s">
        <v>618</v>
      </c>
      <c r="B252" s="282" t="s">
        <v>396</v>
      </c>
      <c r="C252" s="300"/>
      <c r="D252" s="301"/>
      <c r="E252" s="301">
        <f>SUM(E249:E251)</f>
        <v>4306779</v>
      </c>
      <c r="F252" s="301">
        <f t="shared" ref="F252:G252" si="19">SUM(F249:F251)</f>
        <v>3530429</v>
      </c>
      <c r="G252" s="301">
        <f t="shared" si="19"/>
        <v>3508320</v>
      </c>
      <c r="H252" s="213"/>
    </row>
    <row r="253" spans="1:8" ht="30" customHeight="1" thickBot="1" x14ac:dyDescent="0.4"/>
    <row r="254" spans="1:8" ht="30" customHeight="1" thickBot="1" x14ac:dyDescent="0.4">
      <c r="A254" s="239"/>
      <c r="B254" s="239" t="s">
        <v>401</v>
      </c>
      <c r="C254" s="240"/>
      <c r="D254" s="240"/>
      <c r="E254" s="239">
        <v>2011</v>
      </c>
      <c r="F254" s="239">
        <v>2012</v>
      </c>
      <c r="G254" s="239">
        <v>2013</v>
      </c>
      <c r="H254" s="239"/>
    </row>
    <row r="255" spans="1:8" ht="30" customHeight="1" thickTop="1" thickBot="1" x14ac:dyDescent="0.4">
      <c r="A255" s="363" t="s">
        <v>618</v>
      </c>
      <c r="B255" s="265" t="s">
        <v>399</v>
      </c>
      <c r="C255" s="266"/>
      <c r="D255" s="266"/>
      <c r="E255" s="266">
        <f>E252</f>
        <v>4306779</v>
      </c>
      <c r="F255" s="266">
        <f t="shared" ref="F255:G255" si="20">F252</f>
        <v>3530429</v>
      </c>
      <c r="G255" s="266">
        <f t="shared" si="20"/>
        <v>3508320</v>
      </c>
      <c r="H255" s="213"/>
    </row>
    <row r="256" spans="1:8" ht="30" customHeight="1" thickTop="1" thickBot="1" x14ac:dyDescent="0.4">
      <c r="A256" s="363" t="s">
        <v>489</v>
      </c>
      <c r="B256" s="265" t="s">
        <v>488</v>
      </c>
      <c r="C256" s="266"/>
      <c r="D256" s="266"/>
      <c r="E256" s="266">
        <f t="shared" ref="E256:G258" si="21">+E33</f>
        <v>-2163836</v>
      </c>
      <c r="F256" s="266">
        <f t="shared" si="21"/>
        <v>-2101700</v>
      </c>
      <c r="G256" s="266">
        <f t="shared" si="21"/>
        <v>-2688153</v>
      </c>
      <c r="H256" s="213"/>
    </row>
    <row r="257" spans="1:8" ht="30" customHeight="1" thickTop="1" thickBot="1" x14ac:dyDescent="0.4">
      <c r="A257" s="363" t="s">
        <v>490</v>
      </c>
      <c r="B257" s="265" t="s">
        <v>493</v>
      </c>
      <c r="C257" s="266"/>
      <c r="D257" s="266"/>
      <c r="E257" s="266">
        <f t="shared" si="21"/>
        <v>-673448</v>
      </c>
      <c r="F257" s="266">
        <f t="shared" si="21"/>
        <v>-633386</v>
      </c>
      <c r="G257" s="266">
        <f t="shared" si="21"/>
        <v>-688313</v>
      </c>
      <c r="H257" s="213"/>
    </row>
    <row r="258" spans="1:8" ht="30" customHeight="1" thickTop="1" thickBot="1" x14ac:dyDescent="0.4">
      <c r="A258" s="363" t="s">
        <v>491</v>
      </c>
      <c r="B258" s="265" t="s">
        <v>492</v>
      </c>
      <c r="C258" s="266"/>
      <c r="D258" s="266"/>
      <c r="E258" s="266">
        <f t="shared" si="21"/>
        <v>0</v>
      </c>
      <c r="F258" s="266">
        <f t="shared" si="21"/>
        <v>0</v>
      </c>
      <c r="G258" s="266">
        <f t="shared" si="21"/>
        <v>0</v>
      </c>
      <c r="H258" s="213"/>
    </row>
    <row r="259" spans="1:8" ht="30" customHeight="1" thickTop="1" thickBot="1" x14ac:dyDescent="0.4">
      <c r="A259" s="363" t="s">
        <v>525</v>
      </c>
      <c r="B259" s="265" t="s">
        <v>526</v>
      </c>
      <c r="C259" s="274"/>
      <c r="D259" s="274"/>
      <c r="E259" s="266">
        <f>E43</f>
        <v>-191733</v>
      </c>
      <c r="F259" s="266">
        <f>F43</f>
        <v>-204818</v>
      </c>
      <c r="G259" s="266">
        <f>G43</f>
        <v>-204818</v>
      </c>
      <c r="H259" s="213"/>
    </row>
    <row r="260" spans="1:8" ht="30" customHeight="1" thickTop="1" thickBot="1" x14ac:dyDescent="0.4">
      <c r="A260" s="363" t="s">
        <v>619</v>
      </c>
      <c r="B260" s="282" t="s">
        <v>400</v>
      </c>
      <c r="C260" s="300"/>
      <c r="D260" s="301"/>
      <c r="E260" s="301">
        <f>SUM(E255:E259)</f>
        <v>1277762</v>
      </c>
      <c r="F260" s="301">
        <f>SUM(F255:F259)</f>
        <v>590525</v>
      </c>
      <c r="G260" s="301">
        <f>SUM(G255:G259)</f>
        <v>-72964</v>
      </c>
      <c r="H260" s="213"/>
    </row>
    <row r="261" spans="1:8" ht="30" customHeight="1" thickBot="1" x14ac:dyDescent="0.4"/>
    <row r="262" spans="1:8" ht="30" customHeight="1" thickBot="1" x14ac:dyDescent="0.4">
      <c r="A262" s="239"/>
      <c r="B262" s="239" t="s">
        <v>48</v>
      </c>
      <c r="C262" s="240"/>
      <c r="D262" s="240"/>
      <c r="E262" s="239">
        <v>2011</v>
      </c>
      <c r="F262" s="239">
        <v>2012</v>
      </c>
      <c r="G262" s="239">
        <v>2013</v>
      </c>
      <c r="H262" s="239"/>
    </row>
    <row r="263" spans="1:8" ht="30" customHeight="1" thickTop="1" thickBot="1" x14ac:dyDescent="0.4">
      <c r="A263" s="363" t="s">
        <v>619</v>
      </c>
      <c r="B263" s="265" t="s">
        <v>402</v>
      </c>
      <c r="C263" s="266"/>
      <c r="D263" s="266"/>
      <c r="E263" s="266">
        <f>+E260</f>
        <v>1277762</v>
      </c>
      <c r="F263" s="266">
        <f t="shared" ref="F263:G263" si="22">+F260</f>
        <v>590525</v>
      </c>
      <c r="G263" s="266">
        <f t="shared" si="22"/>
        <v>-72964</v>
      </c>
      <c r="H263" s="213"/>
    </row>
    <row r="264" spans="1:8" ht="30" customHeight="1" thickTop="1" thickBot="1" x14ac:dyDescent="0.4">
      <c r="A264" s="363" t="s">
        <v>722</v>
      </c>
      <c r="B264" s="265" t="s">
        <v>724</v>
      </c>
      <c r="C264" s="266"/>
      <c r="D264" s="266"/>
      <c r="E264" s="266">
        <f>+E18</f>
        <v>0</v>
      </c>
      <c r="F264" s="266">
        <f>+F18</f>
        <v>0</v>
      </c>
      <c r="G264" s="266">
        <f>+G18</f>
        <v>0</v>
      </c>
      <c r="H264" s="213"/>
    </row>
    <row r="265" spans="1:8" ht="30" customHeight="1" thickBot="1" x14ac:dyDescent="0.4">
      <c r="A265" s="258" t="s">
        <v>90</v>
      </c>
      <c r="B265" s="270" t="s">
        <v>510</v>
      </c>
      <c r="C265" s="271"/>
      <c r="D265" s="271"/>
      <c r="E265" s="271">
        <f t="shared" ref="E265:G266" si="23">+E28</f>
        <v>51205</v>
      </c>
      <c r="F265" s="271">
        <f t="shared" si="23"/>
        <v>51371</v>
      </c>
      <c r="G265" s="271">
        <f t="shared" si="23"/>
        <v>52792</v>
      </c>
      <c r="H265" s="213"/>
    </row>
    <row r="266" spans="1:8" ht="30" customHeight="1" thickBot="1" x14ac:dyDescent="0.4">
      <c r="A266" s="258" t="s">
        <v>91</v>
      </c>
      <c r="B266" s="270" t="s">
        <v>511</v>
      </c>
      <c r="C266" s="271"/>
      <c r="D266" s="271"/>
      <c r="E266" s="271">
        <f t="shared" si="23"/>
        <v>0</v>
      </c>
      <c r="F266" s="271">
        <f t="shared" si="23"/>
        <v>0</v>
      </c>
      <c r="G266" s="271">
        <f t="shared" si="23"/>
        <v>0</v>
      </c>
      <c r="H266" s="213"/>
    </row>
    <row r="267" spans="1:8" ht="30" customHeight="1" thickTop="1" thickBot="1" x14ac:dyDescent="0.4">
      <c r="A267" s="363" t="s">
        <v>507</v>
      </c>
      <c r="B267" s="265" t="s">
        <v>504</v>
      </c>
      <c r="C267" s="266"/>
      <c r="D267" s="266"/>
      <c r="E267" s="266">
        <f>+E63</f>
        <v>42027</v>
      </c>
      <c r="F267" s="266">
        <f>+F63</f>
        <v>33824</v>
      </c>
      <c r="G267" s="266">
        <f>+G63</f>
        <v>17232</v>
      </c>
      <c r="H267" s="213"/>
    </row>
    <row r="268" spans="1:8" ht="30" customHeight="1" thickTop="1" thickBot="1" x14ac:dyDescent="0.4">
      <c r="A268" s="363" t="s">
        <v>582</v>
      </c>
      <c r="B268" s="265" t="s">
        <v>705</v>
      </c>
      <c r="C268" s="266"/>
      <c r="D268" s="266"/>
      <c r="E268" s="266">
        <f>+E70</f>
        <v>0</v>
      </c>
      <c r="F268" s="266">
        <f>+F70</f>
        <v>0</v>
      </c>
      <c r="G268" s="266">
        <f>+G70</f>
        <v>0</v>
      </c>
      <c r="H268" s="213"/>
    </row>
    <row r="269" spans="1:8" ht="30" customHeight="1" thickBot="1" x14ac:dyDescent="0.4">
      <c r="A269" s="258" t="s">
        <v>94</v>
      </c>
      <c r="B269" s="270" t="s">
        <v>509</v>
      </c>
      <c r="C269" s="271"/>
      <c r="D269" s="271"/>
      <c r="E269" s="271">
        <f>E38</f>
        <v>-11735</v>
      </c>
      <c r="F269" s="271">
        <f>F38</f>
        <v>-22473</v>
      </c>
      <c r="G269" s="271">
        <f>G38</f>
        <v>-64982</v>
      </c>
      <c r="H269" s="213"/>
    </row>
    <row r="270" spans="1:8" ht="30" customHeight="1" thickTop="1" thickBot="1" x14ac:dyDescent="0.4">
      <c r="A270" s="363" t="s">
        <v>506</v>
      </c>
      <c r="B270" s="265" t="s">
        <v>505</v>
      </c>
      <c r="C270" s="266"/>
      <c r="D270" s="266"/>
      <c r="E270" s="266">
        <f>+E64</f>
        <v>-443189</v>
      </c>
      <c r="F270" s="266">
        <f>+F64</f>
        <v>-483465</v>
      </c>
      <c r="G270" s="266">
        <f>+G64</f>
        <v>-476438</v>
      </c>
      <c r="H270" s="213"/>
    </row>
    <row r="271" spans="1:8" ht="30" customHeight="1" thickTop="1" thickBot="1" x14ac:dyDescent="0.4">
      <c r="A271" s="363" t="s">
        <v>620</v>
      </c>
      <c r="B271" s="282" t="s">
        <v>384</v>
      </c>
      <c r="C271" s="300"/>
      <c r="D271" s="301"/>
      <c r="E271" s="301">
        <f>SUM(E263:E270)</f>
        <v>916070</v>
      </c>
      <c r="F271" s="301">
        <f>SUM(F263:F270)</f>
        <v>169782</v>
      </c>
      <c r="G271" s="301">
        <f>SUM(G263:G270)</f>
        <v>-544360</v>
      </c>
      <c r="H271" s="213"/>
    </row>
    <row r="272" spans="1:8" ht="30" customHeight="1" thickBot="1" x14ac:dyDescent="0.4"/>
    <row r="273" spans="1:8" ht="30" customHeight="1" thickBot="1" x14ac:dyDescent="0.4">
      <c r="A273" s="240"/>
      <c r="B273" s="239" t="s">
        <v>49</v>
      </c>
      <c r="C273" s="240"/>
      <c r="D273" s="240"/>
      <c r="E273" s="239">
        <v>2011</v>
      </c>
      <c r="F273" s="239">
        <v>2012</v>
      </c>
      <c r="G273" s="239">
        <v>2013</v>
      </c>
      <c r="H273" s="240"/>
    </row>
    <row r="274" spans="1:8" ht="30" customHeight="1" thickTop="1" thickBot="1" x14ac:dyDescent="0.4">
      <c r="A274" s="363" t="s">
        <v>620</v>
      </c>
      <c r="B274" s="265" t="s">
        <v>414</v>
      </c>
      <c r="C274" s="266"/>
      <c r="D274" s="266"/>
      <c r="E274" s="266">
        <f>+E271</f>
        <v>916070</v>
      </c>
      <c r="F274" s="266">
        <f>+F271</f>
        <v>169782</v>
      </c>
      <c r="G274" s="266">
        <f>+G271</f>
        <v>-544360</v>
      </c>
      <c r="H274" s="213"/>
    </row>
    <row r="275" spans="1:8" ht="30" customHeight="1" thickBot="1" x14ac:dyDescent="0.4">
      <c r="A275" s="258" t="s">
        <v>95</v>
      </c>
      <c r="B275" s="270" t="s">
        <v>528</v>
      </c>
      <c r="C275" s="271"/>
      <c r="D275" s="271"/>
      <c r="E275" s="271">
        <f>+E39</f>
        <v>-24160</v>
      </c>
      <c r="F275" s="271">
        <f>+F39</f>
        <v>-24538</v>
      </c>
      <c r="G275" s="271">
        <f>+G39</f>
        <v>-24781</v>
      </c>
      <c r="H275" s="213"/>
    </row>
    <row r="276" spans="1:8" ht="30" customHeight="1" thickBot="1" x14ac:dyDescent="0.4">
      <c r="A276" s="258" t="s">
        <v>98</v>
      </c>
      <c r="B276" s="270" t="s">
        <v>536</v>
      </c>
      <c r="C276" s="271"/>
      <c r="D276" s="271"/>
      <c r="E276" s="271">
        <f t="shared" ref="E276:G278" si="24">+E58</f>
        <v>0</v>
      </c>
      <c r="F276" s="271">
        <f t="shared" si="24"/>
        <v>0</v>
      </c>
      <c r="G276" s="271">
        <f t="shared" si="24"/>
        <v>-16000</v>
      </c>
      <c r="H276" s="213"/>
    </row>
    <row r="277" spans="1:8" ht="30" customHeight="1" thickBot="1" x14ac:dyDescent="0.4">
      <c r="A277" s="258" t="s">
        <v>99</v>
      </c>
      <c r="B277" s="270" t="s">
        <v>535</v>
      </c>
      <c r="C277" s="271"/>
      <c r="D277" s="271"/>
      <c r="E277" s="271">
        <f t="shared" si="24"/>
        <v>0</v>
      </c>
      <c r="F277" s="271">
        <f t="shared" si="24"/>
        <v>0</v>
      </c>
      <c r="G277" s="271">
        <f t="shared" si="24"/>
        <v>0</v>
      </c>
      <c r="H277" s="213"/>
    </row>
    <row r="278" spans="1:8" ht="30" customHeight="1" thickBot="1" x14ac:dyDescent="0.4">
      <c r="A278" s="258" t="s">
        <v>100</v>
      </c>
      <c r="B278" s="270" t="s">
        <v>537</v>
      </c>
      <c r="C278" s="271"/>
      <c r="D278" s="271"/>
      <c r="E278" s="271">
        <f t="shared" si="24"/>
        <v>-6740</v>
      </c>
      <c r="F278" s="271">
        <f t="shared" si="24"/>
        <v>0</v>
      </c>
      <c r="G278" s="271">
        <f t="shared" si="24"/>
        <v>-78</v>
      </c>
      <c r="H278" s="213"/>
    </row>
    <row r="279" spans="1:8" ht="30" customHeight="1" thickTop="1" thickBot="1" x14ac:dyDescent="0.4">
      <c r="A279" s="363" t="s">
        <v>103</v>
      </c>
      <c r="B279" s="265" t="s">
        <v>527</v>
      </c>
      <c r="C279" s="266"/>
      <c r="D279" s="266"/>
      <c r="E279" s="266">
        <f>E76</f>
        <v>0</v>
      </c>
      <c r="F279" s="266">
        <f>F76</f>
        <v>0</v>
      </c>
      <c r="G279" s="266">
        <f>G76</f>
        <v>0</v>
      </c>
      <c r="H279" s="213"/>
    </row>
    <row r="280" spans="1:8" ht="30" customHeight="1" thickTop="1" thickBot="1" x14ac:dyDescent="0.4">
      <c r="A280" s="363" t="s">
        <v>621</v>
      </c>
      <c r="B280" s="282" t="s">
        <v>385</v>
      </c>
      <c r="C280" s="300"/>
      <c r="D280" s="301"/>
      <c r="E280" s="301">
        <f>SUM(E274:E279)</f>
        <v>885170</v>
      </c>
      <c r="F280" s="301">
        <f>SUM(F274:F279)</f>
        <v>145244</v>
      </c>
      <c r="G280" s="301">
        <f>SUM(G274:G279)</f>
        <v>-585219</v>
      </c>
      <c r="H280" s="213"/>
    </row>
    <row r="281" spans="1:8" ht="30" customHeight="1" thickBot="1" x14ac:dyDescent="0.4"/>
    <row r="282" spans="1:8" ht="30" customHeight="1" thickBot="1" x14ac:dyDescent="0.4">
      <c r="A282" s="321"/>
      <c r="B282" s="322" t="s">
        <v>50</v>
      </c>
      <c r="C282" s="321"/>
      <c r="D282" s="321"/>
      <c r="E282" s="322">
        <v>2011</v>
      </c>
      <c r="F282" s="322">
        <v>2012</v>
      </c>
      <c r="G282" s="322">
        <v>2013</v>
      </c>
      <c r="H282" s="240"/>
    </row>
    <row r="283" spans="1:8" ht="30" customHeight="1" thickTop="1" thickBot="1" x14ac:dyDescent="0.4">
      <c r="A283" s="363" t="s">
        <v>621</v>
      </c>
      <c r="B283" s="265" t="s">
        <v>403</v>
      </c>
      <c r="C283" s="266"/>
      <c r="D283" s="266"/>
      <c r="E283" s="266">
        <f>+E280</f>
        <v>885170</v>
      </c>
      <c r="F283" s="266">
        <f t="shared" ref="F283:G283" si="25">+F280</f>
        <v>145244</v>
      </c>
      <c r="G283" s="266">
        <f t="shared" si="25"/>
        <v>-585219</v>
      </c>
      <c r="H283" s="213"/>
    </row>
    <row r="284" spans="1:8" ht="30" customHeight="1" thickTop="1" thickBot="1" x14ac:dyDescent="0.4">
      <c r="A284" s="363" t="s">
        <v>613</v>
      </c>
      <c r="B284" s="265" t="s">
        <v>244</v>
      </c>
      <c r="C284" s="266"/>
      <c r="D284" s="266"/>
      <c r="E284" s="266">
        <f>E201</f>
        <v>0</v>
      </c>
      <c r="F284" s="266">
        <f>F201</f>
        <v>0</v>
      </c>
      <c r="G284" s="266">
        <f>G201</f>
        <v>-75000</v>
      </c>
      <c r="H284" s="213"/>
    </row>
    <row r="285" spans="1:8" ht="30" customHeight="1" thickTop="1" thickBot="1" x14ac:dyDescent="0.4">
      <c r="A285" s="363" t="s">
        <v>622</v>
      </c>
      <c r="B285" s="282" t="s">
        <v>420</v>
      </c>
      <c r="C285" s="300"/>
      <c r="D285" s="301"/>
      <c r="E285" s="301">
        <f>SUM(E283:E284)</f>
        <v>885170</v>
      </c>
      <c r="F285" s="301">
        <f>SUM(F283:F284)</f>
        <v>145244</v>
      </c>
      <c r="G285" s="301">
        <f>SUM(G283:G284)</f>
        <v>-660219</v>
      </c>
      <c r="H285" s="213"/>
    </row>
    <row r="286" spans="1:8" ht="30" customHeight="1" thickBot="1" x14ac:dyDescent="0.4"/>
    <row r="287" spans="1:8" ht="30" customHeight="1" thickBot="1" x14ac:dyDescent="0.4">
      <c r="A287" s="238"/>
      <c r="B287" s="238" t="s">
        <v>386</v>
      </c>
      <c r="C287" s="244"/>
      <c r="D287" s="244"/>
      <c r="E287" s="238">
        <v>2012</v>
      </c>
      <c r="F287" s="238"/>
      <c r="G287" s="238">
        <v>2013</v>
      </c>
      <c r="H287" s="238"/>
    </row>
    <row r="288" spans="1:8" ht="30" customHeight="1" thickBot="1" x14ac:dyDescent="0.4"/>
    <row r="289" spans="1:10" ht="31.5" customHeight="1" thickBot="1" x14ac:dyDescent="0.4">
      <c r="A289" s="239"/>
      <c r="B289" s="239" t="s">
        <v>387</v>
      </c>
      <c r="C289" s="240"/>
      <c r="D289" s="240"/>
      <c r="E289" s="239">
        <v>2011</v>
      </c>
      <c r="F289" s="239">
        <v>2012</v>
      </c>
      <c r="G289" s="239">
        <v>2013</v>
      </c>
      <c r="H289" s="239"/>
    </row>
    <row r="290" spans="1:10" ht="30" customHeight="1" thickTop="1" thickBot="1" x14ac:dyDescent="0.4">
      <c r="A290" s="363" t="s">
        <v>625</v>
      </c>
      <c r="B290" s="359" t="s">
        <v>394</v>
      </c>
      <c r="C290" s="311"/>
      <c r="D290" s="312"/>
      <c r="E290" s="312">
        <f>+E192</f>
        <v>990069</v>
      </c>
      <c r="F290" s="312">
        <f>+F192</f>
        <v>249361</v>
      </c>
      <c r="G290" s="312">
        <f>+G192</f>
        <v>450027</v>
      </c>
      <c r="H290" s="213"/>
    </row>
    <row r="291" spans="1:10" ht="30" customHeight="1" thickTop="1" thickBot="1" x14ac:dyDescent="0.4">
      <c r="A291" s="363" t="s">
        <v>162</v>
      </c>
      <c r="B291" s="305" t="s">
        <v>389</v>
      </c>
      <c r="C291" s="311"/>
      <c r="D291" s="312"/>
      <c r="E291" s="312">
        <f t="shared" ref="E291:G292" si="26">-E200</f>
        <v>-990069</v>
      </c>
      <c r="F291" s="312">
        <f t="shared" si="26"/>
        <v>-249361</v>
      </c>
      <c r="G291" s="312">
        <f t="shared" si="26"/>
        <v>474973</v>
      </c>
      <c r="H291" s="213"/>
    </row>
    <row r="292" spans="1:10" ht="30" customHeight="1" thickTop="1" thickBot="1" x14ac:dyDescent="0.4">
      <c r="A292" s="363" t="s">
        <v>613</v>
      </c>
      <c r="B292" s="305" t="s">
        <v>635</v>
      </c>
      <c r="C292" s="311"/>
      <c r="D292" s="312"/>
      <c r="E292" s="312">
        <f t="shared" si="26"/>
        <v>0</v>
      </c>
      <c r="F292" s="312">
        <f t="shared" si="26"/>
        <v>0</v>
      </c>
      <c r="G292" s="312">
        <f t="shared" si="26"/>
        <v>75000</v>
      </c>
      <c r="H292" s="213"/>
    </row>
    <row r="293" spans="1:10" ht="30" customHeight="1" thickTop="1" thickBot="1" x14ac:dyDescent="0.4">
      <c r="A293" s="363" t="s">
        <v>626</v>
      </c>
      <c r="B293" s="305" t="s">
        <v>636</v>
      </c>
      <c r="C293" s="311"/>
      <c r="D293" s="312"/>
      <c r="E293" s="312">
        <f>SUM(E290:E292)</f>
        <v>0</v>
      </c>
      <c r="F293" s="312">
        <f t="shared" ref="F293:G293" si="27">SUM(F290:F292)</f>
        <v>0</v>
      </c>
      <c r="G293" s="312">
        <f t="shared" si="27"/>
        <v>1000000</v>
      </c>
      <c r="H293" s="213"/>
    </row>
    <row r="294" spans="1:10" ht="30" customHeight="1" thickTop="1" thickBot="1" x14ac:dyDescent="0.4">
      <c r="A294" s="363" t="s">
        <v>631</v>
      </c>
      <c r="B294" s="282" t="s">
        <v>416</v>
      </c>
      <c r="C294" s="300"/>
      <c r="D294" s="301"/>
      <c r="E294" s="301">
        <f>+E293</f>
        <v>0</v>
      </c>
      <c r="F294" s="301">
        <f t="shared" ref="F294:G294" si="28">+F293</f>
        <v>0</v>
      </c>
      <c r="G294" s="301">
        <f t="shared" si="28"/>
        <v>1000000</v>
      </c>
      <c r="H294" s="213"/>
    </row>
    <row r="295" spans="1:10" ht="30" customHeight="1" thickBot="1" x14ac:dyDescent="0.4"/>
    <row r="296" spans="1:10" ht="30" customHeight="1" thickBot="1" x14ac:dyDescent="0.4">
      <c r="A296" s="240"/>
      <c r="B296" s="239" t="s">
        <v>44</v>
      </c>
      <c r="C296" s="240"/>
      <c r="D296" s="240"/>
      <c r="E296" s="239">
        <v>2011</v>
      </c>
      <c r="F296" s="239">
        <v>2012</v>
      </c>
      <c r="G296" s="239">
        <v>2013</v>
      </c>
      <c r="H296" s="239"/>
    </row>
    <row r="297" spans="1:10" ht="26.25" customHeight="1" thickTop="1" thickBot="1" x14ac:dyDescent="0.4">
      <c r="A297" s="363" t="s">
        <v>590</v>
      </c>
      <c r="B297" s="265" t="s">
        <v>627</v>
      </c>
      <c r="C297" s="266"/>
      <c r="D297" s="266"/>
      <c r="E297" s="266">
        <f>+E173</f>
        <v>13660</v>
      </c>
      <c r="F297" s="266">
        <f>+F173</f>
        <v>0</v>
      </c>
      <c r="G297" s="266">
        <f>+G173</f>
        <v>0</v>
      </c>
      <c r="H297" s="213"/>
    </row>
    <row r="298" spans="1:10" ht="24.75" thickTop="1" thickBot="1" x14ac:dyDescent="0.4">
      <c r="A298" s="363" t="s">
        <v>601</v>
      </c>
      <c r="B298" s="265" t="s">
        <v>628</v>
      </c>
      <c r="C298" s="266"/>
      <c r="D298" s="266"/>
      <c r="E298" s="266">
        <f>+E181</f>
        <v>-104899</v>
      </c>
      <c r="F298" s="266">
        <f>+F181</f>
        <v>-104117</v>
      </c>
      <c r="G298" s="266">
        <f>+G181</f>
        <v>-104709</v>
      </c>
      <c r="H298" s="213"/>
    </row>
    <row r="299" spans="1:10" ht="24.75" thickTop="1" thickBot="1" x14ac:dyDescent="0.4">
      <c r="A299" s="363" t="s">
        <v>554</v>
      </c>
      <c r="B299" s="265" t="s">
        <v>629</v>
      </c>
      <c r="C299" s="266"/>
      <c r="D299" s="266"/>
      <c r="E299" s="266">
        <f>+E48</f>
        <v>104899</v>
      </c>
      <c r="F299" s="266">
        <f>+F48</f>
        <v>104117</v>
      </c>
      <c r="G299" s="266">
        <f>+G48</f>
        <v>104709</v>
      </c>
      <c r="H299" s="213"/>
    </row>
    <row r="300" spans="1:10" ht="30" customHeight="1" thickTop="1" thickBot="1" x14ac:dyDescent="0.4">
      <c r="A300" s="363" t="s">
        <v>632</v>
      </c>
      <c r="B300" s="314" t="s">
        <v>417</v>
      </c>
      <c r="C300" s="266"/>
      <c r="D300" s="315"/>
      <c r="E300" s="315">
        <f>SUM(E297:E299)</f>
        <v>13660</v>
      </c>
      <c r="F300" s="315">
        <f t="shared" ref="F300:G300" si="29">SUM(F297:F299)</f>
        <v>0</v>
      </c>
      <c r="G300" s="315">
        <f t="shared" si="29"/>
        <v>0</v>
      </c>
      <c r="H300" s="213"/>
    </row>
    <row r="301" spans="1:10" ht="30" customHeight="1" x14ac:dyDescent="0.35">
      <c r="B301" s="245"/>
      <c r="C301" s="242"/>
      <c r="D301" s="242"/>
      <c r="E301" s="243"/>
      <c r="F301" s="243"/>
      <c r="G301" s="243"/>
      <c r="H301" s="213"/>
      <c r="I301" s="219"/>
      <c r="J301" s="219"/>
    </row>
    <row r="302" spans="1:10" ht="30" customHeight="1" x14ac:dyDescent="0.35">
      <c r="B302" s="246" t="s">
        <v>468</v>
      </c>
      <c r="C302" s="247"/>
      <c r="D302" s="247"/>
      <c r="E302" s="247" t="str">
        <f>IF(E300&gt;=0,"ok", "error")</f>
        <v>ok</v>
      </c>
      <c r="F302" s="247" t="str">
        <f t="shared" ref="F302:G302" si="30">IF(F300&gt;=0,"ok", "error")</f>
        <v>ok</v>
      </c>
      <c r="G302" s="247" t="str">
        <f t="shared" si="30"/>
        <v>ok</v>
      </c>
      <c r="H302" s="257" t="s">
        <v>393</v>
      </c>
      <c r="I302" s="219"/>
      <c r="J302" s="219"/>
    </row>
    <row r="303" spans="1:10" ht="30" customHeight="1" thickBot="1" x14ac:dyDescent="0.4"/>
    <row r="304" spans="1:10" ht="30" customHeight="1" thickBot="1" x14ac:dyDescent="0.4">
      <c r="A304" s="240"/>
      <c r="B304" s="239" t="s">
        <v>418</v>
      </c>
      <c r="C304" s="240"/>
      <c r="D304" s="240"/>
      <c r="E304" s="239">
        <v>2011</v>
      </c>
      <c r="F304" s="239">
        <v>2012</v>
      </c>
      <c r="G304" s="239">
        <v>2013</v>
      </c>
      <c r="H304" s="240"/>
    </row>
    <row r="305" spans="1:8" ht="30" customHeight="1" thickBot="1" x14ac:dyDescent="0.4">
      <c r="A305" s="258" t="s">
        <v>101</v>
      </c>
      <c r="B305" s="316" t="s">
        <v>580</v>
      </c>
      <c r="C305" s="271"/>
      <c r="D305" s="271"/>
      <c r="E305" s="271">
        <f>+E61</f>
        <v>0</v>
      </c>
      <c r="F305" s="271">
        <f>+F61</f>
        <v>0</v>
      </c>
      <c r="G305" s="271">
        <f>+G61</f>
        <v>0</v>
      </c>
      <c r="H305" s="213"/>
    </row>
    <row r="306" spans="1:8" ht="30" customHeight="1" thickTop="1" thickBot="1" x14ac:dyDescent="0.4">
      <c r="A306" s="363" t="s">
        <v>633</v>
      </c>
      <c r="B306" s="314" t="s">
        <v>419</v>
      </c>
      <c r="C306" s="266"/>
      <c r="D306" s="266"/>
      <c r="E306" s="315">
        <f>SUM(E305:E305)</f>
        <v>0</v>
      </c>
      <c r="F306" s="315">
        <f>SUM(F305:F305)</f>
        <v>0</v>
      </c>
      <c r="G306" s="315">
        <f>SUM(G305:G305)</f>
        <v>0</v>
      </c>
      <c r="H306" s="213"/>
    </row>
    <row r="307" spans="1:8" ht="30" customHeight="1" thickBot="1" x14ac:dyDescent="0.4"/>
    <row r="308" spans="1:8" ht="30" customHeight="1" thickBot="1" x14ac:dyDescent="0.4">
      <c r="A308" s="240"/>
      <c r="B308" s="239" t="s">
        <v>54</v>
      </c>
      <c r="C308" s="240"/>
      <c r="D308" s="240"/>
      <c r="E308" s="239">
        <v>2011</v>
      </c>
      <c r="F308" s="239">
        <v>2012</v>
      </c>
      <c r="G308" s="239">
        <v>2013</v>
      </c>
      <c r="H308" s="248"/>
    </row>
    <row r="309" spans="1:8" ht="30" customHeight="1" thickTop="1" thickBot="1" x14ac:dyDescent="0.4">
      <c r="A309" s="363" t="s">
        <v>622</v>
      </c>
      <c r="B309" s="265" t="s">
        <v>421</v>
      </c>
      <c r="C309" s="266"/>
      <c r="D309" s="266"/>
      <c r="E309" s="266">
        <f>+E285</f>
        <v>885170</v>
      </c>
      <c r="F309" s="266">
        <f>+F285</f>
        <v>145244</v>
      </c>
      <c r="G309" s="266">
        <f>+G285</f>
        <v>-660219</v>
      </c>
      <c r="H309" s="213"/>
    </row>
    <row r="310" spans="1:8" ht="30" customHeight="1" thickTop="1" thickBot="1" x14ac:dyDescent="0.4">
      <c r="A310" s="363" t="s">
        <v>631</v>
      </c>
      <c r="B310" s="265" t="s">
        <v>422</v>
      </c>
      <c r="C310" s="266"/>
      <c r="D310" s="266"/>
      <c r="E310" s="266">
        <f>+E294</f>
        <v>0</v>
      </c>
      <c r="F310" s="266">
        <f>+F294</f>
        <v>0</v>
      </c>
      <c r="G310" s="266">
        <f>+G294</f>
        <v>1000000</v>
      </c>
      <c r="H310" s="213"/>
    </row>
    <row r="311" spans="1:8" ht="30" customHeight="1" thickTop="1" thickBot="1" x14ac:dyDescent="0.4">
      <c r="A311" s="363" t="s">
        <v>632</v>
      </c>
      <c r="B311" s="265" t="s">
        <v>423</v>
      </c>
      <c r="C311" s="266"/>
      <c r="D311" s="266"/>
      <c r="E311" s="266">
        <f>+E300</f>
        <v>13660</v>
      </c>
      <c r="F311" s="266">
        <f>+F300</f>
        <v>0</v>
      </c>
      <c r="G311" s="266">
        <f>+G300</f>
        <v>0</v>
      </c>
      <c r="H311" s="213"/>
    </row>
    <row r="312" spans="1:8" ht="30" customHeight="1" thickTop="1" thickBot="1" x14ac:dyDescent="0.4">
      <c r="A312" s="363" t="s">
        <v>633</v>
      </c>
      <c r="B312" s="265" t="s">
        <v>555</v>
      </c>
      <c r="C312" s="266"/>
      <c r="D312" s="266"/>
      <c r="E312" s="266">
        <f>+E306</f>
        <v>0</v>
      </c>
      <c r="F312" s="266">
        <f t="shared" ref="F312:G312" si="31">+F306</f>
        <v>0</v>
      </c>
      <c r="G312" s="266">
        <f t="shared" si="31"/>
        <v>0</v>
      </c>
      <c r="H312" s="213"/>
    </row>
    <row r="313" spans="1:8" ht="30" customHeight="1" thickTop="1" thickBot="1" x14ac:dyDescent="0.4">
      <c r="A313" s="363" t="s">
        <v>634</v>
      </c>
      <c r="B313" s="298" t="s">
        <v>424</v>
      </c>
      <c r="C313" s="274"/>
      <c r="D313" s="274"/>
      <c r="E313" s="274">
        <f>SUM(E309:E312)</f>
        <v>898830</v>
      </c>
      <c r="F313" s="274">
        <f t="shared" ref="F313:G313" si="32">SUM(F309:F312)</f>
        <v>145244</v>
      </c>
      <c r="G313" s="274">
        <f t="shared" si="32"/>
        <v>339781</v>
      </c>
      <c r="H313" s="213"/>
    </row>
    <row r="314" spans="1:8" ht="30" customHeight="1" thickBot="1" x14ac:dyDescent="0.4"/>
    <row r="315" spans="1:8" ht="30" customHeight="1" thickBot="1" x14ac:dyDescent="0.4">
      <c r="A315" s="240"/>
      <c r="B315" s="239" t="s">
        <v>425</v>
      </c>
      <c r="C315" s="240"/>
      <c r="D315" s="240"/>
      <c r="E315" s="239">
        <v>2011</v>
      </c>
      <c r="F315" s="239">
        <v>2012</v>
      </c>
      <c r="G315" s="239">
        <v>2013</v>
      </c>
      <c r="H315" s="240"/>
    </row>
    <row r="316" spans="1:8" ht="30" customHeight="1" thickTop="1" thickBot="1" x14ac:dyDescent="0.4">
      <c r="A316" s="363" t="s">
        <v>634</v>
      </c>
      <c r="B316" s="299" t="s">
        <v>630</v>
      </c>
      <c r="C316" s="266"/>
      <c r="D316" s="266"/>
      <c r="E316" s="266">
        <f>E313</f>
        <v>898830</v>
      </c>
      <c r="F316" s="266">
        <f t="shared" ref="F316:G316" si="33">F313</f>
        <v>145244</v>
      </c>
      <c r="G316" s="266">
        <f t="shared" si="33"/>
        <v>339781</v>
      </c>
      <c r="H316" s="213"/>
    </row>
    <row r="317" spans="1:8" ht="30" customHeight="1" thickBot="1" x14ac:dyDescent="0.4">
      <c r="A317" s="258" t="s">
        <v>461</v>
      </c>
      <c r="B317" s="270" t="s">
        <v>563</v>
      </c>
      <c r="C317" s="272"/>
      <c r="D317" s="272"/>
      <c r="E317" s="271">
        <f t="shared" ref="E317:G318" si="34">+E50</f>
        <v>0</v>
      </c>
      <c r="F317" s="271">
        <f t="shared" si="34"/>
        <v>0</v>
      </c>
      <c r="G317" s="271">
        <f t="shared" si="34"/>
        <v>0</v>
      </c>
      <c r="H317" s="213"/>
    </row>
    <row r="318" spans="1:8" ht="30" customHeight="1" thickBot="1" x14ac:dyDescent="0.4">
      <c r="A318" s="258" t="s">
        <v>462</v>
      </c>
      <c r="B318" s="270" t="s">
        <v>566</v>
      </c>
      <c r="C318" s="272"/>
      <c r="D318" s="272"/>
      <c r="E318" s="271">
        <f t="shared" si="34"/>
        <v>0</v>
      </c>
      <c r="F318" s="271">
        <f t="shared" si="34"/>
        <v>0</v>
      </c>
      <c r="G318" s="271">
        <f t="shared" si="34"/>
        <v>0</v>
      </c>
      <c r="H318" s="213"/>
    </row>
    <row r="319" spans="1:8" ht="71.25" thickTop="1" thickBot="1" x14ac:dyDescent="0.4">
      <c r="A319" s="363" t="s">
        <v>573</v>
      </c>
      <c r="B319" s="318" t="s">
        <v>581</v>
      </c>
      <c r="C319" s="266"/>
      <c r="D319" s="266"/>
      <c r="E319" s="266">
        <f>+E55</f>
        <v>0</v>
      </c>
      <c r="F319" s="266">
        <f>+F55</f>
        <v>0</v>
      </c>
      <c r="G319" s="266">
        <f>+G55</f>
        <v>10000</v>
      </c>
      <c r="H319" s="213"/>
    </row>
    <row r="320" spans="1:8" ht="24.75" thickTop="1" thickBot="1" x14ac:dyDescent="0.4">
      <c r="A320" s="363" t="s">
        <v>129</v>
      </c>
      <c r="B320" s="265" t="s">
        <v>559</v>
      </c>
      <c r="C320" s="266"/>
      <c r="D320" s="266"/>
      <c r="E320" s="266">
        <f>E69</f>
        <v>0</v>
      </c>
      <c r="F320" s="266">
        <f>F69</f>
        <v>0</v>
      </c>
      <c r="G320" s="266">
        <f>G69</f>
        <v>0</v>
      </c>
      <c r="H320" s="213"/>
    </row>
    <row r="321" spans="1:9" ht="24.75" thickTop="1" thickBot="1" x14ac:dyDescent="0.4">
      <c r="A321" s="363" t="s">
        <v>118</v>
      </c>
      <c r="B321" s="265" t="s">
        <v>639</v>
      </c>
      <c r="C321" s="266"/>
      <c r="D321" s="266"/>
      <c r="E321" s="266">
        <f>+E56</f>
        <v>0</v>
      </c>
      <c r="F321" s="266">
        <f>+F56</f>
        <v>0</v>
      </c>
      <c r="G321" s="266">
        <f>+G56</f>
        <v>0</v>
      </c>
      <c r="H321" s="213"/>
    </row>
    <row r="322" spans="1:9" ht="24.75" thickTop="1" thickBot="1" x14ac:dyDescent="0.4">
      <c r="A322" s="363" t="s">
        <v>592</v>
      </c>
      <c r="B322" s="265" t="s">
        <v>638</v>
      </c>
      <c r="C322" s="266"/>
      <c r="D322" s="266"/>
      <c r="E322" s="266">
        <f>+E184</f>
        <v>31471</v>
      </c>
      <c r="F322" s="266">
        <f>+F184</f>
        <v>31235</v>
      </c>
      <c r="G322" s="266">
        <f>+G184</f>
        <v>31413</v>
      </c>
      <c r="H322" s="211"/>
      <c r="I322" s="249"/>
    </row>
    <row r="323" spans="1:9" ht="24.75" thickTop="1" thickBot="1" x14ac:dyDescent="0.4">
      <c r="A323" s="363" t="s">
        <v>604</v>
      </c>
      <c r="B323" s="265" t="s">
        <v>637</v>
      </c>
      <c r="C323" s="266"/>
      <c r="D323" s="266"/>
      <c r="E323" s="266">
        <f>+E177</f>
        <v>-4098</v>
      </c>
      <c r="F323" s="266">
        <f>+F177</f>
        <v>0</v>
      </c>
      <c r="G323" s="266">
        <f>+G177</f>
        <v>0</v>
      </c>
      <c r="H323" s="211"/>
      <c r="I323" s="249"/>
    </row>
    <row r="324" spans="1:9" ht="24.75" thickTop="1" thickBot="1" x14ac:dyDescent="0.4">
      <c r="A324" s="363"/>
      <c r="B324" s="273" t="s">
        <v>700</v>
      </c>
      <c r="C324" s="266"/>
      <c r="D324" s="266"/>
      <c r="E324" s="274">
        <f>SUM(E325:E338)</f>
        <v>0</v>
      </c>
      <c r="F324" s="274">
        <f t="shared" ref="F324:G324" si="35">SUM(F325:F338)</f>
        <v>0</v>
      </c>
      <c r="G324" s="274">
        <f t="shared" si="35"/>
        <v>-4463</v>
      </c>
      <c r="H324" s="213"/>
    </row>
    <row r="325" spans="1:9" ht="24.75" thickTop="1" thickBot="1" x14ac:dyDescent="0.4">
      <c r="A325" s="363" t="s">
        <v>562</v>
      </c>
      <c r="B325" s="265" t="s">
        <v>560</v>
      </c>
      <c r="C325" s="266"/>
      <c r="D325" s="266"/>
      <c r="E325" s="266">
        <f>+E44</f>
        <v>0</v>
      </c>
      <c r="F325" s="266">
        <f>+F44</f>
        <v>0</v>
      </c>
      <c r="G325" s="266">
        <f>+G44</f>
        <v>-4463</v>
      </c>
      <c r="H325" s="213"/>
    </row>
    <row r="326" spans="1:9" ht="24.75" thickTop="1" thickBot="1" x14ac:dyDescent="0.4">
      <c r="A326" s="363" t="s">
        <v>104</v>
      </c>
      <c r="B326" s="265" t="s">
        <v>561</v>
      </c>
      <c r="C326" s="266"/>
      <c r="D326" s="266"/>
      <c r="E326" s="266">
        <f>E65</f>
        <v>0</v>
      </c>
      <c r="F326" s="266">
        <f>F65</f>
        <v>0</v>
      </c>
      <c r="G326" s="266">
        <f>G65</f>
        <v>0</v>
      </c>
      <c r="H326" s="213"/>
    </row>
    <row r="327" spans="1:9" ht="24.75" thickTop="1" thickBot="1" x14ac:dyDescent="0.4">
      <c r="A327" s="363" t="s">
        <v>105</v>
      </c>
      <c r="B327" s="319" t="s">
        <v>565</v>
      </c>
      <c r="C327" s="266"/>
      <c r="D327" s="266"/>
      <c r="E327" s="266">
        <f>+E66</f>
        <v>0</v>
      </c>
      <c r="F327" s="266">
        <f>+F66</f>
        <v>0</v>
      </c>
      <c r="G327" s="266">
        <f>+G66</f>
        <v>0</v>
      </c>
      <c r="H327" s="213"/>
    </row>
    <row r="328" spans="1:9" ht="24.75" thickTop="1" thickBot="1" x14ac:dyDescent="0.4">
      <c r="A328" s="363" t="s">
        <v>128</v>
      </c>
      <c r="B328" s="319" t="s">
        <v>564</v>
      </c>
      <c r="C328" s="266"/>
      <c r="D328" s="266"/>
      <c r="E328" s="266">
        <f>+E68</f>
        <v>0</v>
      </c>
      <c r="F328" s="266">
        <f>+F68</f>
        <v>0</v>
      </c>
      <c r="G328" s="266">
        <f>+G68</f>
        <v>0</v>
      </c>
      <c r="H328" s="213"/>
    </row>
    <row r="329" spans="1:9" ht="24.75" thickTop="1" thickBot="1" x14ac:dyDescent="0.4">
      <c r="A329" s="363" t="s">
        <v>715</v>
      </c>
      <c r="B329" s="319" t="s">
        <v>716</v>
      </c>
      <c r="C329" s="266"/>
      <c r="D329" s="266"/>
      <c r="E329" s="266">
        <f>+E79</f>
        <v>0</v>
      </c>
      <c r="F329" s="266">
        <f>+F79</f>
        <v>0</v>
      </c>
      <c r="G329" s="266">
        <f>+G79</f>
        <v>0</v>
      </c>
      <c r="H329" s="213"/>
    </row>
    <row r="330" spans="1:9" ht="24.75" thickTop="1" thickBot="1" x14ac:dyDescent="0.4">
      <c r="A330" s="363" t="s">
        <v>588</v>
      </c>
      <c r="B330" s="319" t="s">
        <v>644</v>
      </c>
      <c r="C330" s="266"/>
      <c r="D330" s="266"/>
      <c r="E330" s="266">
        <f t="shared" ref="E330:G331" si="36">+E171</f>
        <v>0</v>
      </c>
      <c r="F330" s="266">
        <f t="shared" si="36"/>
        <v>0</v>
      </c>
      <c r="G330" s="266">
        <f t="shared" si="36"/>
        <v>0</v>
      </c>
      <c r="H330" s="213"/>
    </row>
    <row r="331" spans="1:9" ht="24.75" thickTop="1" thickBot="1" x14ac:dyDescent="0.4">
      <c r="A331" s="363" t="s">
        <v>589</v>
      </c>
      <c r="B331" s="319" t="s">
        <v>645</v>
      </c>
      <c r="C331" s="266"/>
      <c r="D331" s="266"/>
      <c r="E331" s="266">
        <f t="shared" si="36"/>
        <v>0</v>
      </c>
      <c r="F331" s="266">
        <f t="shared" si="36"/>
        <v>0</v>
      </c>
      <c r="G331" s="266">
        <f t="shared" si="36"/>
        <v>0</v>
      </c>
      <c r="H331" s="213"/>
    </row>
    <row r="332" spans="1:9" ht="24.75" thickTop="1" thickBot="1" x14ac:dyDescent="0.4">
      <c r="A332" s="363" t="s">
        <v>591</v>
      </c>
      <c r="B332" s="319" t="s">
        <v>646</v>
      </c>
      <c r="C332" s="266"/>
      <c r="D332" s="266"/>
      <c r="E332" s="266">
        <f t="shared" ref="E332:G334" si="37">+E174</f>
        <v>0</v>
      </c>
      <c r="F332" s="266">
        <f t="shared" si="37"/>
        <v>0</v>
      </c>
      <c r="G332" s="266">
        <f t="shared" si="37"/>
        <v>0</v>
      </c>
      <c r="H332" s="213"/>
    </row>
    <row r="333" spans="1:9" ht="24.75" thickTop="1" thickBot="1" x14ac:dyDescent="0.4">
      <c r="A333" s="363" t="s">
        <v>593</v>
      </c>
      <c r="B333" s="319" t="s">
        <v>647</v>
      </c>
      <c r="C333" s="266"/>
      <c r="D333" s="266"/>
      <c r="E333" s="266">
        <f t="shared" si="37"/>
        <v>0</v>
      </c>
      <c r="F333" s="266">
        <f t="shared" si="37"/>
        <v>0</v>
      </c>
      <c r="G333" s="266">
        <f t="shared" si="37"/>
        <v>0</v>
      </c>
      <c r="H333" s="213"/>
    </row>
    <row r="334" spans="1:9" ht="24.75" thickTop="1" thickBot="1" x14ac:dyDescent="0.4">
      <c r="A334" s="363" t="s">
        <v>594</v>
      </c>
      <c r="B334" s="319" t="s">
        <v>648</v>
      </c>
      <c r="C334" s="266"/>
      <c r="D334" s="266"/>
      <c r="E334" s="266">
        <f t="shared" si="37"/>
        <v>0</v>
      </c>
      <c r="F334" s="266">
        <f t="shared" si="37"/>
        <v>0</v>
      </c>
      <c r="G334" s="266">
        <f t="shared" si="37"/>
        <v>0</v>
      </c>
      <c r="H334" s="213"/>
    </row>
    <row r="335" spans="1:9" ht="24.75" thickTop="1" thickBot="1" x14ac:dyDescent="0.4">
      <c r="A335" s="363" t="s">
        <v>599</v>
      </c>
      <c r="B335" s="319" t="s">
        <v>649</v>
      </c>
      <c r="C335" s="266"/>
      <c r="D335" s="266"/>
      <c r="E335" s="266">
        <f t="shared" ref="E335:G336" si="38">+E179</f>
        <v>0</v>
      </c>
      <c r="F335" s="266">
        <f t="shared" si="38"/>
        <v>0</v>
      </c>
      <c r="G335" s="266">
        <f t="shared" si="38"/>
        <v>0</v>
      </c>
      <c r="H335" s="213"/>
    </row>
    <row r="336" spans="1:9" ht="24.75" thickTop="1" thickBot="1" x14ac:dyDescent="0.4">
      <c r="A336" s="363" t="s">
        <v>600</v>
      </c>
      <c r="B336" s="319" t="s">
        <v>650</v>
      </c>
      <c r="C336" s="266"/>
      <c r="D336" s="266"/>
      <c r="E336" s="266">
        <f t="shared" si="38"/>
        <v>0</v>
      </c>
      <c r="F336" s="266">
        <f t="shared" si="38"/>
        <v>0</v>
      </c>
      <c r="G336" s="266">
        <f t="shared" si="38"/>
        <v>0</v>
      </c>
      <c r="H336" s="213"/>
    </row>
    <row r="337" spans="1:8" ht="24.75" thickTop="1" thickBot="1" x14ac:dyDescent="0.4">
      <c r="A337" s="363" t="s">
        <v>602</v>
      </c>
      <c r="B337" s="319" t="s">
        <v>651</v>
      </c>
      <c r="C337" s="266"/>
      <c r="D337" s="266"/>
      <c r="E337" s="266">
        <f t="shared" ref="E337:G338" si="39">+E182</f>
        <v>0</v>
      </c>
      <c r="F337" s="266">
        <f t="shared" si="39"/>
        <v>0</v>
      </c>
      <c r="G337" s="266">
        <f t="shared" si="39"/>
        <v>0</v>
      </c>
      <c r="H337" s="213"/>
    </row>
    <row r="338" spans="1:8" ht="24.75" thickTop="1" thickBot="1" x14ac:dyDescent="0.4">
      <c r="A338" s="363" t="s">
        <v>603</v>
      </c>
      <c r="B338" s="319" t="s">
        <v>652</v>
      </c>
      <c r="C338" s="266"/>
      <c r="D338" s="266"/>
      <c r="E338" s="266">
        <f t="shared" si="39"/>
        <v>0</v>
      </c>
      <c r="F338" s="266">
        <f t="shared" si="39"/>
        <v>0</v>
      </c>
      <c r="G338" s="266">
        <f t="shared" si="39"/>
        <v>0</v>
      </c>
      <c r="H338" s="213"/>
    </row>
    <row r="339" spans="1:8" ht="30" customHeight="1" thickTop="1" thickBot="1" x14ac:dyDescent="0.4">
      <c r="A339" s="363" t="s">
        <v>634</v>
      </c>
      <c r="B339" s="298" t="s">
        <v>426</v>
      </c>
      <c r="C339" s="274"/>
      <c r="D339" s="274"/>
      <c r="E339" s="274">
        <f>+SUM(E316:E324)</f>
        <v>926203</v>
      </c>
      <c r="F339" s="274">
        <f>+SUM(F316:F324)</f>
        <v>176479</v>
      </c>
      <c r="G339" s="274">
        <f>+SUM(G316:G324)</f>
        <v>376731</v>
      </c>
      <c r="H339" s="213"/>
    </row>
    <row r="340" spans="1:8" ht="30" customHeight="1" thickBot="1" x14ac:dyDescent="0.4"/>
    <row r="341" spans="1:8" ht="30" customHeight="1" thickBot="1" x14ac:dyDescent="0.4">
      <c r="A341" s="240"/>
      <c r="B341" s="239" t="s">
        <v>427</v>
      </c>
      <c r="C341" s="240"/>
      <c r="D341" s="240"/>
      <c r="E341" s="239">
        <v>2011</v>
      </c>
      <c r="F341" s="239">
        <v>2012</v>
      </c>
      <c r="G341" s="239">
        <v>2013</v>
      </c>
      <c r="H341" s="240"/>
    </row>
    <row r="342" spans="1:8" ht="30" customHeight="1" thickTop="1" thickBot="1" x14ac:dyDescent="0.4">
      <c r="A342" s="363" t="s">
        <v>623</v>
      </c>
      <c r="B342" s="265" t="s">
        <v>475</v>
      </c>
      <c r="C342" s="274"/>
      <c r="D342" s="266"/>
      <c r="E342" s="266">
        <f t="shared" ref="E342:G346" si="40">+E116-D116</f>
        <v>-1414</v>
      </c>
      <c r="F342" s="266">
        <f t="shared" si="40"/>
        <v>-7183</v>
      </c>
      <c r="G342" s="266">
        <f t="shared" si="40"/>
        <v>5429</v>
      </c>
      <c r="H342" s="213"/>
    </row>
    <row r="343" spans="1:8" ht="30" customHeight="1" thickTop="1" thickBot="1" x14ac:dyDescent="0.4">
      <c r="A343" s="363" t="s">
        <v>624</v>
      </c>
      <c r="B343" s="265" t="s">
        <v>476</v>
      </c>
      <c r="C343" s="274"/>
      <c r="D343" s="266"/>
      <c r="E343" s="266">
        <f t="shared" si="40"/>
        <v>-8906</v>
      </c>
      <c r="F343" s="266">
        <f t="shared" si="40"/>
        <v>-4818</v>
      </c>
      <c r="G343" s="266">
        <f t="shared" si="40"/>
        <v>18450</v>
      </c>
      <c r="H343" s="213"/>
    </row>
    <row r="344" spans="1:8" ht="30" customHeight="1" thickTop="1" thickBot="1" x14ac:dyDescent="0.4">
      <c r="A344" s="363" t="s">
        <v>653</v>
      </c>
      <c r="B344" s="265" t="s">
        <v>484</v>
      </c>
      <c r="C344" s="274"/>
      <c r="D344" s="266"/>
      <c r="E344" s="266">
        <f t="shared" si="40"/>
        <v>0</v>
      </c>
      <c r="F344" s="266">
        <f t="shared" si="40"/>
        <v>0</v>
      </c>
      <c r="G344" s="266">
        <f t="shared" si="40"/>
        <v>0</v>
      </c>
      <c r="H344" s="213"/>
    </row>
    <row r="345" spans="1:8" ht="30" customHeight="1" thickTop="1" thickBot="1" x14ac:dyDescent="0.4">
      <c r="A345" s="363" t="s">
        <v>654</v>
      </c>
      <c r="B345" s="265" t="s">
        <v>477</v>
      </c>
      <c r="C345" s="274"/>
      <c r="D345" s="266"/>
      <c r="E345" s="266">
        <f t="shared" si="40"/>
        <v>0</v>
      </c>
      <c r="F345" s="266">
        <f t="shared" si="40"/>
        <v>0</v>
      </c>
      <c r="G345" s="266">
        <f t="shared" si="40"/>
        <v>0</v>
      </c>
      <c r="H345" s="213"/>
    </row>
    <row r="346" spans="1:8" ht="30" customHeight="1" thickTop="1" thickBot="1" x14ac:dyDescent="0.4">
      <c r="A346" s="363" t="s">
        <v>655</v>
      </c>
      <c r="B346" s="265" t="s">
        <v>485</v>
      </c>
      <c r="C346" s="266"/>
      <c r="D346" s="266"/>
      <c r="E346" s="266">
        <f t="shared" si="40"/>
        <v>0</v>
      </c>
      <c r="F346" s="266">
        <f t="shared" si="40"/>
        <v>0</v>
      </c>
      <c r="G346" s="266">
        <f t="shared" si="40"/>
        <v>0</v>
      </c>
      <c r="H346" s="213"/>
    </row>
    <row r="347" spans="1:8" ht="30" customHeight="1" thickTop="1" thickBot="1" x14ac:dyDescent="0.4">
      <c r="A347" s="363" t="s">
        <v>656</v>
      </c>
      <c r="B347" s="298" t="s">
        <v>428</v>
      </c>
      <c r="C347" s="274"/>
      <c r="D347" s="274"/>
      <c r="E347" s="274">
        <f>SUM(E342:E346)</f>
        <v>-10320</v>
      </c>
      <c r="F347" s="274">
        <f>SUM(F342:F346)</f>
        <v>-12001</v>
      </c>
      <c r="G347" s="274">
        <f>SUM(G342:G346)</f>
        <v>23879</v>
      </c>
      <c r="H347" s="213"/>
    </row>
    <row r="348" spans="1:8" ht="30" customHeight="1" thickBot="1" x14ac:dyDescent="0.4"/>
    <row r="349" spans="1:8" ht="30" customHeight="1" thickBot="1" x14ac:dyDescent="0.4">
      <c r="A349" s="240"/>
      <c r="B349" s="239" t="s">
        <v>382</v>
      </c>
      <c r="C349" s="240"/>
      <c r="D349" s="240"/>
      <c r="E349" s="239">
        <v>2011</v>
      </c>
      <c r="F349" s="239">
        <v>2012</v>
      </c>
      <c r="G349" s="239">
        <v>2013</v>
      </c>
      <c r="H349" s="240"/>
    </row>
    <row r="350" spans="1:8" ht="30" customHeight="1" thickBot="1" x14ac:dyDescent="0.4"/>
    <row r="351" spans="1:8" ht="24.75" thickTop="1" thickBot="1" x14ac:dyDescent="0.4">
      <c r="A351" s="363"/>
      <c r="B351" s="298" t="s">
        <v>456</v>
      </c>
      <c r="C351" s="274"/>
      <c r="D351" s="274"/>
      <c r="E351" s="274">
        <f>SUM(E352:E355)</f>
        <v>-208045</v>
      </c>
      <c r="F351" s="274">
        <f t="shared" ref="F351:G351" si="41">SUM(F352:F355)</f>
        <v>-312890</v>
      </c>
      <c r="G351" s="274">
        <f t="shared" si="41"/>
        <v>-384835</v>
      </c>
      <c r="H351" s="213"/>
    </row>
    <row r="352" spans="1:8" ht="30" customHeight="1" thickTop="1" thickBot="1" x14ac:dyDescent="0.4">
      <c r="A352" s="363" t="s">
        <v>701</v>
      </c>
      <c r="B352" s="265" t="s">
        <v>567</v>
      </c>
      <c r="C352" s="265"/>
      <c r="D352" s="265"/>
      <c r="E352" s="266">
        <f t="shared" ref="E352:G354" si="42">+E106-D106</f>
        <v>-7178</v>
      </c>
      <c r="F352" s="266">
        <f t="shared" si="42"/>
        <v>-6579</v>
      </c>
      <c r="G352" s="266">
        <f t="shared" si="42"/>
        <v>-1572</v>
      </c>
      <c r="H352" s="213"/>
    </row>
    <row r="353" spans="1:8" ht="30" customHeight="1" thickTop="1" thickBot="1" x14ac:dyDescent="0.4">
      <c r="A353" s="363" t="s">
        <v>702</v>
      </c>
      <c r="B353" s="265" t="s">
        <v>568</v>
      </c>
      <c r="C353" s="265"/>
      <c r="D353" s="265"/>
      <c r="E353" s="266">
        <f t="shared" si="42"/>
        <v>-200867</v>
      </c>
      <c r="F353" s="266">
        <f t="shared" si="42"/>
        <v>-306311</v>
      </c>
      <c r="G353" s="266">
        <f t="shared" si="42"/>
        <v>-383263</v>
      </c>
      <c r="H353" s="213"/>
    </row>
    <row r="354" spans="1:8" ht="30" customHeight="1" thickTop="1" thickBot="1" x14ac:dyDescent="0.4">
      <c r="A354" s="363" t="s">
        <v>703</v>
      </c>
      <c r="B354" s="265" t="s">
        <v>569</v>
      </c>
      <c r="C354" s="265"/>
      <c r="D354" s="265"/>
      <c r="E354" s="266">
        <f t="shared" si="42"/>
        <v>0</v>
      </c>
      <c r="F354" s="266">
        <f t="shared" si="42"/>
        <v>0</v>
      </c>
      <c r="G354" s="266">
        <f t="shared" si="42"/>
        <v>0</v>
      </c>
      <c r="H354" s="213"/>
    </row>
    <row r="355" spans="1:8" ht="30" customHeight="1" thickTop="1" thickBot="1" x14ac:dyDescent="0.4">
      <c r="A355" s="363" t="s">
        <v>704</v>
      </c>
      <c r="B355" s="265" t="s">
        <v>572</v>
      </c>
      <c r="C355" s="265"/>
      <c r="D355" s="265"/>
      <c r="E355" s="266">
        <f>+E114-D114</f>
        <v>0</v>
      </c>
      <c r="F355" s="266">
        <f>+F114-E114</f>
        <v>0</v>
      </c>
      <c r="G355" s="266">
        <f>+G114-F114</f>
        <v>0</v>
      </c>
      <c r="H355" s="213"/>
    </row>
    <row r="356" spans="1:8" ht="30" customHeight="1" thickTop="1" thickBot="1" x14ac:dyDescent="0.4">
      <c r="A356" s="363"/>
      <c r="B356" s="298" t="s">
        <v>457</v>
      </c>
      <c r="C356" s="274"/>
      <c r="D356" s="274"/>
      <c r="E356" s="274">
        <f>SUM(E357:E358)</f>
        <v>420408</v>
      </c>
      <c r="F356" s="274">
        <f>SUM(F357:F358)</f>
        <v>438170</v>
      </c>
      <c r="G356" s="274">
        <f>SUM(G357:G358)</f>
        <v>460430</v>
      </c>
      <c r="H356" s="200"/>
    </row>
    <row r="357" spans="1:8" ht="30" customHeight="1" thickTop="1" thickBot="1" x14ac:dyDescent="0.4">
      <c r="A357" s="363" t="s">
        <v>496</v>
      </c>
      <c r="B357" s="265" t="s">
        <v>499</v>
      </c>
      <c r="C357" s="266"/>
      <c r="D357" s="266"/>
      <c r="E357" s="266">
        <f>-E47</f>
        <v>420408</v>
      </c>
      <c r="F357" s="266">
        <f>-F47</f>
        <v>438170</v>
      </c>
      <c r="G357" s="266">
        <f>-G47</f>
        <v>444430</v>
      </c>
      <c r="H357" s="213"/>
    </row>
    <row r="358" spans="1:8" ht="30" customHeight="1" thickTop="1" thickBot="1" x14ac:dyDescent="0.4">
      <c r="A358" s="363" t="s">
        <v>498</v>
      </c>
      <c r="B358" s="265" t="s">
        <v>497</v>
      </c>
      <c r="C358" s="266"/>
      <c r="D358" s="266"/>
      <c r="E358" s="266">
        <f>-E54</f>
        <v>0</v>
      </c>
      <c r="F358" s="266">
        <f>-F54</f>
        <v>0</v>
      </c>
      <c r="G358" s="266">
        <f>-G54</f>
        <v>16000</v>
      </c>
      <c r="H358" s="213"/>
    </row>
    <row r="359" spans="1:8" ht="30" customHeight="1" thickTop="1" thickBot="1" x14ac:dyDescent="0.4">
      <c r="A359" s="363" t="s">
        <v>695</v>
      </c>
      <c r="B359" s="298" t="s">
        <v>458</v>
      </c>
      <c r="C359" s="266"/>
      <c r="D359" s="266"/>
      <c r="E359" s="274">
        <f>+E351+E356</f>
        <v>212363</v>
      </c>
      <c r="F359" s="274">
        <f>+F351+F356</f>
        <v>125280</v>
      </c>
      <c r="G359" s="274">
        <f>+G351+G356</f>
        <v>75595</v>
      </c>
      <c r="H359" s="213"/>
    </row>
    <row r="360" spans="1:8" ht="30" customHeight="1" thickBot="1" x14ac:dyDescent="0.4"/>
    <row r="361" spans="1:8" ht="30" customHeight="1" thickTop="1" thickBot="1" x14ac:dyDescent="0.4">
      <c r="A361" s="363"/>
      <c r="B361" s="298" t="s">
        <v>473</v>
      </c>
      <c r="C361" s="320"/>
      <c r="D361" s="363"/>
      <c r="E361" s="266"/>
      <c r="F361" s="266"/>
      <c r="G361" s="266"/>
    </row>
    <row r="362" spans="1:8" ht="30" customHeight="1" thickTop="1" thickBot="1" x14ac:dyDescent="0.4">
      <c r="A362" s="363" t="s">
        <v>695</v>
      </c>
      <c r="B362" s="299" t="s">
        <v>458</v>
      </c>
      <c r="C362" s="320"/>
      <c r="D362" s="363"/>
      <c r="E362" s="266">
        <f>+E359</f>
        <v>212363</v>
      </c>
      <c r="F362" s="266">
        <f t="shared" ref="F362:G362" si="43">+F359</f>
        <v>125280</v>
      </c>
      <c r="G362" s="266">
        <f t="shared" si="43"/>
        <v>75595</v>
      </c>
    </row>
    <row r="363" spans="1:8" ht="30" customHeight="1" thickTop="1" thickBot="1" x14ac:dyDescent="0.4">
      <c r="A363" s="363" t="s">
        <v>570</v>
      </c>
      <c r="B363" s="265" t="s">
        <v>699</v>
      </c>
      <c r="C363" s="320"/>
      <c r="D363" s="363"/>
      <c r="E363" s="266">
        <f>-E20</f>
        <v>0</v>
      </c>
      <c r="F363" s="266">
        <f>-F20</f>
        <v>0</v>
      </c>
      <c r="G363" s="266">
        <f>-G20</f>
        <v>-5000</v>
      </c>
    </row>
    <row r="364" spans="1:8" ht="48" thickTop="1" thickBot="1" x14ac:dyDescent="0.4">
      <c r="A364" s="363"/>
      <c r="B364" s="298" t="s">
        <v>571</v>
      </c>
      <c r="C364" s="320"/>
      <c r="D364" s="363"/>
      <c r="E364" s="274">
        <f>E362+E363</f>
        <v>212363</v>
      </c>
      <c r="F364" s="274">
        <f t="shared" ref="F364:G364" si="44">F362+F363</f>
        <v>125280</v>
      </c>
      <c r="G364" s="274">
        <f t="shared" si="44"/>
        <v>70595</v>
      </c>
    </row>
    <row r="365" spans="1:8" ht="24" thickBot="1" x14ac:dyDescent="0.4">
      <c r="B365" s="241"/>
      <c r="C365" s="243"/>
      <c r="D365" s="243"/>
      <c r="E365" s="243"/>
      <c r="F365" s="243"/>
      <c r="G365" s="243"/>
    </row>
    <row r="366" spans="1:8" ht="48" thickTop="1" thickBot="1" x14ac:dyDescent="0.4">
      <c r="A366" s="363"/>
      <c r="B366" s="299" t="s">
        <v>697</v>
      </c>
      <c r="C366" s="320"/>
      <c r="D366" s="363"/>
      <c r="E366" s="266">
        <f>+E364</f>
        <v>212363</v>
      </c>
      <c r="F366" s="266">
        <f t="shared" ref="F366:G366" si="45">+F364</f>
        <v>125280</v>
      </c>
      <c r="G366" s="266">
        <f t="shared" si="45"/>
        <v>70595</v>
      </c>
    </row>
    <row r="367" spans="1:8" ht="24.75" thickTop="1" thickBot="1" x14ac:dyDescent="0.4">
      <c r="A367" s="363" t="s">
        <v>573</v>
      </c>
      <c r="B367" s="265" t="s">
        <v>698</v>
      </c>
      <c r="C367" s="320"/>
      <c r="D367" s="363"/>
      <c r="E367" s="266">
        <f>+E55</f>
        <v>0</v>
      </c>
      <c r="F367" s="266">
        <f>+F55</f>
        <v>0</v>
      </c>
      <c r="G367" s="266">
        <f>+G55</f>
        <v>10000</v>
      </c>
    </row>
    <row r="368" spans="1:8" ht="24.75" thickTop="1" thickBot="1" x14ac:dyDescent="0.4">
      <c r="A368" s="363"/>
      <c r="B368" s="298" t="s">
        <v>574</v>
      </c>
      <c r="C368" s="320"/>
      <c r="D368" s="363"/>
      <c r="E368" s="274">
        <f>E366+E367</f>
        <v>212363</v>
      </c>
      <c r="F368" s="274">
        <f t="shared" ref="F368:G368" si="46">F366+F367</f>
        <v>125280</v>
      </c>
      <c r="G368" s="274">
        <f t="shared" si="46"/>
        <v>80595</v>
      </c>
    </row>
    <row r="369" spans="1:8" ht="24.75" thickTop="1" thickBot="1" x14ac:dyDescent="0.4">
      <c r="A369" s="363"/>
      <c r="B369" s="298" t="s">
        <v>575</v>
      </c>
      <c r="C369" s="320"/>
      <c r="D369" s="363"/>
      <c r="E369" s="274">
        <f>ROUND(E10*E368,0)</f>
        <v>14865</v>
      </c>
      <c r="F369" s="274">
        <f>ROUND(F10*F368,0)</f>
        <v>8770</v>
      </c>
      <c r="G369" s="274">
        <f>ROUND(G10*G368,0)</f>
        <v>5642</v>
      </c>
    </row>
    <row r="370" spans="1:8" ht="23.25" x14ac:dyDescent="0.35">
      <c r="B370" s="241"/>
      <c r="C370" s="243"/>
      <c r="D370" s="243"/>
      <c r="E370" s="243"/>
      <c r="F370" s="243"/>
      <c r="G370" s="243"/>
    </row>
    <row r="371" spans="1:8" ht="23.25" x14ac:dyDescent="0.35">
      <c r="B371" s="241"/>
      <c r="C371" s="243"/>
      <c r="D371" s="243"/>
      <c r="E371" s="243"/>
      <c r="F371" s="243"/>
      <c r="G371" s="243"/>
    </row>
    <row r="372" spans="1:8" ht="30" customHeight="1" thickBot="1" x14ac:dyDescent="0.4">
      <c r="B372" s="241"/>
      <c r="C372" s="243"/>
      <c r="D372" s="243"/>
      <c r="E372" s="243"/>
      <c r="F372" s="243"/>
      <c r="G372" s="243"/>
      <c r="H372" s="213"/>
    </row>
    <row r="373" spans="1:8" ht="30" customHeight="1" thickBot="1" x14ac:dyDescent="0.4">
      <c r="A373" s="240"/>
      <c r="B373" s="240" t="s">
        <v>430</v>
      </c>
      <c r="C373" s="250"/>
      <c r="D373" s="240"/>
      <c r="E373" s="239">
        <v>2011</v>
      </c>
      <c r="F373" s="239">
        <v>2012</v>
      </c>
      <c r="G373" s="239">
        <v>2013</v>
      </c>
      <c r="H373" s="240"/>
    </row>
    <row r="374" spans="1:8" ht="30" customHeight="1" thickTop="1" thickBot="1" x14ac:dyDescent="0.4">
      <c r="A374" s="363" t="s">
        <v>634</v>
      </c>
      <c r="B374" s="299" t="s">
        <v>434</v>
      </c>
      <c r="C374" s="266"/>
      <c r="D374" s="266"/>
      <c r="E374" s="266">
        <f>+E339</f>
        <v>926203</v>
      </c>
      <c r="F374" s="266">
        <f>+F339</f>
        <v>176479</v>
      </c>
      <c r="G374" s="266">
        <f>+G339</f>
        <v>376731</v>
      </c>
      <c r="H374" s="213"/>
    </row>
    <row r="375" spans="1:8" ht="30" customHeight="1" thickTop="1" thickBot="1" x14ac:dyDescent="0.4">
      <c r="A375" s="363" t="s">
        <v>656</v>
      </c>
      <c r="B375" s="299" t="s">
        <v>433</v>
      </c>
      <c r="C375" s="266"/>
      <c r="D375" s="266"/>
      <c r="E375" s="266">
        <f>-E347</f>
        <v>10320</v>
      </c>
      <c r="F375" s="266">
        <f>-F347</f>
        <v>12001</v>
      </c>
      <c r="G375" s="266">
        <f>-G347</f>
        <v>-23879</v>
      </c>
      <c r="H375" s="213"/>
    </row>
    <row r="376" spans="1:8" ht="30" customHeight="1" thickTop="1" thickBot="1" x14ac:dyDescent="0.4">
      <c r="A376" s="363" t="s">
        <v>695</v>
      </c>
      <c r="B376" s="265" t="s">
        <v>435</v>
      </c>
      <c r="C376" s="266"/>
      <c r="D376" s="266"/>
      <c r="E376" s="266">
        <f>-E359</f>
        <v>-212363</v>
      </c>
      <c r="F376" s="266">
        <f t="shared" ref="F376:G376" si="47">-F359</f>
        <v>-125280</v>
      </c>
      <c r="G376" s="266">
        <f t="shared" si="47"/>
        <v>-75595</v>
      </c>
      <c r="H376" s="213"/>
    </row>
    <row r="377" spans="1:8" ht="30" customHeight="1" thickTop="1" thickBot="1" x14ac:dyDescent="0.4">
      <c r="A377" s="363" t="s">
        <v>617</v>
      </c>
      <c r="B377" s="265" t="s">
        <v>436</v>
      </c>
      <c r="C377" s="266"/>
      <c r="D377" s="266"/>
      <c r="E377" s="266">
        <f>-E246</f>
        <v>420408</v>
      </c>
      <c r="F377" s="266">
        <f>-F246</f>
        <v>438170</v>
      </c>
      <c r="G377" s="266">
        <f>-G246</f>
        <v>460430</v>
      </c>
      <c r="H377" s="213"/>
    </row>
    <row r="378" spans="1:8" ht="30" customHeight="1" thickTop="1" thickBot="1" x14ac:dyDescent="0.4">
      <c r="A378" s="363" t="s">
        <v>696</v>
      </c>
      <c r="B378" s="298" t="s">
        <v>431</v>
      </c>
      <c r="C378" s="266"/>
      <c r="D378" s="266"/>
      <c r="E378" s="274">
        <f>SUM(E374:E377)</f>
        <v>1144568</v>
      </c>
      <c r="F378" s="274">
        <f t="shared" ref="F378:G378" si="48">SUM(F374:F377)</f>
        <v>501370</v>
      </c>
      <c r="G378" s="274">
        <f t="shared" si="48"/>
        <v>737687</v>
      </c>
      <c r="H378" s="213"/>
    </row>
    <row r="379" spans="1:8" ht="30" customHeight="1" thickBot="1" x14ac:dyDescent="0.4"/>
    <row r="380" spans="1:8" ht="30" customHeight="1" thickBot="1" x14ac:dyDescent="0.4">
      <c r="A380" s="238"/>
      <c r="B380" s="238" t="s">
        <v>15</v>
      </c>
      <c r="C380" s="238"/>
      <c r="D380" s="238"/>
      <c r="E380" s="238">
        <v>2011</v>
      </c>
      <c r="F380" s="238">
        <v>2012</v>
      </c>
      <c r="G380" s="238">
        <v>2013</v>
      </c>
      <c r="H380" s="238"/>
    </row>
    <row r="381" spans="1:8" ht="30" customHeight="1" thickBot="1" x14ac:dyDescent="0.4"/>
    <row r="382" spans="1:8" ht="30" customHeight="1" thickBot="1" x14ac:dyDescent="0.4">
      <c r="A382" s="239"/>
      <c r="B382" s="239" t="s">
        <v>16</v>
      </c>
      <c r="C382" s="240"/>
      <c r="D382" s="240"/>
      <c r="E382" s="239">
        <v>2011</v>
      </c>
      <c r="F382" s="239">
        <v>2012</v>
      </c>
      <c r="G382" s="239">
        <v>2013</v>
      </c>
      <c r="H382" s="239"/>
    </row>
    <row r="383" spans="1:8" ht="30" customHeight="1" thickTop="1" thickBot="1" x14ac:dyDescent="0.4">
      <c r="A383" s="363" t="s">
        <v>664</v>
      </c>
      <c r="B383" s="265" t="s">
        <v>538</v>
      </c>
      <c r="C383" s="266"/>
      <c r="D383" s="266"/>
      <c r="E383" s="266">
        <f t="shared" ref="E383:G384" si="49">+E109-D109</f>
        <v>367335</v>
      </c>
      <c r="F383" s="266">
        <f t="shared" si="49"/>
        <v>-108339</v>
      </c>
      <c r="G383" s="266">
        <f t="shared" si="49"/>
        <v>-699890</v>
      </c>
      <c r="H383" s="213"/>
    </row>
    <row r="384" spans="1:8" ht="30" customHeight="1" thickTop="1" thickBot="1" x14ac:dyDescent="0.4">
      <c r="A384" s="363" t="s">
        <v>665</v>
      </c>
      <c r="B384" s="265" t="s">
        <v>666</v>
      </c>
      <c r="C384" s="266"/>
      <c r="D384" s="266"/>
      <c r="E384" s="266">
        <f t="shared" si="49"/>
        <v>18018</v>
      </c>
      <c r="F384" s="266">
        <f t="shared" si="49"/>
        <v>-6413</v>
      </c>
      <c r="G384" s="266">
        <f t="shared" si="49"/>
        <v>-5</v>
      </c>
      <c r="H384" s="213"/>
    </row>
    <row r="385" spans="1:8" ht="30" customHeight="1" thickTop="1" thickBot="1" x14ac:dyDescent="0.4">
      <c r="A385" s="363" t="s">
        <v>667</v>
      </c>
      <c r="B385" s="265" t="s">
        <v>539</v>
      </c>
      <c r="C385" s="266"/>
      <c r="D385" s="266"/>
      <c r="E385" s="266">
        <f t="shared" ref="E385:G386" si="50">+E123-D123</f>
        <v>0</v>
      </c>
      <c r="F385" s="266">
        <f t="shared" si="50"/>
        <v>0</v>
      </c>
      <c r="G385" s="266">
        <f t="shared" si="50"/>
        <v>0</v>
      </c>
      <c r="H385" s="213"/>
    </row>
    <row r="386" spans="1:8" ht="30" customHeight="1" thickTop="1" thickBot="1" x14ac:dyDescent="0.4">
      <c r="A386" s="363" t="s">
        <v>668</v>
      </c>
      <c r="B386" s="265" t="s">
        <v>540</v>
      </c>
      <c r="C386" s="266"/>
      <c r="D386" s="266"/>
      <c r="E386" s="266">
        <f t="shared" si="50"/>
        <v>0</v>
      </c>
      <c r="F386" s="266">
        <f t="shared" si="50"/>
        <v>0</v>
      </c>
      <c r="G386" s="266">
        <f t="shared" si="50"/>
        <v>16851</v>
      </c>
      <c r="H386" s="213"/>
    </row>
    <row r="387" spans="1:8" ht="30" customHeight="1" thickTop="1" thickBot="1" x14ac:dyDescent="0.4">
      <c r="A387" s="363" t="s">
        <v>669</v>
      </c>
      <c r="B387" s="265" t="s">
        <v>541</v>
      </c>
      <c r="C387" s="266"/>
      <c r="D387" s="266"/>
      <c r="E387" s="266">
        <f>+E126-D126</f>
        <v>29995</v>
      </c>
      <c r="F387" s="266">
        <f>+F126-E126</f>
        <v>-72934</v>
      </c>
      <c r="G387" s="266">
        <f>+G126-F126</f>
        <v>3415312</v>
      </c>
      <c r="H387" s="213"/>
    </row>
    <row r="388" spans="1:8" ht="30" customHeight="1" thickTop="1" thickBot="1" x14ac:dyDescent="0.4">
      <c r="A388" s="363" t="s">
        <v>671</v>
      </c>
      <c r="B388" s="273" t="s">
        <v>444</v>
      </c>
      <c r="C388" s="274"/>
      <c r="D388" s="274"/>
      <c r="E388" s="274">
        <f>SUM(E383:E387)</f>
        <v>415348</v>
      </c>
      <c r="F388" s="274">
        <f>SUM(F383:F387)</f>
        <v>-187686</v>
      </c>
      <c r="G388" s="274">
        <f>SUM(G383:G387)</f>
        <v>2732268</v>
      </c>
      <c r="H388" s="213"/>
    </row>
    <row r="389" spans="1:8" ht="30" customHeight="1" thickTop="1" thickBot="1" x14ac:dyDescent="0.4">
      <c r="A389" s="363" t="s">
        <v>670</v>
      </c>
      <c r="B389" s="265" t="s">
        <v>542</v>
      </c>
      <c r="C389" s="266"/>
      <c r="D389" s="266"/>
      <c r="E389" s="266">
        <f t="shared" ref="E389:G390" si="51">+E111-D111</f>
        <v>0</v>
      </c>
      <c r="F389" s="266">
        <f t="shared" si="51"/>
        <v>0</v>
      </c>
      <c r="G389" s="266">
        <f t="shared" si="51"/>
        <v>0</v>
      </c>
      <c r="H389" s="213"/>
    </row>
    <row r="390" spans="1:8" ht="30" customHeight="1" thickTop="1" thickBot="1" x14ac:dyDescent="0.4">
      <c r="A390" s="363" t="s">
        <v>672</v>
      </c>
      <c r="B390" s="265" t="s">
        <v>543</v>
      </c>
      <c r="C390" s="266"/>
      <c r="D390" s="266"/>
      <c r="E390" s="266">
        <f t="shared" si="51"/>
        <v>0</v>
      </c>
      <c r="F390" s="266">
        <f t="shared" si="51"/>
        <v>0</v>
      </c>
      <c r="G390" s="266">
        <f t="shared" si="51"/>
        <v>0</v>
      </c>
      <c r="H390" s="213"/>
    </row>
    <row r="391" spans="1:8" ht="30" customHeight="1" thickTop="1" thickBot="1" x14ac:dyDescent="0.4">
      <c r="A391" s="363" t="s">
        <v>673</v>
      </c>
      <c r="B391" s="265" t="s">
        <v>544</v>
      </c>
      <c r="C391" s="274"/>
      <c r="D391" s="274"/>
      <c r="E391" s="266">
        <f t="shared" ref="E391:G392" si="52">+E121-D121</f>
        <v>3178</v>
      </c>
      <c r="F391" s="266">
        <f t="shared" si="52"/>
        <v>-1037</v>
      </c>
      <c r="G391" s="266">
        <f t="shared" si="52"/>
        <v>24382</v>
      </c>
      <c r="H391" s="213"/>
    </row>
    <row r="392" spans="1:8" ht="30" customHeight="1" thickTop="1" thickBot="1" x14ac:dyDescent="0.4">
      <c r="A392" s="363" t="s">
        <v>674</v>
      </c>
      <c r="B392" s="265" t="s">
        <v>545</v>
      </c>
      <c r="C392" s="266"/>
      <c r="D392" s="266"/>
      <c r="E392" s="266">
        <f t="shared" si="52"/>
        <v>-57830</v>
      </c>
      <c r="F392" s="266">
        <f t="shared" si="52"/>
        <v>275158</v>
      </c>
      <c r="G392" s="266">
        <f t="shared" si="52"/>
        <v>-452389</v>
      </c>
      <c r="H392" s="213"/>
    </row>
    <row r="393" spans="1:8" ht="30" customHeight="1" thickTop="1" thickBot="1" x14ac:dyDescent="0.4">
      <c r="A393" s="363" t="s">
        <v>675</v>
      </c>
      <c r="B393" s="265" t="s">
        <v>546</v>
      </c>
      <c r="C393" s="266"/>
      <c r="D393" s="266"/>
      <c r="E393" s="266">
        <f>+E125-D125</f>
        <v>-6390</v>
      </c>
      <c r="F393" s="266">
        <f>+F125-E125</f>
        <v>0</v>
      </c>
      <c r="G393" s="266">
        <f>+G125-F125</f>
        <v>0</v>
      </c>
      <c r="H393" s="213"/>
    </row>
    <row r="394" spans="1:8" ht="30" customHeight="1" thickTop="1" thickBot="1" x14ac:dyDescent="0.4">
      <c r="A394" s="363" t="s">
        <v>676</v>
      </c>
      <c r="B394" s="273" t="s">
        <v>445</v>
      </c>
      <c r="C394" s="274"/>
      <c r="D394" s="274"/>
      <c r="E394" s="274">
        <f>SUM(E391:E393)</f>
        <v>-61042</v>
      </c>
      <c r="F394" s="274">
        <f>SUM(F391:F393)</f>
        <v>274121</v>
      </c>
      <c r="G394" s="274">
        <f>SUM(G391:G393)</f>
        <v>-428007</v>
      </c>
      <c r="H394" s="213"/>
    </row>
    <row r="395" spans="1:8" ht="30" customHeight="1" thickTop="1" thickBot="1" x14ac:dyDescent="0.4">
      <c r="A395" s="363" t="s">
        <v>677</v>
      </c>
      <c r="B395" s="298" t="s">
        <v>437</v>
      </c>
      <c r="C395" s="274"/>
      <c r="D395" s="274"/>
      <c r="E395" s="274">
        <f>+E388+E394</f>
        <v>354306</v>
      </c>
      <c r="F395" s="274">
        <f>+F388+F394</f>
        <v>86435</v>
      </c>
      <c r="G395" s="274">
        <f>+G388+G394</f>
        <v>2304261</v>
      </c>
      <c r="H395" s="213"/>
    </row>
    <row r="396" spans="1:8" ht="30" customHeight="1" thickBot="1" x14ac:dyDescent="0.4"/>
    <row r="397" spans="1:8" ht="30" customHeight="1" thickBot="1" x14ac:dyDescent="0.4">
      <c r="A397" s="251"/>
      <c r="B397" s="251" t="s">
        <v>17</v>
      </c>
      <c r="C397" s="240"/>
      <c r="D397" s="240"/>
      <c r="E397" s="239">
        <v>2011</v>
      </c>
      <c r="F397" s="239">
        <v>2012</v>
      </c>
      <c r="G397" s="239">
        <v>2013</v>
      </c>
      <c r="H397" s="240"/>
    </row>
    <row r="398" spans="1:8" ht="30" customHeight="1" thickTop="1" thickBot="1" x14ac:dyDescent="0.4">
      <c r="A398" s="363" t="s">
        <v>678</v>
      </c>
      <c r="B398" s="265" t="s">
        <v>547</v>
      </c>
      <c r="C398" s="266"/>
      <c r="D398" s="266"/>
      <c r="E398" s="266">
        <f t="shared" ref="E398:G400" si="53">+E147-D147</f>
        <v>0</v>
      </c>
      <c r="F398" s="266">
        <f t="shared" si="53"/>
        <v>0</v>
      </c>
      <c r="G398" s="266">
        <f t="shared" si="53"/>
        <v>0</v>
      </c>
      <c r="H398" s="213"/>
    </row>
    <row r="399" spans="1:8" ht="30" customHeight="1" thickTop="1" thickBot="1" x14ac:dyDescent="0.4">
      <c r="A399" s="363" t="s">
        <v>679</v>
      </c>
      <c r="B399" s="265" t="s">
        <v>548</v>
      </c>
      <c r="C399" s="266"/>
      <c r="D399" s="266"/>
      <c r="E399" s="266">
        <f t="shared" si="53"/>
        <v>-690362</v>
      </c>
      <c r="F399" s="266">
        <f t="shared" si="53"/>
        <v>-278000</v>
      </c>
      <c r="G399" s="266">
        <f t="shared" si="53"/>
        <v>-406515</v>
      </c>
      <c r="H399" s="213"/>
    </row>
    <row r="400" spans="1:8" ht="30" customHeight="1" thickTop="1" thickBot="1" x14ac:dyDescent="0.4">
      <c r="A400" s="363" t="s">
        <v>680</v>
      </c>
      <c r="B400" s="265" t="s">
        <v>550</v>
      </c>
      <c r="C400" s="266"/>
      <c r="D400" s="266"/>
      <c r="E400" s="266">
        <f t="shared" si="53"/>
        <v>0</v>
      </c>
      <c r="F400" s="266">
        <f t="shared" si="53"/>
        <v>0</v>
      </c>
      <c r="G400" s="266">
        <f t="shared" si="53"/>
        <v>0</v>
      </c>
      <c r="H400" s="213"/>
    </row>
    <row r="401" spans="1:8" ht="30" customHeight="1" thickTop="1" thickBot="1" x14ac:dyDescent="0.4">
      <c r="A401" s="363" t="s">
        <v>684</v>
      </c>
      <c r="B401" s="265" t="s">
        <v>549</v>
      </c>
      <c r="C401" s="266"/>
      <c r="D401" s="266"/>
      <c r="E401" s="266">
        <f>+E153-D153</f>
        <v>0</v>
      </c>
      <c r="F401" s="266">
        <f>+F153-E153</f>
        <v>0</v>
      </c>
      <c r="G401" s="266">
        <f>+G153-F153</f>
        <v>0</v>
      </c>
      <c r="H401" s="213"/>
    </row>
    <row r="402" spans="1:8" ht="30" customHeight="1" thickTop="1" thickBot="1" x14ac:dyDescent="0.4">
      <c r="A402" s="363" t="s">
        <v>685</v>
      </c>
      <c r="B402" s="265" t="s">
        <v>551</v>
      </c>
      <c r="C402" s="266"/>
      <c r="D402" s="266"/>
      <c r="E402" s="266">
        <f>+E155-D155</f>
        <v>0</v>
      </c>
      <c r="F402" s="266">
        <f>+F155-E155</f>
        <v>0</v>
      </c>
      <c r="G402" s="266">
        <f>+G155-F155</f>
        <v>0</v>
      </c>
      <c r="H402" s="213"/>
    </row>
    <row r="403" spans="1:8" ht="30" customHeight="1" thickTop="1" thickBot="1" x14ac:dyDescent="0.4">
      <c r="A403" s="363" t="s">
        <v>687</v>
      </c>
      <c r="B403" s="265" t="s">
        <v>552</v>
      </c>
      <c r="C403" s="266"/>
      <c r="D403" s="266"/>
      <c r="E403" s="266">
        <f t="shared" ref="E403:G404" si="54">+E157-D157</f>
        <v>0</v>
      </c>
      <c r="F403" s="266">
        <f t="shared" si="54"/>
        <v>0</v>
      </c>
      <c r="G403" s="266">
        <f t="shared" si="54"/>
        <v>0</v>
      </c>
      <c r="H403" s="213"/>
    </row>
    <row r="404" spans="1:8" ht="30" customHeight="1" thickTop="1" thickBot="1" x14ac:dyDescent="0.4">
      <c r="A404" s="363" t="s">
        <v>688</v>
      </c>
      <c r="B404" s="265" t="s">
        <v>657</v>
      </c>
      <c r="C404" s="266"/>
      <c r="D404" s="266"/>
      <c r="E404" s="266">
        <f t="shared" si="54"/>
        <v>0</v>
      </c>
      <c r="F404" s="266">
        <f t="shared" si="54"/>
        <v>0</v>
      </c>
      <c r="G404" s="266">
        <f t="shared" si="54"/>
        <v>0</v>
      </c>
      <c r="H404" s="213"/>
    </row>
    <row r="405" spans="1:8" ht="30" customHeight="1" thickTop="1" thickBot="1" x14ac:dyDescent="0.4">
      <c r="A405" s="363" t="s">
        <v>689</v>
      </c>
      <c r="B405" s="265" t="s">
        <v>553</v>
      </c>
      <c r="C405" s="266"/>
      <c r="D405" s="266"/>
      <c r="E405" s="266">
        <f>+E161-D161</f>
        <v>0</v>
      </c>
      <c r="F405" s="266">
        <f>+F161-E161</f>
        <v>0</v>
      </c>
      <c r="G405" s="266">
        <f>+G161-F161</f>
        <v>0</v>
      </c>
      <c r="H405" s="213"/>
    </row>
    <row r="406" spans="1:8" ht="30" customHeight="1" thickTop="1" thickBot="1" x14ac:dyDescent="0.4">
      <c r="A406" s="363" t="s">
        <v>692</v>
      </c>
      <c r="B406" s="273" t="s">
        <v>446</v>
      </c>
      <c r="C406" s="274"/>
      <c r="D406" s="274"/>
      <c r="E406" s="274">
        <f>SUM(E398:E405)</f>
        <v>-690362</v>
      </c>
      <c r="F406" s="274">
        <f t="shared" ref="F406:G406" si="55">SUM(F398:F405)</f>
        <v>-278000</v>
      </c>
      <c r="G406" s="274">
        <f t="shared" si="55"/>
        <v>-406515</v>
      </c>
      <c r="H406" s="213"/>
    </row>
    <row r="407" spans="1:8" ht="30" customHeight="1" thickTop="1" thickBot="1" x14ac:dyDescent="0.4">
      <c r="A407" s="363" t="s">
        <v>681</v>
      </c>
      <c r="B407" s="265" t="s">
        <v>658</v>
      </c>
      <c r="C407" s="266"/>
      <c r="D407" s="266"/>
      <c r="E407" s="266">
        <f t="shared" ref="E407:G409" si="56">+E150-D150</f>
        <v>-27371</v>
      </c>
      <c r="F407" s="266">
        <f t="shared" si="56"/>
        <v>-31235</v>
      </c>
      <c r="G407" s="266">
        <f t="shared" si="56"/>
        <v>-31412</v>
      </c>
      <c r="H407" s="213"/>
    </row>
    <row r="408" spans="1:8" ht="30" customHeight="1" thickTop="1" thickBot="1" x14ac:dyDescent="0.4">
      <c r="A408" s="363" t="s">
        <v>682</v>
      </c>
      <c r="B408" s="265" t="s">
        <v>659</v>
      </c>
      <c r="C408" s="266"/>
      <c r="D408" s="266"/>
      <c r="E408" s="266">
        <f t="shared" si="56"/>
        <v>0</v>
      </c>
      <c r="F408" s="266">
        <f t="shared" si="56"/>
        <v>0</v>
      </c>
      <c r="G408" s="266">
        <f t="shared" si="56"/>
        <v>0</v>
      </c>
      <c r="H408" s="213"/>
    </row>
    <row r="409" spans="1:8" ht="30" customHeight="1" thickTop="1" thickBot="1" x14ac:dyDescent="0.4">
      <c r="A409" s="363" t="s">
        <v>683</v>
      </c>
      <c r="B409" s="265" t="s">
        <v>660</v>
      </c>
      <c r="C409" s="266"/>
      <c r="D409" s="266"/>
      <c r="E409" s="266">
        <f t="shared" si="56"/>
        <v>15690</v>
      </c>
      <c r="F409" s="266">
        <f t="shared" si="56"/>
        <v>0</v>
      </c>
      <c r="G409" s="266">
        <f t="shared" si="56"/>
        <v>884310</v>
      </c>
      <c r="H409" s="213"/>
    </row>
    <row r="410" spans="1:8" ht="30" customHeight="1" thickTop="1" thickBot="1" x14ac:dyDescent="0.4">
      <c r="A410" s="363" t="s">
        <v>686</v>
      </c>
      <c r="B410" s="265" t="s">
        <v>661</v>
      </c>
      <c r="C410" s="266"/>
      <c r="D410" s="266"/>
      <c r="E410" s="266">
        <f>+E156-D156</f>
        <v>-60145</v>
      </c>
      <c r="F410" s="266">
        <f>+F156-E156</f>
        <v>-17159</v>
      </c>
      <c r="G410" s="266">
        <f>+G156-F156</f>
        <v>913</v>
      </c>
      <c r="H410" s="213"/>
    </row>
    <row r="411" spans="1:8" ht="30" customHeight="1" thickTop="1" thickBot="1" x14ac:dyDescent="0.4">
      <c r="A411" s="363" t="s">
        <v>690</v>
      </c>
      <c r="B411" s="265" t="s">
        <v>662</v>
      </c>
      <c r="C411" s="265"/>
      <c r="D411" s="265"/>
      <c r="E411" s="266">
        <f t="shared" ref="E411:G412" si="57">+E159-D159</f>
        <v>-28074</v>
      </c>
      <c r="F411" s="266">
        <f t="shared" si="57"/>
        <v>-88541</v>
      </c>
      <c r="G411" s="266">
        <f t="shared" si="57"/>
        <v>1119278</v>
      </c>
    </row>
    <row r="412" spans="1:8" ht="30" customHeight="1" thickTop="1" thickBot="1" x14ac:dyDescent="0.4">
      <c r="A412" s="363" t="s">
        <v>691</v>
      </c>
      <c r="B412" s="265" t="s">
        <v>663</v>
      </c>
      <c r="C412" s="266"/>
      <c r="D412" s="266"/>
      <c r="E412" s="266">
        <f t="shared" si="57"/>
        <v>0</v>
      </c>
      <c r="F412" s="266">
        <f t="shared" si="57"/>
        <v>0</v>
      </c>
      <c r="G412" s="266">
        <f t="shared" si="57"/>
        <v>0</v>
      </c>
      <c r="H412" s="213"/>
    </row>
    <row r="413" spans="1:8" ht="30" customHeight="1" thickTop="1" thickBot="1" x14ac:dyDescent="0.4">
      <c r="A413" s="363" t="s">
        <v>693</v>
      </c>
      <c r="B413" s="273" t="s">
        <v>464</v>
      </c>
      <c r="C413" s="274"/>
      <c r="D413" s="274"/>
      <c r="E413" s="274">
        <f>SUM(E407:E412)</f>
        <v>-99900</v>
      </c>
      <c r="F413" s="274">
        <f>SUM(F407:F412)</f>
        <v>-136935</v>
      </c>
      <c r="G413" s="274">
        <f>SUM(G407:G412)</f>
        <v>1973089</v>
      </c>
      <c r="H413" s="213"/>
    </row>
    <row r="414" spans="1:8" ht="30" customHeight="1" thickTop="1" thickBot="1" x14ac:dyDescent="0.4">
      <c r="A414" s="363" t="s">
        <v>694</v>
      </c>
      <c r="B414" s="298" t="s">
        <v>438</v>
      </c>
      <c r="C414" s="274"/>
      <c r="D414" s="274"/>
      <c r="E414" s="274">
        <f>+E406+E413</f>
        <v>-790262</v>
      </c>
      <c r="F414" s="274">
        <f>+F406+F413</f>
        <v>-414935</v>
      </c>
      <c r="G414" s="274">
        <f>+G406+G413</f>
        <v>1566574</v>
      </c>
      <c r="H414" s="213"/>
    </row>
    <row r="415" spans="1:8" ht="30" customHeight="1" thickBot="1" x14ac:dyDescent="0.4"/>
    <row r="416" spans="1:8" ht="30" customHeight="1" thickBot="1" x14ac:dyDescent="0.4">
      <c r="A416" s="240"/>
      <c r="B416" s="239" t="s">
        <v>439</v>
      </c>
      <c r="C416" s="240"/>
      <c r="D416" s="240"/>
      <c r="E416" s="252">
        <f>+E395-E414</f>
        <v>1144568</v>
      </c>
      <c r="F416" s="252">
        <f>+F395-F414</f>
        <v>501370</v>
      </c>
      <c r="G416" s="252">
        <f>+G395-G414</f>
        <v>737687</v>
      </c>
      <c r="H416" s="240"/>
    </row>
    <row r="418" spans="1:8" ht="30" customHeight="1" x14ac:dyDescent="0.35">
      <c r="A418" s="199"/>
      <c r="B418" s="217" t="s">
        <v>432</v>
      </c>
      <c r="C418" s="218"/>
      <c r="D418" s="253"/>
      <c r="E418" s="254">
        <f>+E416-E378</f>
        <v>0</v>
      </c>
      <c r="F418" s="254">
        <f>+F416-F378</f>
        <v>0</v>
      </c>
      <c r="G418" s="255">
        <f>+G416-G378</f>
        <v>0</v>
      </c>
      <c r="H418" s="257" t="s">
        <v>393</v>
      </c>
    </row>
  </sheetData>
  <sheetProtection selectLockedCells="1"/>
  <pageMargins left="0.51181102362204722" right="0.31496062992125984" top="0.74803149606299213" bottom="0.74803149606299213" header="0.31496062992125984" footer="0.31496062992125984"/>
  <pageSetup paperSize="9" scale="55" orientation="landscape" r:id="rId1"/>
  <ignoredErrors>
    <ignoredError sqref="E217" formula="1"/>
    <ignoredError sqref="A76 A65 A66 A5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X51"/>
  <sheetViews>
    <sheetView zoomScale="110" zoomScaleNormal="110" workbookViewId="0">
      <pane xSplit="4" ySplit="4" topLeftCell="S11" activePane="bottomRight" state="frozen"/>
      <selection pane="topRight" activeCell="E1" sqref="E1"/>
      <selection pane="bottomLeft" activeCell="A5" sqref="A5"/>
      <selection pane="bottomRight" activeCell="A19" sqref="A19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6" width="12.85546875" style="7" customWidth="1"/>
    <col min="7" max="8" width="16.140625" style="7" customWidth="1"/>
    <col min="9" max="10" width="13.42578125" style="7" customWidth="1"/>
    <col min="11" max="11" width="12.42578125" style="7" bestFit="1" customWidth="1"/>
    <col min="12" max="12" width="12.42578125" style="7" customWidth="1"/>
    <col min="13" max="13" width="13.140625" style="7" customWidth="1"/>
    <col min="14" max="14" width="14.85546875" style="7" customWidth="1"/>
    <col min="15" max="16" width="11.85546875" style="7" customWidth="1"/>
    <col min="17" max="17" width="12.42578125" style="7" customWidth="1"/>
    <col min="18" max="18" width="12.28515625" style="7" customWidth="1"/>
    <col min="19" max="19" width="12.140625" style="7" customWidth="1"/>
    <col min="20" max="20" width="13.85546875" style="7" customWidth="1"/>
    <col min="21" max="21" width="11.7109375" style="7" customWidth="1"/>
    <col min="22" max="23" width="11.5703125" style="7" customWidth="1"/>
    <col min="24" max="24" width="12.85546875" style="7" customWidth="1"/>
    <col min="25" max="25" width="12" style="7" customWidth="1"/>
    <col min="26" max="26" width="11" style="7" customWidth="1"/>
    <col min="27" max="27" width="12.42578125" style="7" customWidth="1"/>
    <col min="28" max="28" width="11.7109375" style="7" customWidth="1"/>
    <col min="29" max="29" width="12.85546875" style="7" customWidth="1"/>
    <col min="30" max="30" width="14.42578125" style="7" customWidth="1"/>
    <col min="31" max="31" width="12.140625" style="7" customWidth="1"/>
    <col min="32" max="32" width="12.140625" style="24" customWidth="1"/>
    <col min="33" max="33" width="13.140625" style="7" customWidth="1"/>
    <col min="34" max="34" width="13.5703125" style="7" customWidth="1"/>
    <col min="35" max="36" width="13.28515625" style="7" customWidth="1"/>
    <col min="37" max="37" width="13.85546875" style="7" customWidth="1"/>
    <col min="38" max="38" width="13.5703125" style="7" customWidth="1"/>
    <col min="39" max="39" width="14.85546875" style="7" customWidth="1"/>
    <col min="40" max="16384" width="11.42578125" style="7"/>
  </cols>
  <sheetData>
    <row r="1" spans="1:39" s="9" customFormat="1" ht="41.85" customHeight="1" x14ac:dyDescent="0.25">
      <c r="A1" s="7"/>
      <c r="B1" s="2"/>
      <c r="C1" s="2"/>
      <c r="D1" s="8"/>
      <c r="E1" s="439" t="s">
        <v>18</v>
      </c>
      <c r="F1" s="451"/>
      <c r="G1" s="451"/>
      <c r="H1" s="451"/>
      <c r="I1" s="451"/>
      <c r="J1" s="451"/>
      <c r="K1" s="187" t="s">
        <v>19</v>
      </c>
      <c r="L1" s="186" t="s">
        <v>169</v>
      </c>
      <c r="M1" s="454" t="s">
        <v>170</v>
      </c>
      <c r="N1" s="455"/>
      <c r="O1" s="455"/>
      <c r="P1" s="455"/>
      <c r="Q1" s="455"/>
      <c r="R1" s="456"/>
      <c r="S1" s="187" t="s">
        <v>177</v>
      </c>
      <c r="T1" s="187" t="s">
        <v>178</v>
      </c>
      <c r="U1" s="191" t="s">
        <v>179</v>
      </c>
      <c r="V1" s="441" t="s">
        <v>180</v>
      </c>
      <c r="W1" s="442"/>
      <c r="X1" s="443"/>
      <c r="Y1" s="444" t="s">
        <v>181</v>
      </c>
      <c r="Z1" s="445"/>
      <c r="AA1" s="446"/>
      <c r="AB1" s="439" t="s">
        <v>182</v>
      </c>
      <c r="AC1" s="442"/>
      <c r="AD1" s="453" t="s">
        <v>183</v>
      </c>
      <c r="AE1" s="443"/>
      <c r="AF1" s="449" t="s">
        <v>184</v>
      </c>
      <c r="AG1" s="450"/>
      <c r="AH1" s="452" t="s">
        <v>185</v>
      </c>
      <c r="AI1" s="443"/>
      <c r="AJ1" s="439" t="s">
        <v>186</v>
      </c>
      <c r="AK1" s="440"/>
      <c r="AL1" s="187" t="s">
        <v>187</v>
      </c>
      <c r="AM1" s="1" t="s">
        <v>188</v>
      </c>
    </row>
    <row r="2" spans="1:39" s="3" customFormat="1" ht="41.85" customHeight="1" x14ac:dyDescent="0.25">
      <c r="A2" s="31">
        <v>2011</v>
      </c>
      <c r="B2" s="2"/>
      <c r="C2" s="2"/>
      <c r="D2" s="2"/>
      <c r="E2" s="439" t="s">
        <v>0</v>
      </c>
      <c r="F2" s="461"/>
      <c r="G2" s="457" t="s">
        <v>1</v>
      </c>
      <c r="H2" s="458"/>
      <c r="I2" s="439" t="s">
        <v>2</v>
      </c>
      <c r="J2" s="440"/>
      <c r="K2" s="189" t="s">
        <v>3</v>
      </c>
      <c r="L2" s="185" t="s">
        <v>4</v>
      </c>
      <c r="M2" s="462" t="s">
        <v>64</v>
      </c>
      <c r="N2" s="463"/>
      <c r="O2" s="463"/>
      <c r="P2" s="464"/>
      <c r="Q2" s="10" t="s">
        <v>193</v>
      </c>
      <c r="R2" s="10" t="s">
        <v>194</v>
      </c>
      <c r="S2" s="189" t="s">
        <v>65</v>
      </c>
      <c r="T2" s="189" t="s">
        <v>66</v>
      </c>
      <c r="U2" s="189" t="s">
        <v>51</v>
      </c>
      <c r="V2" s="187" t="s">
        <v>10</v>
      </c>
      <c r="W2" s="1" t="s">
        <v>56</v>
      </c>
      <c r="X2" s="1" t="s">
        <v>52</v>
      </c>
      <c r="Y2" s="1" t="s">
        <v>5</v>
      </c>
      <c r="Z2" s="1" t="s">
        <v>58</v>
      </c>
      <c r="AA2" s="1" t="s">
        <v>195</v>
      </c>
      <c r="AB2" s="187" t="s">
        <v>6</v>
      </c>
      <c r="AC2" s="38" t="s">
        <v>59</v>
      </c>
      <c r="AD2" s="36" t="s">
        <v>7</v>
      </c>
      <c r="AE2" s="5" t="s">
        <v>80</v>
      </c>
      <c r="AF2" s="347" t="s">
        <v>12</v>
      </c>
      <c r="AG2" s="189" t="s">
        <v>60</v>
      </c>
      <c r="AH2" s="36" t="s">
        <v>13</v>
      </c>
      <c r="AI2" s="189" t="s">
        <v>196</v>
      </c>
      <c r="AJ2" s="189" t="s">
        <v>61</v>
      </c>
      <c r="AK2" s="189" t="s">
        <v>216</v>
      </c>
      <c r="AL2" s="5" t="s">
        <v>63</v>
      </c>
      <c r="AM2" s="190" t="s">
        <v>197</v>
      </c>
    </row>
    <row r="3" spans="1:39" s="9" customFormat="1" x14ac:dyDescent="0.25">
      <c r="A3" s="7"/>
      <c r="B3" s="2"/>
      <c r="C3" s="2"/>
      <c r="D3" s="8"/>
      <c r="E3" s="187" t="s">
        <v>8</v>
      </c>
      <c r="F3" s="343" t="s">
        <v>9</v>
      </c>
      <c r="G3" s="194" t="s">
        <v>219</v>
      </c>
      <c r="H3" s="194" t="s">
        <v>220</v>
      </c>
      <c r="I3" s="345" t="s">
        <v>202</v>
      </c>
      <c r="J3" s="187" t="s">
        <v>203</v>
      </c>
      <c r="K3" s="189"/>
      <c r="L3" s="189"/>
      <c r="M3" s="10" t="s">
        <v>189</v>
      </c>
      <c r="N3" s="346" t="s">
        <v>190</v>
      </c>
      <c r="O3" s="10" t="s">
        <v>191</v>
      </c>
      <c r="P3" s="10" t="s">
        <v>192</v>
      </c>
      <c r="Q3" s="10"/>
      <c r="R3" s="10"/>
      <c r="S3" s="189"/>
      <c r="T3" s="189"/>
      <c r="U3" s="189"/>
      <c r="V3" s="187"/>
      <c r="W3" s="1"/>
      <c r="X3" s="1"/>
      <c r="Y3" s="187"/>
      <c r="Z3" s="187"/>
      <c r="AA3" s="187"/>
      <c r="AB3" s="187"/>
      <c r="AC3" s="185"/>
      <c r="AD3" s="44"/>
      <c r="AE3" s="5"/>
      <c r="AF3" s="347"/>
      <c r="AG3" s="189"/>
      <c r="AH3" s="36"/>
      <c r="AI3" s="189"/>
      <c r="AJ3" s="189"/>
      <c r="AK3" s="189"/>
      <c r="AL3" s="189"/>
      <c r="AM3" s="188"/>
    </row>
    <row r="4" spans="1:39" s="9" customFormat="1" ht="38.25" x14ac:dyDescent="0.25">
      <c r="A4" s="7"/>
      <c r="B4" s="2"/>
      <c r="C4" s="2"/>
      <c r="D4" s="8"/>
      <c r="E4" s="307" t="s">
        <v>512</v>
      </c>
      <c r="F4" s="344"/>
      <c r="G4" s="192" t="s">
        <v>221</v>
      </c>
      <c r="H4" s="187" t="s">
        <v>222</v>
      </c>
      <c r="I4" s="343" t="s">
        <v>268</v>
      </c>
      <c r="J4" s="187" t="s">
        <v>283</v>
      </c>
      <c r="K4" s="187" t="s">
        <v>26</v>
      </c>
      <c r="L4" s="187" t="s">
        <v>171</v>
      </c>
      <c r="M4" s="187" t="s">
        <v>175</v>
      </c>
      <c r="N4" s="343" t="s">
        <v>22</v>
      </c>
      <c r="O4" s="187" t="s">
        <v>23</v>
      </c>
      <c r="P4" s="187" t="s">
        <v>28</v>
      </c>
      <c r="Q4" s="187" t="s">
        <v>173</v>
      </c>
      <c r="R4" s="4" t="s">
        <v>174</v>
      </c>
      <c r="S4" s="187" t="s">
        <v>20</v>
      </c>
      <c r="T4" s="187" t="s">
        <v>20</v>
      </c>
      <c r="U4" s="187" t="s">
        <v>20</v>
      </c>
      <c r="V4" s="187" t="s">
        <v>11</v>
      </c>
      <c r="W4" s="1" t="s">
        <v>167</v>
      </c>
      <c r="X4" s="1" t="s">
        <v>54</v>
      </c>
      <c r="Y4" s="187" t="s">
        <v>55</v>
      </c>
      <c r="Z4" s="192" t="s">
        <v>284</v>
      </c>
      <c r="AA4" s="192" t="s">
        <v>57</v>
      </c>
      <c r="AB4" s="187" t="s">
        <v>25</v>
      </c>
      <c r="AC4" s="43" t="s">
        <v>47</v>
      </c>
      <c r="AD4" s="37" t="s">
        <v>503</v>
      </c>
      <c r="AE4" s="317" t="s">
        <v>77</v>
      </c>
      <c r="AF4" s="343"/>
      <c r="AG4" s="187" t="s">
        <v>45</v>
      </c>
      <c r="AH4" s="187" t="s">
        <v>176</v>
      </c>
      <c r="AI4" s="343" t="s">
        <v>77</v>
      </c>
      <c r="AJ4" s="343" t="s">
        <v>81</v>
      </c>
      <c r="AK4" s="187" t="s">
        <v>45</v>
      </c>
      <c r="AL4" s="187" t="s">
        <v>62</v>
      </c>
      <c r="AM4" s="187" t="s">
        <v>46</v>
      </c>
    </row>
    <row r="5" spans="1:39" s="9" customFormat="1" ht="12.75" customHeight="1" x14ac:dyDescent="0.25">
      <c r="A5" s="439" t="s">
        <v>18</v>
      </c>
      <c r="B5" s="449" t="s">
        <v>0</v>
      </c>
      <c r="C5" s="187" t="s">
        <v>8</v>
      </c>
      <c r="D5" s="307" t="s">
        <v>512</v>
      </c>
      <c r="E5" s="46"/>
      <c r="F5" s="365"/>
      <c r="G5" s="47"/>
      <c r="H5" s="47"/>
      <c r="I5" s="365"/>
      <c r="J5" s="47"/>
      <c r="K5" s="48"/>
      <c r="L5" s="63"/>
      <c r="M5" s="49"/>
      <c r="N5" s="365"/>
      <c r="O5" s="49"/>
      <c r="P5" s="47"/>
      <c r="Q5" s="47"/>
      <c r="R5" s="47"/>
      <c r="S5" s="47"/>
      <c r="T5" s="47"/>
      <c r="U5" s="47"/>
      <c r="V5" s="47"/>
      <c r="W5" s="47"/>
      <c r="X5" s="47"/>
      <c r="Y5" s="366">
        <f>+Data!E216</f>
        <v>0</v>
      </c>
      <c r="Z5" s="366">
        <f>+Data!E218</f>
        <v>0</v>
      </c>
      <c r="AA5" s="50"/>
      <c r="AB5" s="50"/>
      <c r="AC5" s="367"/>
      <c r="AD5" s="368">
        <f>Data!E214+Data!E215+Data!E217+ Data!E95</f>
        <v>8022219</v>
      </c>
      <c r="AE5" s="369"/>
      <c r="AF5" s="369"/>
      <c r="AG5" s="52"/>
      <c r="AH5" s="51"/>
      <c r="AI5" s="365"/>
      <c r="AJ5" s="365"/>
      <c r="AK5" s="52"/>
      <c r="AL5" s="47"/>
      <c r="AM5" s="53">
        <f t="shared" ref="AM5:AM30" si="0">SUM(E5:AL5)</f>
        <v>8022219</v>
      </c>
    </row>
    <row r="6" spans="1:39" s="9" customFormat="1" x14ac:dyDescent="0.25">
      <c r="A6" s="451"/>
      <c r="B6" s="465"/>
      <c r="C6" s="343" t="s">
        <v>9</v>
      </c>
      <c r="D6" s="343"/>
      <c r="E6" s="370"/>
      <c r="F6" s="365"/>
      <c r="G6" s="36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71"/>
      <c r="Z6" s="372"/>
      <c r="AA6" s="373"/>
      <c r="AB6" s="371"/>
      <c r="AC6" s="374"/>
      <c r="AD6" s="375"/>
      <c r="AE6" s="365"/>
      <c r="AF6" s="365"/>
      <c r="AG6" s="365"/>
      <c r="AH6" s="375"/>
      <c r="AI6" s="365"/>
      <c r="AJ6" s="365"/>
      <c r="AK6" s="365"/>
      <c r="AL6" s="365"/>
      <c r="AM6" s="376">
        <f t="shared" si="0"/>
        <v>0</v>
      </c>
    </row>
    <row r="7" spans="1:39" s="9" customFormat="1" ht="25.5" x14ac:dyDescent="0.25">
      <c r="A7" s="451"/>
      <c r="B7" s="459" t="s">
        <v>1</v>
      </c>
      <c r="C7" s="194" t="s">
        <v>219</v>
      </c>
      <c r="D7" s="192" t="s">
        <v>221</v>
      </c>
      <c r="E7" s="46"/>
      <c r="F7" s="365"/>
      <c r="G7" s="47"/>
      <c r="H7" s="47"/>
      <c r="I7" s="369"/>
      <c r="J7" s="377">
        <f>-Data!E233</f>
        <v>2770214</v>
      </c>
      <c r="K7" s="47"/>
      <c r="L7" s="47"/>
      <c r="M7" s="49"/>
      <c r="N7" s="365"/>
      <c r="O7" s="49"/>
      <c r="P7" s="47"/>
      <c r="Q7" s="47"/>
      <c r="R7" s="47"/>
      <c r="S7" s="47"/>
      <c r="T7" s="47"/>
      <c r="U7" s="47"/>
      <c r="V7" s="47"/>
      <c r="W7" s="47"/>
      <c r="X7" s="47"/>
      <c r="Y7" s="366">
        <f>+Data!E342+Data!E343</f>
        <v>-10320</v>
      </c>
      <c r="Z7" s="48"/>
      <c r="AA7" s="54"/>
      <c r="AB7" s="50"/>
      <c r="AC7" s="367"/>
      <c r="AD7" s="51"/>
      <c r="AE7" s="52"/>
      <c r="AF7" s="365"/>
      <c r="AG7" s="52"/>
      <c r="AH7" s="51"/>
      <c r="AI7" s="365"/>
      <c r="AJ7" s="365"/>
      <c r="AK7" s="52"/>
      <c r="AL7" s="47"/>
      <c r="AM7" s="53">
        <f t="shared" si="0"/>
        <v>2759894</v>
      </c>
    </row>
    <row r="8" spans="1:39" s="9" customFormat="1" x14ac:dyDescent="0.25">
      <c r="A8" s="451"/>
      <c r="B8" s="460"/>
      <c r="C8" s="194" t="s">
        <v>220</v>
      </c>
      <c r="D8" s="187" t="s">
        <v>222</v>
      </c>
      <c r="E8" s="46"/>
      <c r="F8" s="365"/>
      <c r="G8" s="47"/>
      <c r="H8" s="47"/>
      <c r="I8" s="365"/>
      <c r="J8" s="52"/>
      <c r="K8" s="47"/>
      <c r="L8" s="47"/>
      <c r="M8" s="49"/>
      <c r="N8" s="365"/>
      <c r="O8" s="49"/>
      <c r="P8" s="47"/>
      <c r="Q8" s="47"/>
      <c r="R8" s="47"/>
      <c r="S8" s="47"/>
      <c r="T8" s="47"/>
      <c r="U8" s="47"/>
      <c r="V8" s="47"/>
      <c r="W8" s="47"/>
      <c r="X8" s="47"/>
      <c r="Y8" s="50"/>
      <c r="Z8" s="366">
        <f>+Data!E364</f>
        <v>212363</v>
      </c>
      <c r="AA8" s="54"/>
      <c r="AB8" s="50"/>
      <c r="AC8" s="367"/>
      <c r="AD8" s="51"/>
      <c r="AE8" s="52"/>
      <c r="AF8" s="365"/>
      <c r="AG8" s="52"/>
      <c r="AH8" s="378"/>
      <c r="AI8" s="369"/>
      <c r="AJ8" s="369"/>
      <c r="AK8" s="52"/>
      <c r="AL8" s="47"/>
      <c r="AM8" s="55">
        <f t="shared" si="0"/>
        <v>212363</v>
      </c>
    </row>
    <row r="9" spans="1:39" s="9" customFormat="1" x14ac:dyDescent="0.25">
      <c r="A9" s="451"/>
      <c r="B9" s="447" t="s">
        <v>2</v>
      </c>
      <c r="C9" s="194" t="s">
        <v>202</v>
      </c>
      <c r="D9" s="348" t="s">
        <v>268</v>
      </c>
      <c r="E9" s="365"/>
      <c r="F9" s="365"/>
      <c r="G9" s="365"/>
      <c r="H9" s="365"/>
      <c r="I9" s="365"/>
      <c r="J9" s="365"/>
      <c r="K9" s="369"/>
      <c r="L9" s="365"/>
      <c r="M9" s="365"/>
      <c r="N9" s="365"/>
      <c r="O9" s="365"/>
      <c r="P9" s="365"/>
      <c r="Q9" s="365"/>
      <c r="R9" s="365"/>
      <c r="S9" s="365"/>
      <c r="T9" s="365"/>
      <c r="U9" s="365"/>
      <c r="V9" s="365"/>
      <c r="W9" s="365"/>
      <c r="X9" s="365"/>
      <c r="Y9" s="371"/>
      <c r="Z9" s="371"/>
      <c r="AA9" s="371"/>
      <c r="AB9" s="371"/>
      <c r="AC9" s="374"/>
      <c r="AD9" s="375"/>
      <c r="AE9" s="365"/>
      <c r="AF9" s="365"/>
      <c r="AG9" s="365"/>
      <c r="AH9" s="375"/>
      <c r="AI9" s="365"/>
      <c r="AJ9" s="365"/>
      <c r="AK9" s="365"/>
      <c r="AL9" s="365"/>
      <c r="AM9" s="376">
        <f t="shared" si="0"/>
        <v>0</v>
      </c>
    </row>
    <row r="10" spans="1:39" s="9" customFormat="1" ht="25.5" x14ac:dyDescent="0.25">
      <c r="A10" s="451"/>
      <c r="B10" s="448"/>
      <c r="C10" s="187" t="s">
        <v>203</v>
      </c>
      <c r="D10" s="187" t="s">
        <v>283</v>
      </c>
      <c r="E10" s="47"/>
      <c r="F10" s="365"/>
      <c r="G10" s="47"/>
      <c r="H10" s="47"/>
      <c r="I10" s="365"/>
      <c r="J10" s="47"/>
      <c r="K10" s="377">
        <f>+J7</f>
        <v>2770214</v>
      </c>
      <c r="L10" s="57"/>
      <c r="M10" s="49"/>
      <c r="N10" s="365"/>
      <c r="O10" s="49"/>
      <c r="P10" s="47"/>
      <c r="Q10" s="47"/>
      <c r="R10" s="47"/>
      <c r="S10" s="47"/>
      <c r="T10" s="47"/>
      <c r="U10" s="47"/>
      <c r="V10" s="47"/>
      <c r="W10" s="47"/>
      <c r="X10" s="47"/>
      <c r="Y10" s="50"/>
      <c r="Z10" s="50"/>
      <c r="AA10" s="50"/>
      <c r="AB10" s="56"/>
      <c r="AC10" s="367"/>
      <c r="AD10" s="51"/>
      <c r="AE10" s="52"/>
      <c r="AF10" s="365"/>
      <c r="AG10" s="52"/>
      <c r="AH10" s="51"/>
      <c r="AI10" s="365"/>
      <c r="AJ10" s="365"/>
      <c r="AK10" s="52"/>
      <c r="AL10" s="47"/>
      <c r="AM10" s="53">
        <f t="shared" si="0"/>
        <v>2770214</v>
      </c>
    </row>
    <row r="11" spans="1:39" s="9" customFormat="1" x14ac:dyDescent="0.25">
      <c r="A11" s="187" t="s">
        <v>19</v>
      </c>
      <c r="B11" s="189" t="s">
        <v>3</v>
      </c>
      <c r="C11" s="189"/>
      <c r="D11" s="187" t="s">
        <v>26</v>
      </c>
      <c r="E11" s="377">
        <f>+Data!E220</f>
        <v>7497401</v>
      </c>
      <c r="F11" s="369"/>
      <c r="G11" s="52"/>
      <c r="H11" s="52"/>
      <c r="I11" s="365"/>
      <c r="J11" s="52"/>
      <c r="K11" s="47"/>
      <c r="L11" s="57"/>
      <c r="M11" s="49"/>
      <c r="N11" s="365"/>
      <c r="O11" s="49"/>
      <c r="P11" s="47"/>
      <c r="Q11" s="47"/>
      <c r="R11" s="47"/>
      <c r="S11" s="47"/>
      <c r="T11" s="47"/>
      <c r="U11" s="47"/>
      <c r="V11" s="57"/>
      <c r="W11" s="57"/>
      <c r="X11" s="57"/>
      <c r="Y11" s="57"/>
      <c r="Z11" s="57"/>
      <c r="AA11" s="57"/>
      <c r="AB11" s="57"/>
      <c r="AC11" s="367"/>
      <c r="AD11" s="51"/>
      <c r="AE11" s="52"/>
      <c r="AF11" s="365"/>
      <c r="AG11" s="52"/>
      <c r="AH11" s="51"/>
      <c r="AI11" s="365"/>
      <c r="AJ11" s="365"/>
      <c r="AK11" s="52"/>
      <c r="AL11" s="47"/>
      <c r="AM11" s="53">
        <f t="shared" si="0"/>
        <v>7497401</v>
      </c>
    </row>
    <row r="12" spans="1:39" s="9" customFormat="1" x14ac:dyDescent="0.25">
      <c r="A12" s="186" t="s">
        <v>169</v>
      </c>
      <c r="B12" s="185" t="s">
        <v>4</v>
      </c>
      <c r="C12" s="189"/>
      <c r="D12" s="187" t="s">
        <v>171</v>
      </c>
      <c r="E12" s="57"/>
      <c r="F12" s="365"/>
      <c r="G12" s="57"/>
      <c r="H12" s="57"/>
      <c r="I12" s="365"/>
      <c r="J12" s="59"/>
      <c r="K12" s="377">
        <f>E11-SUM(K9:K10)-K26</f>
        <v>4306779</v>
      </c>
      <c r="L12" s="379"/>
      <c r="M12" s="61"/>
      <c r="N12" s="365"/>
      <c r="O12" s="49"/>
      <c r="P12" s="47"/>
      <c r="Q12" s="47"/>
      <c r="R12" s="47"/>
      <c r="S12" s="47"/>
      <c r="T12" s="47"/>
      <c r="U12" s="47"/>
      <c r="V12" s="57"/>
      <c r="W12" s="57"/>
      <c r="X12" s="57"/>
      <c r="Y12" s="57"/>
      <c r="Z12" s="57"/>
      <c r="AA12" s="57"/>
      <c r="AB12" s="57"/>
      <c r="AC12" s="367"/>
      <c r="AD12" s="51"/>
      <c r="AE12" s="52"/>
      <c r="AF12" s="365"/>
      <c r="AG12" s="52"/>
      <c r="AH12" s="51"/>
      <c r="AI12" s="365"/>
      <c r="AJ12" s="365"/>
      <c r="AK12" s="52"/>
      <c r="AL12" s="47"/>
      <c r="AM12" s="53">
        <f t="shared" si="0"/>
        <v>4306779</v>
      </c>
    </row>
    <row r="13" spans="1:39" s="9" customFormat="1" x14ac:dyDescent="0.25">
      <c r="A13" s="454" t="s">
        <v>170</v>
      </c>
      <c r="B13" s="470" t="s">
        <v>64</v>
      </c>
      <c r="C13" s="10" t="s">
        <v>189</v>
      </c>
      <c r="D13" s="187" t="s">
        <v>175</v>
      </c>
      <c r="E13" s="47"/>
      <c r="F13" s="365"/>
      <c r="G13" s="47"/>
      <c r="H13" s="47"/>
      <c r="I13" s="365"/>
      <c r="J13" s="59"/>
      <c r="K13" s="60"/>
      <c r="L13" s="366">
        <f>-Data!E256</f>
        <v>2163836</v>
      </c>
      <c r="M13" s="61"/>
      <c r="N13" s="365"/>
      <c r="O13" s="49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367"/>
      <c r="AD13" s="51"/>
      <c r="AE13" s="52"/>
      <c r="AF13" s="365"/>
      <c r="AG13" s="52"/>
      <c r="AH13" s="51"/>
      <c r="AI13" s="365"/>
      <c r="AJ13" s="365"/>
      <c r="AK13" s="52"/>
      <c r="AL13" s="47"/>
      <c r="AM13" s="53">
        <f t="shared" si="0"/>
        <v>2163836</v>
      </c>
    </row>
    <row r="14" spans="1:39" s="9" customFormat="1" x14ac:dyDescent="0.25">
      <c r="A14" s="455"/>
      <c r="B14" s="471"/>
      <c r="C14" s="10" t="s">
        <v>190</v>
      </c>
      <c r="D14" s="348" t="s">
        <v>22</v>
      </c>
      <c r="E14" s="365"/>
      <c r="F14" s="365"/>
      <c r="G14" s="365"/>
      <c r="H14" s="365"/>
      <c r="I14" s="365"/>
      <c r="J14" s="370"/>
      <c r="K14" s="380"/>
      <c r="L14" s="381"/>
      <c r="M14" s="375"/>
      <c r="N14" s="365"/>
      <c r="O14" s="365"/>
      <c r="P14" s="365"/>
      <c r="Q14" s="365"/>
      <c r="R14" s="365"/>
      <c r="S14" s="365"/>
      <c r="T14" s="365"/>
      <c r="U14" s="365"/>
      <c r="V14" s="365"/>
      <c r="W14" s="365"/>
      <c r="X14" s="365"/>
      <c r="Y14" s="365"/>
      <c r="Z14" s="365"/>
      <c r="AA14" s="365"/>
      <c r="AB14" s="365"/>
      <c r="AC14" s="374"/>
      <c r="AD14" s="375"/>
      <c r="AE14" s="365"/>
      <c r="AF14" s="365"/>
      <c r="AG14" s="365"/>
      <c r="AH14" s="375"/>
      <c r="AI14" s="365"/>
      <c r="AJ14" s="365"/>
      <c r="AK14" s="365"/>
      <c r="AL14" s="365"/>
      <c r="AM14" s="376">
        <f t="shared" si="0"/>
        <v>0</v>
      </c>
    </row>
    <row r="15" spans="1:39" s="9" customFormat="1" ht="25.5" x14ac:dyDescent="0.25">
      <c r="A15" s="455"/>
      <c r="B15" s="471"/>
      <c r="C15" s="10" t="s">
        <v>191</v>
      </c>
      <c r="D15" s="187" t="s">
        <v>172</v>
      </c>
      <c r="E15" s="47"/>
      <c r="F15" s="365"/>
      <c r="G15" s="47"/>
      <c r="H15" s="47"/>
      <c r="I15" s="365"/>
      <c r="J15" s="59"/>
      <c r="K15" s="60"/>
      <c r="L15" s="382">
        <f>-Data!E257</f>
        <v>673448</v>
      </c>
      <c r="M15" s="61"/>
      <c r="N15" s="365"/>
      <c r="O15" s="49"/>
      <c r="P15" s="47"/>
      <c r="Q15" s="47"/>
      <c r="R15" s="47"/>
      <c r="S15" s="47"/>
      <c r="T15" s="47"/>
      <c r="U15" s="47" t="s">
        <v>53</v>
      </c>
      <c r="V15" s="47"/>
      <c r="W15" s="47"/>
      <c r="X15" s="47"/>
      <c r="Y15" s="47"/>
      <c r="Z15" s="47"/>
      <c r="AA15" s="47"/>
      <c r="AB15" s="47"/>
      <c r="AC15" s="367"/>
      <c r="AD15" s="51"/>
      <c r="AE15" s="52"/>
      <c r="AF15" s="365"/>
      <c r="AG15" s="52"/>
      <c r="AH15" s="51"/>
      <c r="AI15" s="365"/>
      <c r="AJ15" s="365"/>
      <c r="AK15" s="52"/>
      <c r="AL15" s="47"/>
      <c r="AM15" s="53">
        <f t="shared" si="0"/>
        <v>673448</v>
      </c>
    </row>
    <row r="16" spans="1:39" s="9" customFormat="1" x14ac:dyDescent="0.25">
      <c r="A16" s="455"/>
      <c r="B16" s="471"/>
      <c r="C16" s="10" t="s">
        <v>192</v>
      </c>
      <c r="D16" s="187" t="s">
        <v>28</v>
      </c>
      <c r="E16" s="47"/>
      <c r="F16" s="365"/>
      <c r="G16" s="47"/>
      <c r="H16" s="47"/>
      <c r="I16" s="365"/>
      <c r="J16" s="59"/>
      <c r="K16" s="60"/>
      <c r="L16" s="366">
        <f>-Data!E258</f>
        <v>0</v>
      </c>
      <c r="M16" s="61"/>
      <c r="N16" s="365"/>
      <c r="O16" s="49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367"/>
      <c r="AD16" s="51"/>
      <c r="AE16" s="52"/>
      <c r="AF16" s="365"/>
      <c r="AG16" s="52"/>
      <c r="AH16" s="51"/>
      <c r="AI16" s="365"/>
      <c r="AJ16" s="365"/>
      <c r="AK16" s="52"/>
      <c r="AL16" s="47"/>
      <c r="AM16" s="53">
        <f t="shared" si="0"/>
        <v>0</v>
      </c>
    </row>
    <row r="17" spans="1:154" s="9" customFormat="1" x14ac:dyDescent="0.25">
      <c r="A17" s="455"/>
      <c r="B17" s="10" t="s">
        <v>193</v>
      </c>
      <c r="C17" s="10"/>
      <c r="D17" s="187" t="s">
        <v>173</v>
      </c>
      <c r="E17" s="47"/>
      <c r="F17" s="365"/>
      <c r="G17" s="47"/>
      <c r="H17" s="47"/>
      <c r="I17" s="365"/>
      <c r="J17" s="47"/>
      <c r="K17" s="60"/>
      <c r="L17" s="366">
        <f>-Data!E259</f>
        <v>191733</v>
      </c>
      <c r="M17" s="47"/>
      <c r="N17" s="365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367"/>
      <c r="AD17" s="51"/>
      <c r="AE17" s="52"/>
      <c r="AF17" s="365"/>
      <c r="AG17" s="52"/>
      <c r="AH17" s="51"/>
      <c r="AI17" s="365"/>
      <c r="AJ17" s="365"/>
      <c r="AK17" s="52"/>
      <c r="AL17" s="47"/>
      <c r="AM17" s="53">
        <f t="shared" si="0"/>
        <v>191733</v>
      </c>
    </row>
    <row r="18" spans="1:154" s="9" customFormat="1" x14ac:dyDescent="0.25">
      <c r="A18" s="456"/>
      <c r="B18" s="10" t="s">
        <v>194</v>
      </c>
      <c r="C18" s="10"/>
      <c r="D18" s="4" t="s">
        <v>174</v>
      </c>
      <c r="E18" s="47"/>
      <c r="F18" s="365"/>
      <c r="G18" s="47"/>
      <c r="H18" s="47"/>
      <c r="I18" s="365"/>
      <c r="J18" s="47"/>
      <c r="K18" s="60"/>
      <c r="L18" s="377">
        <f>K12-SUM(L13:L17)</f>
        <v>1277762</v>
      </c>
      <c r="M18" s="47"/>
      <c r="N18" s="365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367"/>
      <c r="AD18" s="51"/>
      <c r="AE18" s="52"/>
      <c r="AF18" s="365"/>
      <c r="AG18" s="52"/>
      <c r="AH18" s="51"/>
      <c r="AI18" s="365"/>
      <c r="AJ18" s="365"/>
      <c r="AK18" s="52"/>
      <c r="AL18" s="47"/>
      <c r="AM18" s="53">
        <f t="shared" si="0"/>
        <v>1277762</v>
      </c>
    </row>
    <row r="19" spans="1:154" s="9" customFormat="1" ht="25.5" x14ac:dyDescent="0.25">
      <c r="A19" s="187" t="s">
        <v>177</v>
      </c>
      <c r="B19" s="189" t="s">
        <v>65</v>
      </c>
      <c r="C19" s="189"/>
      <c r="D19" s="187" t="s">
        <v>20</v>
      </c>
      <c r="E19" s="47"/>
      <c r="F19" s="365"/>
      <c r="G19" s="47"/>
      <c r="H19" s="47"/>
      <c r="I19" s="365"/>
      <c r="J19" s="47"/>
      <c r="K19" s="47"/>
      <c r="L19" s="57"/>
      <c r="M19" s="47"/>
      <c r="N19" s="365"/>
      <c r="O19" s="47"/>
      <c r="P19" s="52"/>
      <c r="Q19" s="52"/>
      <c r="R19" s="377">
        <f>+L18</f>
        <v>1277762</v>
      </c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367"/>
      <c r="AD19" s="368">
        <f>+Data!E264+Data!E265+Data!E266+Data!E267+Data!E268+Data!E96</f>
        <v>96816</v>
      </c>
      <c r="AE19" s="369"/>
      <c r="AF19" s="369"/>
      <c r="AG19" s="383"/>
      <c r="AH19" s="51"/>
      <c r="AI19" s="365"/>
      <c r="AJ19" s="365"/>
      <c r="AK19" s="52"/>
      <c r="AL19" s="47"/>
      <c r="AM19" s="53">
        <f t="shared" si="0"/>
        <v>1374578</v>
      </c>
    </row>
    <row r="20" spans="1:154" s="9" customFormat="1" ht="25.5" x14ac:dyDescent="0.25">
      <c r="A20" s="187" t="s">
        <v>178</v>
      </c>
      <c r="B20" s="189" t="s">
        <v>66</v>
      </c>
      <c r="C20" s="189"/>
      <c r="D20" s="187" t="s">
        <v>20</v>
      </c>
      <c r="E20" s="47"/>
      <c r="F20" s="365"/>
      <c r="G20" s="47"/>
      <c r="H20" s="47"/>
      <c r="I20" s="365"/>
      <c r="J20" s="47"/>
      <c r="K20" s="47"/>
      <c r="L20" s="57"/>
      <c r="M20" s="47"/>
      <c r="N20" s="365"/>
      <c r="O20" s="47"/>
      <c r="P20" s="47"/>
      <c r="Q20" s="47"/>
      <c r="R20" s="47"/>
      <c r="S20" s="377">
        <f>R19+SUM(AD19:AK19)-SUM(S30:S33)</f>
        <v>916070</v>
      </c>
      <c r="T20" s="47"/>
      <c r="U20" s="47"/>
      <c r="V20" s="47"/>
      <c r="W20" s="47"/>
      <c r="X20" s="47"/>
      <c r="Y20" s="47"/>
      <c r="Z20" s="47"/>
      <c r="AA20" s="47"/>
      <c r="AB20" s="47"/>
      <c r="AC20" s="367"/>
      <c r="AD20" s="384"/>
      <c r="AE20" s="385"/>
      <c r="AF20" s="365"/>
      <c r="AG20" s="369"/>
      <c r="AH20" s="51"/>
      <c r="AI20" s="365"/>
      <c r="AJ20" s="365"/>
      <c r="AK20" s="52"/>
      <c r="AL20" s="47"/>
      <c r="AM20" s="53">
        <f t="shared" si="0"/>
        <v>916070</v>
      </c>
    </row>
    <row r="21" spans="1:154" s="9" customFormat="1" ht="25.5" x14ac:dyDescent="0.25">
      <c r="A21" s="191" t="s">
        <v>179</v>
      </c>
      <c r="B21" s="189" t="s">
        <v>51</v>
      </c>
      <c r="C21" s="189"/>
      <c r="D21" s="187" t="s">
        <v>20</v>
      </c>
      <c r="E21" s="47"/>
      <c r="F21" s="365"/>
      <c r="G21" s="47"/>
      <c r="H21" s="47"/>
      <c r="I21" s="365"/>
      <c r="J21" s="47"/>
      <c r="K21" s="47"/>
      <c r="L21" s="57"/>
      <c r="M21" s="47"/>
      <c r="N21" s="365"/>
      <c r="O21" s="47"/>
      <c r="P21" s="47"/>
      <c r="Q21" s="47"/>
      <c r="R21" s="47"/>
      <c r="S21" s="52"/>
      <c r="T21" s="377">
        <f>S20+SUM(AD20:AG20)-SUM(T30:T33)</f>
        <v>885170</v>
      </c>
      <c r="U21" s="47"/>
      <c r="V21" s="47"/>
      <c r="W21" s="47"/>
      <c r="X21" s="47"/>
      <c r="Y21" s="47"/>
      <c r="Z21" s="47"/>
      <c r="AA21" s="47"/>
      <c r="AB21" s="47"/>
      <c r="AC21" s="367"/>
      <c r="AD21" s="51"/>
      <c r="AE21" s="48"/>
      <c r="AF21" s="372"/>
      <c r="AG21" s="48"/>
      <c r="AH21" s="386">
        <f>+Data!E294</f>
        <v>0</v>
      </c>
      <c r="AI21" s="387"/>
      <c r="AJ21" s="372"/>
      <c r="AK21" s="387"/>
      <c r="AL21" s="63"/>
      <c r="AM21" s="53">
        <f t="shared" si="0"/>
        <v>885170</v>
      </c>
    </row>
    <row r="22" spans="1:154" s="9" customFormat="1" x14ac:dyDescent="0.25">
      <c r="A22" s="441" t="s">
        <v>180</v>
      </c>
      <c r="B22" s="187" t="s">
        <v>10</v>
      </c>
      <c r="C22" s="187"/>
      <c r="D22" s="1" t="s">
        <v>11</v>
      </c>
      <c r="E22" s="47"/>
      <c r="F22" s="365"/>
      <c r="G22" s="47"/>
      <c r="H22" s="47"/>
      <c r="I22" s="365"/>
      <c r="J22" s="47"/>
      <c r="K22" s="47"/>
      <c r="L22" s="57"/>
      <c r="M22" s="47"/>
      <c r="N22" s="365"/>
      <c r="O22" s="47"/>
      <c r="P22" s="47"/>
      <c r="Q22" s="47"/>
      <c r="R22" s="47"/>
      <c r="S22" s="52"/>
      <c r="T22" s="47"/>
      <c r="U22" s="377">
        <f>T21+SUM(AH21:AK21)-SUM(U30:U32)-SUM(U34:U37)</f>
        <v>885170</v>
      </c>
      <c r="V22" s="47"/>
      <c r="W22" s="47"/>
      <c r="X22" s="47"/>
      <c r="Y22" s="47"/>
      <c r="Z22" s="47"/>
      <c r="AA22" s="47"/>
      <c r="AB22" s="47"/>
      <c r="AC22" s="388"/>
      <c r="AD22" s="51"/>
      <c r="AE22" s="365"/>
      <c r="AF22" s="365"/>
      <c r="AG22" s="52"/>
      <c r="AH22" s="378"/>
      <c r="AI22" s="369"/>
      <c r="AJ22" s="365"/>
      <c r="AK22" s="377">
        <f>+Data!E300</f>
        <v>13660</v>
      </c>
      <c r="AL22" s="52"/>
      <c r="AM22" s="53">
        <f t="shared" si="0"/>
        <v>898830</v>
      </c>
    </row>
    <row r="23" spans="1:154" s="9" customFormat="1" ht="12.75" customHeight="1" x14ac:dyDescent="0.25">
      <c r="A23" s="442"/>
      <c r="B23" s="1" t="s">
        <v>56</v>
      </c>
      <c r="C23" s="1"/>
      <c r="D23" s="35" t="s">
        <v>167</v>
      </c>
      <c r="E23" s="47"/>
      <c r="F23" s="365"/>
      <c r="G23" s="47"/>
      <c r="H23" s="47"/>
      <c r="I23" s="365"/>
      <c r="J23" s="47"/>
      <c r="K23" s="47"/>
      <c r="L23" s="57"/>
      <c r="M23" s="47"/>
      <c r="N23" s="365"/>
      <c r="O23" s="47"/>
      <c r="P23" s="47"/>
      <c r="Q23" s="47"/>
      <c r="R23" s="47"/>
      <c r="S23" s="52"/>
      <c r="T23" s="47"/>
      <c r="U23" s="52"/>
      <c r="V23" s="377">
        <f>U22+SUM(AH22:AK22)-SUM(V33:V38)</f>
        <v>898830</v>
      </c>
      <c r="W23" s="52"/>
      <c r="X23" s="47"/>
      <c r="Y23" s="47"/>
      <c r="Z23" s="47"/>
      <c r="AA23" s="47"/>
      <c r="AB23" s="52"/>
      <c r="AC23" s="389"/>
      <c r="AD23" s="368">
        <f>+Data!E327</f>
        <v>0</v>
      </c>
      <c r="AE23" s="378"/>
      <c r="AF23" s="378"/>
      <c r="AG23" s="52"/>
      <c r="AH23" s="390">
        <f>+Data!E317+Data!E319+Data!E320+Data!E321+Data!E326</f>
        <v>0</v>
      </c>
      <c r="AI23" s="384"/>
      <c r="AJ23" s="385"/>
      <c r="AK23" s="391">
        <f>+Data!E318+Data!E322</f>
        <v>31471</v>
      </c>
      <c r="AL23" s="67"/>
      <c r="AM23" s="53">
        <f t="shared" si="0"/>
        <v>930301</v>
      </c>
    </row>
    <row r="24" spans="1:154" s="9" customFormat="1" ht="12.75" customHeight="1" x14ac:dyDescent="0.25">
      <c r="A24" s="443"/>
      <c r="B24" s="1" t="s">
        <v>52</v>
      </c>
      <c r="C24" s="1"/>
      <c r="D24" s="1" t="s">
        <v>54</v>
      </c>
      <c r="E24" s="47"/>
      <c r="F24" s="365"/>
      <c r="G24" s="47"/>
      <c r="H24" s="47"/>
      <c r="I24" s="365"/>
      <c r="J24" s="47"/>
      <c r="K24" s="47"/>
      <c r="L24" s="57"/>
      <c r="M24" s="47"/>
      <c r="N24" s="365"/>
      <c r="O24" s="47"/>
      <c r="P24" s="47"/>
      <c r="Q24" s="47"/>
      <c r="R24" s="47"/>
      <c r="S24" s="52"/>
      <c r="T24" s="47"/>
      <c r="U24" s="52"/>
      <c r="V24" s="52"/>
      <c r="W24" s="377">
        <f>V23+SUM(Y23:AK23)-SUM(W25:W37)</f>
        <v>926203</v>
      </c>
      <c r="X24" s="47"/>
      <c r="Y24" s="47"/>
      <c r="Z24" s="47"/>
      <c r="AA24" s="47"/>
      <c r="AB24" s="47"/>
      <c r="AC24" s="388"/>
      <c r="AD24" s="51"/>
      <c r="AE24" s="52"/>
      <c r="AF24" s="365"/>
      <c r="AG24" s="52"/>
      <c r="AH24" s="64"/>
      <c r="AI24" s="392"/>
      <c r="AJ24" s="392"/>
      <c r="AK24" s="64"/>
      <c r="AL24" s="67"/>
      <c r="AM24" s="53">
        <f t="shared" si="0"/>
        <v>926203</v>
      </c>
    </row>
    <row r="25" spans="1:154" s="9" customFormat="1" ht="12.75" customHeight="1" x14ac:dyDescent="0.25">
      <c r="A25" s="444" t="s">
        <v>181</v>
      </c>
      <c r="B25" s="1" t="s">
        <v>5</v>
      </c>
      <c r="C25" s="187"/>
      <c r="D25" s="1" t="s">
        <v>55</v>
      </c>
      <c r="E25" s="47"/>
      <c r="F25" s="365"/>
      <c r="G25" s="47"/>
      <c r="H25" s="47"/>
      <c r="I25" s="365"/>
      <c r="J25" s="47"/>
      <c r="K25" s="47"/>
      <c r="L25" s="57"/>
      <c r="M25" s="47"/>
      <c r="N25" s="365"/>
      <c r="O25" s="47"/>
      <c r="P25" s="47"/>
      <c r="Q25" s="47"/>
      <c r="R25" s="47"/>
      <c r="S25" s="52"/>
      <c r="T25" s="47"/>
      <c r="U25" s="52"/>
      <c r="V25" s="47"/>
      <c r="W25" s="47"/>
      <c r="X25" s="377">
        <f>SUM(Y6:Y10)</f>
        <v>-10320</v>
      </c>
      <c r="Y25" s="47"/>
      <c r="Z25" s="47"/>
      <c r="AA25" s="47"/>
      <c r="AB25" s="47"/>
      <c r="AC25" s="388"/>
      <c r="AD25" s="58"/>
      <c r="AE25" s="52"/>
      <c r="AF25" s="365"/>
      <c r="AG25" s="57"/>
      <c r="AH25" s="67"/>
      <c r="AI25" s="392"/>
      <c r="AJ25" s="392"/>
      <c r="AK25" s="67"/>
      <c r="AL25" s="67"/>
      <c r="AM25" s="53">
        <f t="shared" si="0"/>
        <v>-10320</v>
      </c>
    </row>
    <row r="26" spans="1:154" s="9" customFormat="1" ht="25.5" x14ac:dyDescent="0.25">
      <c r="A26" s="445"/>
      <c r="B26" s="1" t="s">
        <v>58</v>
      </c>
      <c r="C26" s="187"/>
      <c r="D26" s="193" t="s">
        <v>284</v>
      </c>
      <c r="E26" s="47"/>
      <c r="F26" s="365"/>
      <c r="G26" s="47"/>
      <c r="H26" s="47"/>
      <c r="I26" s="365"/>
      <c r="J26" s="47"/>
      <c r="K26" s="377">
        <f>-Data!E246</f>
        <v>420408</v>
      </c>
      <c r="L26" s="57"/>
      <c r="M26" s="49"/>
      <c r="N26" s="365"/>
      <c r="O26" s="49"/>
      <c r="P26" s="47"/>
      <c r="Q26" s="47"/>
      <c r="R26" s="47"/>
      <c r="S26" s="47"/>
      <c r="T26" s="47"/>
      <c r="U26" s="47"/>
      <c r="V26" s="47"/>
      <c r="W26" s="47"/>
      <c r="X26" s="195">
        <f>Z5+Z8-K26</f>
        <v>-208045</v>
      </c>
      <c r="Y26" s="47"/>
      <c r="Z26" s="47"/>
      <c r="AA26" s="47"/>
      <c r="AB26" s="47"/>
      <c r="AC26" s="367"/>
      <c r="AD26" s="58"/>
      <c r="AE26" s="52"/>
      <c r="AF26" s="365"/>
      <c r="AG26" s="47"/>
      <c r="AH26" s="58"/>
      <c r="AI26" s="365"/>
      <c r="AJ26" s="365"/>
      <c r="AK26" s="47"/>
      <c r="AL26" s="47"/>
      <c r="AM26" s="53">
        <f t="shared" si="0"/>
        <v>212363</v>
      </c>
    </row>
    <row r="27" spans="1:154" s="9" customFormat="1" ht="25.5" x14ac:dyDescent="0.25">
      <c r="A27" s="446"/>
      <c r="B27" s="1" t="s">
        <v>195</v>
      </c>
      <c r="C27" s="187"/>
      <c r="D27" s="192" t="s">
        <v>57</v>
      </c>
      <c r="E27" s="47"/>
      <c r="F27" s="365"/>
      <c r="G27" s="47"/>
      <c r="H27" s="47"/>
      <c r="I27" s="365"/>
      <c r="J27" s="47"/>
      <c r="K27" s="52"/>
      <c r="L27" s="57"/>
      <c r="M27" s="49"/>
      <c r="N27" s="365"/>
      <c r="O27" s="49"/>
      <c r="P27" s="47"/>
      <c r="Q27" s="47"/>
      <c r="R27" s="47"/>
      <c r="S27" s="47"/>
      <c r="T27" s="47"/>
      <c r="U27" s="47"/>
      <c r="V27" s="47"/>
      <c r="W27" s="47"/>
      <c r="X27" s="195">
        <f>+W24-X25-X26</f>
        <v>1144568</v>
      </c>
      <c r="Y27" s="47"/>
      <c r="Z27" s="47"/>
      <c r="AA27" s="52"/>
      <c r="AB27" s="377">
        <f>Data!E413</f>
        <v>-99900</v>
      </c>
      <c r="AC27" s="393">
        <f>Data!E406</f>
        <v>-690362</v>
      </c>
      <c r="AD27" s="58"/>
      <c r="AE27" s="52"/>
      <c r="AF27" s="365"/>
      <c r="AG27" s="47"/>
      <c r="AH27" s="58"/>
      <c r="AI27" s="365"/>
      <c r="AJ27" s="365"/>
      <c r="AK27" s="47"/>
      <c r="AL27" s="47"/>
      <c r="AM27" s="53">
        <f t="shared" si="0"/>
        <v>354306</v>
      </c>
    </row>
    <row r="28" spans="1:154" s="9" customFormat="1" x14ac:dyDescent="0.25">
      <c r="A28" s="449" t="s">
        <v>182</v>
      </c>
      <c r="B28" s="187" t="s">
        <v>6</v>
      </c>
      <c r="C28" s="187"/>
      <c r="D28" s="187" t="s">
        <v>25</v>
      </c>
      <c r="E28" s="47"/>
      <c r="F28" s="365"/>
      <c r="G28" s="47"/>
      <c r="H28" s="47"/>
      <c r="I28" s="365"/>
      <c r="J28" s="47"/>
      <c r="K28" s="57"/>
      <c r="L28" s="57"/>
      <c r="M28" s="49"/>
      <c r="N28" s="365"/>
      <c r="O28" s="49"/>
      <c r="P28" s="47"/>
      <c r="Q28" s="47"/>
      <c r="R28" s="47"/>
      <c r="S28" s="47"/>
      <c r="T28" s="47"/>
      <c r="U28" s="47"/>
      <c r="V28" s="47"/>
      <c r="W28" s="52"/>
      <c r="X28" s="52"/>
      <c r="Y28" s="47"/>
      <c r="Z28" s="47"/>
      <c r="AA28" s="377">
        <f>Data!E394</f>
        <v>-61042</v>
      </c>
      <c r="AB28" s="62"/>
      <c r="AC28" s="394"/>
      <c r="AD28" s="58"/>
      <c r="AE28" s="52"/>
      <c r="AF28" s="365"/>
      <c r="AG28" s="47"/>
      <c r="AH28" s="58"/>
      <c r="AI28" s="365"/>
      <c r="AJ28" s="365"/>
      <c r="AK28" s="47"/>
      <c r="AL28" s="47"/>
      <c r="AM28" s="53">
        <f t="shared" si="0"/>
        <v>-61042</v>
      </c>
    </row>
    <row r="29" spans="1:154" s="9" customFormat="1" ht="13.5" thickBot="1" x14ac:dyDescent="0.3">
      <c r="A29" s="468"/>
      <c r="B29" s="41" t="s">
        <v>59</v>
      </c>
      <c r="C29" s="40"/>
      <c r="D29" s="42" t="s">
        <v>47</v>
      </c>
      <c r="E29" s="395"/>
      <c r="F29" s="396"/>
      <c r="G29" s="395"/>
      <c r="H29" s="395"/>
      <c r="I29" s="396"/>
      <c r="J29" s="395"/>
      <c r="K29" s="395"/>
      <c r="L29" s="395"/>
      <c r="M29" s="395"/>
      <c r="N29" s="396"/>
      <c r="O29" s="395"/>
      <c r="P29" s="395"/>
      <c r="Q29" s="395"/>
      <c r="R29" s="395"/>
      <c r="S29" s="395"/>
      <c r="T29" s="395"/>
      <c r="U29" s="395"/>
      <c r="V29" s="397"/>
      <c r="W29" s="398"/>
      <c r="X29" s="398"/>
      <c r="Y29" s="397"/>
      <c r="Z29" s="397"/>
      <c r="AA29" s="399">
        <f>Data!E388</f>
        <v>415348</v>
      </c>
      <c r="AB29" s="397"/>
      <c r="AC29" s="400"/>
      <c r="AD29" s="401"/>
      <c r="AE29" s="402"/>
      <c r="AF29" s="403"/>
      <c r="AG29" s="404"/>
      <c r="AH29" s="58"/>
      <c r="AI29" s="365"/>
      <c r="AJ29" s="365"/>
      <c r="AK29" s="47"/>
      <c r="AL29" s="47"/>
      <c r="AM29" s="53">
        <f t="shared" si="0"/>
        <v>415348</v>
      </c>
    </row>
    <row r="30" spans="1:154" s="9" customFormat="1" ht="13.5" thickTop="1" x14ac:dyDescent="0.25">
      <c r="A30" s="469" t="s">
        <v>183</v>
      </c>
      <c r="B30" s="39" t="s">
        <v>7</v>
      </c>
      <c r="C30" s="39"/>
      <c r="D30" s="194" t="s">
        <v>503</v>
      </c>
      <c r="E30" s="55"/>
      <c r="F30" s="405"/>
      <c r="G30" s="406">
        <f>-(Data!E241+Data!E228+Data!E229++Data!E97)</f>
        <v>2952384</v>
      </c>
      <c r="H30" s="68"/>
      <c r="I30" s="405"/>
      <c r="J30" s="68"/>
      <c r="K30" s="69"/>
      <c r="L30" s="69"/>
      <c r="M30" s="407">
        <f>-Data!E256</f>
        <v>2163836</v>
      </c>
      <c r="N30" s="408"/>
      <c r="O30" s="68"/>
      <c r="P30" s="407">
        <f>-Data!E258</f>
        <v>0</v>
      </c>
      <c r="Q30" s="68"/>
      <c r="R30" s="68"/>
      <c r="S30" s="409">
        <f>-(Data!E269+Data!E270+Data!E98)</f>
        <v>455745</v>
      </c>
      <c r="T30" s="406">
        <f>-(Data!E275+Data!E276+Data!E277)</f>
        <v>24160</v>
      </c>
      <c r="U30" s="406">
        <f>-Data!E284</f>
        <v>0</v>
      </c>
      <c r="V30" s="68"/>
      <c r="W30" s="406">
        <f>-Data!E325</f>
        <v>0</v>
      </c>
      <c r="X30" s="68"/>
      <c r="Y30" s="55"/>
      <c r="Z30" s="68"/>
      <c r="AA30" s="68"/>
      <c r="AB30" s="55"/>
      <c r="AC30" s="68"/>
      <c r="AD30" s="66"/>
      <c r="AE30" s="65"/>
      <c r="AF30" s="405"/>
      <c r="AG30" s="52"/>
      <c r="AH30" s="52"/>
      <c r="AI30" s="365"/>
      <c r="AJ30" s="365"/>
      <c r="AK30" s="52"/>
      <c r="AL30" s="410">
        <f>+SUM(AD5:AD29)-SUM(E30:AC30)</f>
        <v>2522910</v>
      </c>
      <c r="AM30" s="53">
        <f t="shared" si="0"/>
        <v>8119035</v>
      </c>
    </row>
    <row r="31" spans="1:154" s="9" customFormat="1" x14ac:dyDescent="0.25">
      <c r="A31" s="443"/>
      <c r="B31" s="189" t="s">
        <v>80</v>
      </c>
      <c r="C31" s="189"/>
      <c r="D31" s="348" t="s">
        <v>77</v>
      </c>
      <c r="E31" s="411"/>
      <c r="F31" s="411"/>
      <c r="G31" s="369"/>
      <c r="H31" s="411"/>
      <c r="I31" s="411"/>
      <c r="J31" s="411"/>
      <c r="K31" s="411"/>
      <c r="L31" s="411"/>
      <c r="M31" s="412"/>
      <c r="N31" s="412"/>
      <c r="O31" s="412"/>
      <c r="P31" s="412"/>
      <c r="Q31" s="411"/>
      <c r="R31" s="411"/>
      <c r="S31" s="369"/>
      <c r="T31" s="369"/>
      <c r="U31" s="385"/>
      <c r="V31" s="411"/>
      <c r="W31" s="413"/>
      <c r="X31" s="411"/>
      <c r="Y31" s="411"/>
      <c r="Z31" s="411"/>
      <c r="AA31" s="411"/>
      <c r="AB31" s="411"/>
      <c r="AC31" s="414"/>
      <c r="AD31" s="415"/>
      <c r="AE31" s="416"/>
      <c r="AF31" s="416"/>
      <c r="AG31" s="411"/>
      <c r="AH31" s="411"/>
      <c r="AI31" s="411"/>
      <c r="AJ31" s="411"/>
      <c r="AK31" s="411"/>
      <c r="AL31" s="195">
        <f>SUM(AE5:AE29)-SUM(E31:AC31)</f>
        <v>0</v>
      </c>
      <c r="AM31" s="417">
        <f t="shared" ref="AM31:AM37" si="1">SUM(E31:AL31)</f>
        <v>0</v>
      </c>
    </row>
    <row r="32" spans="1:154" s="12" customFormat="1" ht="12.75" customHeight="1" x14ac:dyDescent="0.25">
      <c r="A32" s="439" t="s">
        <v>184</v>
      </c>
      <c r="B32" s="5" t="s">
        <v>12</v>
      </c>
      <c r="C32" s="5"/>
      <c r="D32" s="348" t="s">
        <v>81</v>
      </c>
      <c r="E32" s="365"/>
      <c r="F32" s="365"/>
      <c r="G32" s="369"/>
      <c r="H32" s="411"/>
      <c r="I32" s="411"/>
      <c r="J32" s="411"/>
      <c r="K32" s="411"/>
      <c r="L32" s="411"/>
      <c r="M32" s="411"/>
      <c r="N32" s="411"/>
      <c r="O32" s="411"/>
      <c r="P32" s="411"/>
      <c r="Q32" s="411"/>
      <c r="R32" s="411"/>
      <c r="S32" s="369"/>
      <c r="T32" s="365"/>
      <c r="U32" s="385"/>
      <c r="V32" s="365"/>
      <c r="W32" s="413"/>
      <c r="X32" s="365"/>
      <c r="Y32" s="365"/>
      <c r="Z32" s="365"/>
      <c r="AA32" s="365"/>
      <c r="AB32" s="365"/>
      <c r="AC32" s="365"/>
      <c r="AD32" s="365"/>
      <c r="AE32" s="365"/>
      <c r="AF32" s="365"/>
      <c r="AG32" s="365"/>
      <c r="AH32" s="365"/>
      <c r="AI32" s="365"/>
      <c r="AJ32" s="365"/>
      <c r="AK32" s="365"/>
      <c r="AL32" s="195">
        <f>SUM(AF5:AF38)-SUM(E32:AI32)</f>
        <v>0</v>
      </c>
      <c r="AM32" s="365">
        <f t="shared" si="1"/>
        <v>0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</row>
    <row r="33" spans="1:41" s="9" customFormat="1" ht="12.75" customHeight="1" x14ac:dyDescent="0.25">
      <c r="A33" s="440"/>
      <c r="B33" s="189" t="s">
        <v>60</v>
      </c>
      <c r="C33" s="189"/>
      <c r="D33" s="187" t="s">
        <v>45</v>
      </c>
      <c r="E33" s="366">
        <f>Data!E95</f>
        <v>524818</v>
      </c>
      <c r="F33" s="381"/>
      <c r="G33" s="418">
        <f>Data!E97</f>
        <v>-192490</v>
      </c>
      <c r="H33" s="52"/>
      <c r="I33" s="419"/>
      <c r="J33" s="71"/>
      <c r="K33" s="47"/>
      <c r="L33" s="47"/>
      <c r="M33" s="52"/>
      <c r="N33" s="365"/>
      <c r="O33" s="420">
        <f>-Data!E257</f>
        <v>673448</v>
      </c>
      <c r="P33" s="48"/>
      <c r="Q33" s="377">
        <f>-Data!E259</f>
        <v>191733</v>
      </c>
      <c r="R33" s="52"/>
      <c r="S33" s="421">
        <f>(Data!E96+Data!E98)</f>
        <v>2763</v>
      </c>
      <c r="T33" s="422">
        <f>-Data!E278-Data!E279</f>
        <v>6740</v>
      </c>
      <c r="U33" s="62"/>
      <c r="V33" s="52"/>
      <c r="W33" s="52"/>
      <c r="X33" s="52"/>
      <c r="Y33" s="52"/>
      <c r="Z33" s="52"/>
      <c r="AA33" s="52"/>
      <c r="AB33" s="52"/>
      <c r="AC33" s="65"/>
      <c r="AD33" s="51"/>
      <c r="AE33" s="52"/>
      <c r="AF33" s="365"/>
      <c r="AG33" s="66"/>
      <c r="AH33" s="52"/>
      <c r="AI33" s="365"/>
      <c r="AJ33" s="365"/>
      <c r="AK33" s="52"/>
      <c r="AL33" s="195">
        <f>SUM(AG5:AG29)-SUM(E33:AC33)</f>
        <v>-1207012</v>
      </c>
      <c r="AM33" s="53">
        <f t="shared" si="1"/>
        <v>0</v>
      </c>
      <c r="AO33" s="9" t="s">
        <v>29</v>
      </c>
    </row>
    <row r="34" spans="1:41" s="9" customFormat="1" ht="25.5" x14ac:dyDescent="0.25">
      <c r="A34" s="439" t="s">
        <v>185</v>
      </c>
      <c r="B34" s="189" t="s">
        <v>13</v>
      </c>
      <c r="C34" s="189"/>
      <c r="D34" s="187" t="s">
        <v>176</v>
      </c>
      <c r="E34" s="52"/>
      <c r="F34" s="365"/>
      <c r="G34" s="52"/>
      <c r="H34" s="423">
        <f>Data!E364+Data!E369</f>
        <v>227228</v>
      </c>
      <c r="I34" s="365"/>
      <c r="J34" s="47"/>
      <c r="K34" s="47"/>
      <c r="L34" s="47"/>
      <c r="M34" s="52"/>
      <c r="N34" s="365"/>
      <c r="O34" s="52"/>
      <c r="P34" s="52"/>
      <c r="Q34" s="52"/>
      <c r="R34" s="52"/>
      <c r="S34" s="52"/>
      <c r="T34" s="52"/>
      <c r="U34" s="369"/>
      <c r="V34" s="377">
        <f>-Data!E305</f>
        <v>0</v>
      </c>
      <c r="W34" s="377">
        <f>-(+Data!E328)</f>
        <v>0</v>
      </c>
      <c r="X34" s="52"/>
      <c r="Y34" s="52"/>
      <c r="Z34" s="52"/>
      <c r="AA34" s="52"/>
      <c r="AB34" s="64"/>
      <c r="AC34" s="64"/>
      <c r="AD34" s="51"/>
      <c r="AE34" s="52"/>
      <c r="AF34" s="365"/>
      <c r="AG34" s="52"/>
      <c r="AH34" s="52"/>
      <c r="AI34" s="365"/>
      <c r="AJ34" s="365"/>
      <c r="AK34" s="52"/>
      <c r="AL34" s="195">
        <f>SUM(AH5:AH29)-SUM(E34:AC34)</f>
        <v>-227228</v>
      </c>
      <c r="AM34" s="53">
        <f t="shared" si="1"/>
        <v>0</v>
      </c>
    </row>
    <row r="35" spans="1:41" s="9" customFormat="1" x14ac:dyDescent="0.25">
      <c r="A35" s="443"/>
      <c r="B35" s="189" t="s">
        <v>196</v>
      </c>
      <c r="C35" s="189"/>
      <c r="D35" s="348" t="s">
        <v>77</v>
      </c>
      <c r="E35" s="411"/>
      <c r="F35" s="365"/>
      <c r="G35" s="365"/>
      <c r="H35" s="424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9"/>
      <c r="V35" s="369"/>
      <c r="W35" s="369"/>
      <c r="X35" s="365"/>
      <c r="Y35" s="365"/>
      <c r="Z35" s="365"/>
      <c r="AA35" s="365"/>
      <c r="AB35" s="392"/>
      <c r="AC35" s="392"/>
      <c r="AD35" s="375"/>
      <c r="AE35" s="365"/>
      <c r="AF35" s="365"/>
      <c r="AG35" s="365"/>
      <c r="AH35" s="365"/>
      <c r="AI35" s="365"/>
      <c r="AJ35" s="365"/>
      <c r="AK35" s="365"/>
      <c r="AL35" s="195">
        <f>SUM(AI5:AI29)-SUM(E35:AC35)</f>
        <v>0</v>
      </c>
      <c r="AM35" s="417">
        <f t="shared" si="1"/>
        <v>0</v>
      </c>
    </row>
    <row r="36" spans="1:41" s="9" customFormat="1" x14ac:dyDescent="0.25">
      <c r="A36" s="466" t="s">
        <v>186</v>
      </c>
      <c r="B36" s="189" t="s">
        <v>61</v>
      </c>
      <c r="C36" s="189"/>
      <c r="D36" s="348" t="s">
        <v>81</v>
      </c>
      <c r="E36" s="411"/>
      <c r="F36" s="365"/>
      <c r="G36" s="365"/>
      <c r="H36" s="424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69"/>
      <c r="X36" s="52"/>
      <c r="Y36" s="52"/>
      <c r="Z36" s="52"/>
      <c r="AA36" s="52"/>
      <c r="AB36" s="64"/>
      <c r="AC36" s="64"/>
      <c r="AD36" s="51"/>
      <c r="AE36" s="52"/>
      <c r="AF36" s="365"/>
      <c r="AG36" s="52"/>
      <c r="AH36" s="52"/>
      <c r="AI36" s="365"/>
      <c r="AJ36" s="365"/>
      <c r="AK36" s="52"/>
      <c r="AL36" s="195">
        <f>SUM(AJ5:AJ29)-SUM(E36:AC36)</f>
        <v>0</v>
      </c>
      <c r="AM36" s="53">
        <f t="shared" si="1"/>
        <v>0</v>
      </c>
    </row>
    <row r="37" spans="1:41" s="9" customFormat="1" x14ac:dyDescent="0.25">
      <c r="A37" s="467"/>
      <c r="B37" s="189" t="s">
        <v>216</v>
      </c>
      <c r="C37" s="189"/>
      <c r="D37" s="187" t="s">
        <v>45</v>
      </c>
      <c r="E37" s="52"/>
      <c r="F37" s="365"/>
      <c r="G37" s="52"/>
      <c r="H37" s="418">
        <f>-Data!E369</f>
        <v>-14865</v>
      </c>
      <c r="I37" s="365"/>
      <c r="J37" s="47"/>
      <c r="K37" s="47"/>
      <c r="L37" s="47"/>
      <c r="M37" s="52"/>
      <c r="N37" s="365"/>
      <c r="O37" s="52"/>
      <c r="P37" s="52"/>
      <c r="Q37" s="52"/>
      <c r="R37" s="52"/>
      <c r="S37" s="52"/>
      <c r="T37" s="52"/>
      <c r="U37" s="369"/>
      <c r="V37" s="369"/>
      <c r="W37" s="421">
        <f>-Data!E323</f>
        <v>4098</v>
      </c>
      <c r="X37" s="52"/>
      <c r="Y37" s="52"/>
      <c r="Z37" s="52"/>
      <c r="AA37" s="52"/>
      <c r="AB37" s="64"/>
      <c r="AC37" s="64"/>
      <c r="AD37" s="51"/>
      <c r="AE37" s="52"/>
      <c r="AF37" s="365"/>
      <c r="AG37" s="52"/>
      <c r="AH37" s="52"/>
      <c r="AI37" s="365"/>
      <c r="AJ37" s="365"/>
      <c r="AK37" s="52"/>
      <c r="AL37" s="195">
        <f>SUM(AK5:AK29)-SUM(E37:AC37)</f>
        <v>55898</v>
      </c>
      <c r="AM37" s="53">
        <f t="shared" si="1"/>
        <v>45131</v>
      </c>
    </row>
    <row r="38" spans="1:41" s="9" customFormat="1" x14ac:dyDescent="0.25">
      <c r="A38" s="187" t="s">
        <v>187</v>
      </c>
      <c r="B38" s="5" t="s">
        <v>63</v>
      </c>
      <c r="C38" s="189"/>
      <c r="D38" s="187" t="s">
        <v>62</v>
      </c>
      <c r="E38" s="47"/>
      <c r="F38" s="365"/>
      <c r="G38" s="47"/>
      <c r="H38" s="47"/>
      <c r="I38" s="365"/>
      <c r="J38" s="47"/>
      <c r="K38" s="47"/>
      <c r="L38" s="47"/>
      <c r="M38" s="47"/>
      <c r="N38" s="365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25">
        <f>+AA28-AB27</f>
        <v>38858</v>
      </c>
      <c r="AC38" s="410">
        <f>+AA29-AC27</f>
        <v>1105710</v>
      </c>
      <c r="AD38" s="70"/>
      <c r="AE38" s="52"/>
      <c r="AF38" s="365"/>
      <c r="AG38" s="47"/>
      <c r="AH38" s="47"/>
      <c r="AI38" s="365"/>
      <c r="AJ38" s="365"/>
      <c r="AK38" s="47"/>
      <c r="AL38" s="47"/>
      <c r="AM38" s="47">
        <f t="shared" ref="AM38:AM39" si="2">SUM(E38:AK38)</f>
        <v>1144568</v>
      </c>
    </row>
    <row r="39" spans="1:41" s="9" customFormat="1" x14ac:dyDescent="0.25">
      <c r="A39" s="1" t="s">
        <v>188</v>
      </c>
      <c r="B39" s="190" t="s">
        <v>197</v>
      </c>
      <c r="C39" s="188"/>
      <c r="D39" s="190" t="s">
        <v>46</v>
      </c>
      <c r="E39" s="72">
        <f t="shared" ref="E39:AA39" si="3">SUM(E5:E37)</f>
        <v>8022219</v>
      </c>
      <c r="F39" s="371">
        <f t="shared" si="3"/>
        <v>0</v>
      </c>
      <c r="G39" s="50">
        <f t="shared" si="3"/>
        <v>2759894</v>
      </c>
      <c r="H39" s="50">
        <f t="shared" si="3"/>
        <v>212363</v>
      </c>
      <c r="I39" s="371">
        <f t="shared" si="3"/>
        <v>0</v>
      </c>
      <c r="J39" s="72">
        <f t="shared" si="3"/>
        <v>2770214</v>
      </c>
      <c r="K39" s="72">
        <f t="shared" si="3"/>
        <v>7497401</v>
      </c>
      <c r="L39" s="72">
        <f t="shared" si="3"/>
        <v>4306779</v>
      </c>
      <c r="M39" s="72">
        <f t="shared" si="3"/>
        <v>2163836</v>
      </c>
      <c r="N39" s="371">
        <f t="shared" si="3"/>
        <v>0</v>
      </c>
      <c r="O39" s="72">
        <f t="shared" si="3"/>
        <v>673448</v>
      </c>
      <c r="P39" s="72">
        <f t="shared" si="3"/>
        <v>0</v>
      </c>
      <c r="Q39" s="72">
        <f t="shared" si="3"/>
        <v>191733</v>
      </c>
      <c r="R39" s="72">
        <f t="shared" si="3"/>
        <v>1277762</v>
      </c>
      <c r="S39" s="72">
        <f t="shared" si="3"/>
        <v>1374578</v>
      </c>
      <c r="T39" s="72">
        <f t="shared" si="3"/>
        <v>916070</v>
      </c>
      <c r="U39" s="72">
        <f t="shared" si="3"/>
        <v>885170</v>
      </c>
      <c r="V39" s="72">
        <f t="shared" si="3"/>
        <v>898830</v>
      </c>
      <c r="W39" s="72">
        <f>SUM(W5:W37)</f>
        <v>930301</v>
      </c>
      <c r="X39" s="72">
        <f t="shared" si="3"/>
        <v>926203</v>
      </c>
      <c r="Y39" s="72">
        <f t="shared" si="3"/>
        <v>-10320</v>
      </c>
      <c r="Z39" s="72">
        <f t="shared" si="3"/>
        <v>212363</v>
      </c>
      <c r="AA39" s="72">
        <f t="shared" si="3"/>
        <v>354306</v>
      </c>
      <c r="AB39" s="73">
        <f>SUM(AB5:AB38)</f>
        <v>-61042</v>
      </c>
      <c r="AC39" s="73">
        <f>SUM(AC5:AC38)</f>
        <v>415348</v>
      </c>
      <c r="AD39" s="73">
        <f>SUM(AD5:AD38)</f>
        <v>8119035</v>
      </c>
      <c r="AE39" s="74">
        <f t="shared" ref="AE39:AL39" si="4">SUM(AE5:AE38)</f>
        <v>0</v>
      </c>
      <c r="AF39" s="426">
        <f>SUM(AF5:AF38)</f>
        <v>0</v>
      </c>
      <c r="AG39" s="73">
        <f t="shared" si="4"/>
        <v>0</v>
      </c>
      <c r="AH39" s="73">
        <f t="shared" si="4"/>
        <v>0</v>
      </c>
      <c r="AI39" s="426">
        <f t="shared" si="4"/>
        <v>0</v>
      </c>
      <c r="AJ39" s="426">
        <f t="shared" si="4"/>
        <v>0</v>
      </c>
      <c r="AK39" s="73">
        <f t="shared" si="4"/>
        <v>45131</v>
      </c>
      <c r="AL39" s="73">
        <f t="shared" si="4"/>
        <v>1144568</v>
      </c>
      <c r="AM39" s="47">
        <f t="shared" si="2"/>
        <v>44881622</v>
      </c>
    </row>
    <row r="40" spans="1:41" s="9" customFormat="1" x14ac:dyDescent="0.25">
      <c r="B40" s="3"/>
      <c r="C40" s="3"/>
      <c r="D40" s="13"/>
      <c r="E40" s="14"/>
      <c r="F40" s="14"/>
      <c r="G40" s="32"/>
      <c r="H40" s="3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32"/>
      <c r="AG40" s="14"/>
      <c r="AH40" s="14"/>
      <c r="AI40" s="14"/>
      <c r="AJ40" s="32"/>
      <c r="AK40" s="14"/>
      <c r="AL40" s="14"/>
      <c r="AM40" s="14"/>
    </row>
    <row r="41" spans="1:41" s="15" customFormat="1" x14ac:dyDescent="0.25">
      <c r="B41" s="16"/>
      <c r="D41" s="16" t="s">
        <v>447</v>
      </c>
      <c r="E41" s="18">
        <f>E39-AM5</f>
        <v>0</v>
      </c>
      <c r="F41" s="18">
        <f>F39-AM6</f>
        <v>0</v>
      </c>
      <c r="G41" s="33">
        <f>G39-AM7</f>
        <v>0</v>
      </c>
      <c r="H41" s="33">
        <f>H39-AM8</f>
        <v>0</v>
      </c>
      <c r="I41" s="18">
        <f>I39-AM9</f>
        <v>0</v>
      </c>
      <c r="J41" s="18">
        <f>J39-AM10</f>
        <v>0</v>
      </c>
      <c r="K41" s="18">
        <f>K39-AM11</f>
        <v>0</v>
      </c>
      <c r="L41" s="18">
        <f>L39-AM12</f>
        <v>0</v>
      </c>
      <c r="M41" s="18">
        <f>M39-AM13</f>
        <v>0</v>
      </c>
      <c r="N41" s="18">
        <f>N39-AM14</f>
        <v>0</v>
      </c>
      <c r="O41" s="18">
        <f>O39-AM15</f>
        <v>0</v>
      </c>
      <c r="P41" s="18">
        <f>P39-AM16</f>
        <v>0</v>
      </c>
      <c r="Q41" s="18">
        <f>Q39-AM17</f>
        <v>0</v>
      </c>
      <c r="R41" s="18">
        <f>R39-AM18</f>
        <v>0</v>
      </c>
      <c r="S41" s="18">
        <f>S39-AM19</f>
        <v>0</v>
      </c>
      <c r="T41" s="18">
        <f>T39-AM20</f>
        <v>0</v>
      </c>
      <c r="U41" s="18">
        <f>U39-AM21</f>
        <v>0</v>
      </c>
      <c r="V41" s="18">
        <f>V39-AM22</f>
        <v>0</v>
      </c>
      <c r="W41" s="18">
        <f>W39-AM23</f>
        <v>0</v>
      </c>
      <c r="X41" s="18">
        <f>X39-AM24</f>
        <v>0</v>
      </c>
      <c r="Y41" s="18">
        <f>Y39-AM25</f>
        <v>0</v>
      </c>
      <c r="Z41" s="18">
        <f>Z39-AM26</f>
        <v>0</v>
      </c>
      <c r="AA41" s="18">
        <f>AA39-AM27</f>
        <v>0</v>
      </c>
      <c r="AB41" s="18">
        <f>AB39-AM28</f>
        <v>0</v>
      </c>
      <c r="AC41" s="18">
        <f>AC39-AM29</f>
        <v>0</v>
      </c>
      <c r="AD41" s="18">
        <f>AD39-AM30</f>
        <v>0</v>
      </c>
      <c r="AE41" s="18">
        <f>AE39-AM31</f>
        <v>0</v>
      </c>
      <c r="AF41" s="33">
        <f>+AF39-AM32</f>
        <v>0</v>
      </c>
      <c r="AG41" s="18">
        <f>AG39-AM33</f>
        <v>0</v>
      </c>
      <c r="AH41" s="18">
        <f>AH39-AM34</f>
        <v>0</v>
      </c>
      <c r="AI41" s="18">
        <f>AI39-AM35</f>
        <v>0</v>
      </c>
      <c r="AJ41" s="33">
        <f>AJ39-AM36</f>
        <v>0</v>
      </c>
      <c r="AK41" s="18">
        <f>AK39-AM37</f>
        <v>0</v>
      </c>
      <c r="AL41" s="18">
        <f>AL39-AM38</f>
        <v>0</v>
      </c>
      <c r="AM41" s="19"/>
    </row>
    <row r="42" spans="1:41" s="15" customFormat="1" x14ac:dyDescent="0.25">
      <c r="B42" s="16"/>
      <c r="C42" s="16"/>
      <c r="D42" s="17"/>
      <c r="E42" s="19"/>
      <c r="F42" s="20"/>
      <c r="G42" s="20"/>
      <c r="H42" s="20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21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20"/>
      <c r="AG42" s="19"/>
      <c r="AH42" s="19"/>
      <c r="AI42" s="19"/>
      <c r="AJ42" s="19"/>
      <c r="AK42" s="19"/>
      <c r="AL42" s="19"/>
      <c r="AM42" s="19"/>
    </row>
    <row r="43" spans="1:41" s="15" customFormat="1" x14ac:dyDescent="0.25">
      <c r="A43" s="178"/>
      <c r="B43" s="179"/>
      <c r="C43" s="180"/>
      <c r="D43" s="181"/>
      <c r="E43" s="19"/>
      <c r="F43" s="20"/>
      <c r="G43" s="20"/>
      <c r="H43" s="20"/>
      <c r="I43" s="19"/>
      <c r="J43" s="19"/>
      <c r="K43" s="19"/>
      <c r="L43" s="19"/>
      <c r="M43" s="19"/>
      <c r="N43" s="19"/>
      <c r="O43" s="19"/>
      <c r="P43" s="19"/>
      <c r="Q43" s="7"/>
      <c r="R43" s="7"/>
      <c r="S43" s="7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20"/>
      <c r="AG43" s="19"/>
      <c r="AH43" s="19"/>
      <c r="AI43" s="19"/>
      <c r="AJ43" s="19"/>
      <c r="AK43" s="19"/>
      <c r="AL43" s="19"/>
      <c r="AM43" s="19"/>
    </row>
    <row r="44" spans="1:41" s="15" customFormat="1" x14ac:dyDescent="0.25">
      <c r="A44" s="178"/>
      <c r="B44" s="179"/>
      <c r="C44" s="179"/>
      <c r="D44" s="182"/>
      <c r="E44" s="19"/>
      <c r="F44" s="20"/>
      <c r="G44" s="20"/>
      <c r="H44" s="20"/>
      <c r="I44" s="19"/>
      <c r="J44" s="19"/>
      <c r="K44" s="19"/>
      <c r="L44" s="19"/>
      <c r="M44" s="19"/>
      <c r="N44" s="19"/>
      <c r="O44" s="19"/>
      <c r="P44" s="19"/>
      <c r="Q44" s="7"/>
      <c r="R44" s="22"/>
      <c r="S44" s="7"/>
      <c r="T44" s="19"/>
      <c r="U44" s="19"/>
      <c r="V44" s="23"/>
      <c r="W44" s="23"/>
      <c r="X44" s="23"/>
      <c r="Y44" s="23"/>
      <c r="Z44" s="24"/>
      <c r="AA44" s="24"/>
      <c r="AB44" s="19"/>
      <c r="AC44" s="19"/>
      <c r="AD44" s="19"/>
      <c r="AE44" s="19"/>
      <c r="AF44" s="20"/>
      <c r="AG44" s="19"/>
      <c r="AH44" s="19"/>
      <c r="AI44" s="19"/>
      <c r="AJ44" s="19"/>
      <c r="AK44" s="19"/>
      <c r="AL44" s="19"/>
      <c r="AM44" s="19"/>
    </row>
    <row r="45" spans="1:41" x14ac:dyDescent="0.25">
      <c r="A45" s="24"/>
      <c r="B45" s="24"/>
      <c r="C45" s="24"/>
      <c r="D45" s="2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T45" s="25"/>
      <c r="U45" s="25"/>
      <c r="V45" s="26"/>
      <c r="W45" s="26"/>
      <c r="X45" s="26"/>
      <c r="Y45" s="26"/>
      <c r="Z45" s="24"/>
      <c r="AA45" s="24"/>
      <c r="AB45" s="25"/>
      <c r="AC45" s="25"/>
      <c r="AD45" s="25"/>
      <c r="AE45" s="25"/>
      <c r="AF45" s="34"/>
      <c r="AG45" s="25"/>
      <c r="AH45" s="25"/>
      <c r="AI45" s="25"/>
      <c r="AJ45" s="25"/>
      <c r="AK45" s="25"/>
      <c r="AL45" s="25"/>
      <c r="AM45" s="25"/>
    </row>
    <row r="46" spans="1:41" x14ac:dyDescent="0.25">
      <c r="A46" s="24"/>
      <c r="B46" s="24"/>
      <c r="C46" s="24"/>
      <c r="D46" s="24"/>
      <c r="Q46" s="22"/>
      <c r="S46" s="22"/>
      <c r="V46" s="26"/>
      <c r="W46" s="26"/>
      <c r="X46" s="26"/>
      <c r="Y46" s="26"/>
      <c r="Z46" s="24"/>
      <c r="AA46" s="24"/>
      <c r="AG46" s="27"/>
      <c r="AH46" s="28"/>
      <c r="AI46" s="28"/>
      <c r="AJ46" s="28"/>
      <c r="AK46" s="28"/>
      <c r="AL46" s="28"/>
    </row>
    <row r="47" spans="1:41" x14ac:dyDescent="0.25">
      <c r="A47" s="24"/>
      <c r="B47" s="24"/>
      <c r="C47" s="24"/>
      <c r="D47" s="24"/>
      <c r="J47" s="29"/>
      <c r="V47" s="26"/>
      <c r="W47" s="26"/>
      <c r="X47" s="26"/>
      <c r="Y47" s="26"/>
      <c r="Z47" s="24"/>
      <c r="AA47" s="24"/>
      <c r="AG47" s="27"/>
      <c r="AH47" s="6"/>
      <c r="AI47" s="6"/>
      <c r="AJ47" s="6"/>
      <c r="AK47" s="6"/>
      <c r="AL47" s="6"/>
    </row>
    <row r="48" spans="1:41" x14ac:dyDescent="0.25">
      <c r="A48" s="24"/>
      <c r="B48" s="24"/>
      <c r="C48" s="24"/>
      <c r="D48" s="24"/>
      <c r="V48" s="26"/>
      <c r="W48" s="26"/>
      <c r="X48" s="26"/>
      <c r="Y48" s="26"/>
      <c r="Z48" s="24"/>
      <c r="AA48" s="24"/>
      <c r="AD48" s="22"/>
    </row>
    <row r="49" spans="1:30" x14ac:dyDescent="0.25">
      <c r="A49" s="183"/>
      <c r="B49" s="24"/>
      <c r="C49" s="184"/>
      <c r="D49" s="24"/>
      <c r="V49" s="26"/>
      <c r="W49" s="26"/>
      <c r="X49" s="26"/>
      <c r="Y49" s="26"/>
      <c r="Z49" s="24"/>
      <c r="AA49" s="24"/>
      <c r="AD49" s="22"/>
    </row>
    <row r="50" spans="1:30" x14ac:dyDescent="0.25">
      <c r="J50" s="30"/>
      <c r="V50" s="26"/>
      <c r="W50" s="26"/>
      <c r="X50" s="26"/>
      <c r="Y50" s="26"/>
      <c r="Z50" s="24"/>
      <c r="AA50" s="24"/>
      <c r="AD50" s="22"/>
    </row>
    <row r="51" spans="1:30" x14ac:dyDescent="0.25">
      <c r="V51" s="23"/>
      <c r="W51" s="23"/>
      <c r="X51" s="23"/>
      <c r="Y51" s="23"/>
      <c r="Z51" s="24"/>
      <c r="AA51" s="24"/>
    </row>
  </sheetData>
  <sheetProtection selectLockedCells="1" selectUnlockedCells="1"/>
  <mergeCells count="26">
    <mergeCell ref="Y1:AA1"/>
    <mergeCell ref="M2:P2"/>
    <mergeCell ref="A5:A10"/>
    <mergeCell ref="B5:B6"/>
    <mergeCell ref="A36:A37"/>
    <mergeCell ref="A32:A33"/>
    <mergeCell ref="A34:A35"/>
    <mergeCell ref="A28:A29"/>
    <mergeCell ref="A30:A31"/>
    <mergeCell ref="B13:B16"/>
    <mergeCell ref="AJ1:AK1"/>
    <mergeCell ref="V1:X1"/>
    <mergeCell ref="A22:A24"/>
    <mergeCell ref="A25:A27"/>
    <mergeCell ref="AB1:AC1"/>
    <mergeCell ref="I2:J2"/>
    <mergeCell ref="B9:B10"/>
    <mergeCell ref="AF1:AG1"/>
    <mergeCell ref="E1:J1"/>
    <mergeCell ref="AH1:AI1"/>
    <mergeCell ref="AD1:AE1"/>
    <mergeCell ref="M1:R1"/>
    <mergeCell ref="G2:H2"/>
    <mergeCell ref="B7:B8"/>
    <mergeCell ref="E2:F2"/>
    <mergeCell ref="A13:A18"/>
  </mergeCells>
  <pageMargins left="0.70866141732283472" right="0.70866141732283472" top="0.59055118110236227" bottom="0.39370078740157483" header="0.31496062992125984" footer="0.31496062992125984"/>
  <pageSetup paperSize="9" scale="63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51"/>
  <sheetViews>
    <sheetView topLeftCell="N1" workbookViewId="0">
      <selection activeCell="AD19" sqref="AD19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6" width="12.85546875" style="7" customWidth="1"/>
    <col min="7" max="8" width="16.140625" style="7" customWidth="1"/>
    <col min="9" max="10" width="13.42578125" style="7" customWidth="1"/>
    <col min="11" max="11" width="12.42578125" style="7" bestFit="1" customWidth="1"/>
    <col min="12" max="12" width="12.42578125" style="7" customWidth="1"/>
    <col min="13" max="13" width="13.140625" style="7" customWidth="1"/>
    <col min="14" max="14" width="14.85546875" style="7" customWidth="1"/>
    <col min="15" max="16" width="11.85546875" style="7" customWidth="1"/>
    <col min="17" max="17" width="12.42578125" style="7" customWidth="1"/>
    <col min="18" max="18" width="12.28515625" style="7" customWidth="1"/>
    <col min="19" max="19" width="12.140625" style="7" customWidth="1"/>
    <col min="20" max="20" width="13.85546875" style="7" customWidth="1"/>
    <col min="21" max="21" width="11.7109375" style="7" customWidth="1"/>
    <col min="22" max="23" width="11.5703125" style="7" customWidth="1"/>
    <col min="24" max="24" width="12.85546875" style="7" customWidth="1"/>
    <col min="25" max="25" width="12" style="7" customWidth="1"/>
    <col min="26" max="26" width="11" style="7" customWidth="1"/>
    <col min="27" max="27" width="12.42578125" style="7" customWidth="1"/>
    <col min="28" max="28" width="11.7109375" style="7" customWidth="1"/>
    <col min="29" max="29" width="12.85546875" style="7" customWidth="1"/>
    <col min="30" max="30" width="14.42578125" style="7" customWidth="1"/>
    <col min="31" max="31" width="12.140625" style="7" customWidth="1"/>
    <col min="32" max="32" width="12.140625" style="24" customWidth="1"/>
    <col min="33" max="33" width="13.140625" style="7" customWidth="1"/>
    <col min="34" max="34" width="13.5703125" style="7" customWidth="1"/>
    <col min="35" max="36" width="13.28515625" style="7" customWidth="1"/>
    <col min="37" max="37" width="13.85546875" style="7" customWidth="1"/>
    <col min="38" max="38" width="13.5703125" style="7" customWidth="1"/>
    <col min="39" max="39" width="14.85546875" style="7" customWidth="1"/>
    <col min="40" max="16384" width="11.42578125" style="7"/>
  </cols>
  <sheetData>
    <row r="1" spans="1:39" s="9" customFormat="1" ht="41.85" customHeight="1" x14ac:dyDescent="0.25">
      <c r="A1" s="7"/>
      <c r="B1" s="2"/>
      <c r="C1" s="2"/>
      <c r="D1" s="8"/>
      <c r="E1" s="439" t="s">
        <v>18</v>
      </c>
      <c r="F1" s="451"/>
      <c r="G1" s="451"/>
      <c r="H1" s="451"/>
      <c r="I1" s="451"/>
      <c r="J1" s="451"/>
      <c r="K1" s="351" t="s">
        <v>19</v>
      </c>
      <c r="L1" s="350" t="s">
        <v>169</v>
      </c>
      <c r="M1" s="454" t="s">
        <v>170</v>
      </c>
      <c r="N1" s="455"/>
      <c r="O1" s="455"/>
      <c r="P1" s="455"/>
      <c r="Q1" s="455"/>
      <c r="R1" s="456"/>
      <c r="S1" s="351" t="s">
        <v>177</v>
      </c>
      <c r="T1" s="351" t="s">
        <v>178</v>
      </c>
      <c r="U1" s="355" t="s">
        <v>179</v>
      </c>
      <c r="V1" s="441" t="s">
        <v>180</v>
      </c>
      <c r="W1" s="442"/>
      <c r="X1" s="443"/>
      <c r="Y1" s="444" t="s">
        <v>181</v>
      </c>
      <c r="Z1" s="445"/>
      <c r="AA1" s="446"/>
      <c r="AB1" s="439" t="s">
        <v>182</v>
      </c>
      <c r="AC1" s="442"/>
      <c r="AD1" s="453" t="s">
        <v>183</v>
      </c>
      <c r="AE1" s="443"/>
      <c r="AF1" s="449" t="s">
        <v>184</v>
      </c>
      <c r="AG1" s="450"/>
      <c r="AH1" s="452" t="s">
        <v>185</v>
      </c>
      <c r="AI1" s="443"/>
      <c r="AJ1" s="439" t="s">
        <v>186</v>
      </c>
      <c r="AK1" s="440"/>
      <c r="AL1" s="351" t="s">
        <v>187</v>
      </c>
      <c r="AM1" s="1" t="s">
        <v>188</v>
      </c>
    </row>
    <row r="2" spans="1:39" s="3" customFormat="1" ht="41.85" customHeight="1" x14ac:dyDescent="0.25">
      <c r="A2" s="31">
        <v>2012</v>
      </c>
      <c r="B2" s="2"/>
      <c r="C2" s="2"/>
      <c r="D2" s="2"/>
      <c r="E2" s="439" t="s">
        <v>0</v>
      </c>
      <c r="F2" s="461"/>
      <c r="G2" s="457" t="s">
        <v>1</v>
      </c>
      <c r="H2" s="458"/>
      <c r="I2" s="439" t="s">
        <v>2</v>
      </c>
      <c r="J2" s="440"/>
      <c r="K2" s="353" t="s">
        <v>3</v>
      </c>
      <c r="L2" s="349" t="s">
        <v>4</v>
      </c>
      <c r="M2" s="462" t="s">
        <v>64</v>
      </c>
      <c r="N2" s="463"/>
      <c r="O2" s="463"/>
      <c r="P2" s="464"/>
      <c r="Q2" s="10" t="s">
        <v>193</v>
      </c>
      <c r="R2" s="10" t="s">
        <v>194</v>
      </c>
      <c r="S2" s="353" t="s">
        <v>65</v>
      </c>
      <c r="T2" s="353" t="s">
        <v>66</v>
      </c>
      <c r="U2" s="353" t="s">
        <v>51</v>
      </c>
      <c r="V2" s="351" t="s">
        <v>10</v>
      </c>
      <c r="W2" s="1" t="s">
        <v>56</v>
      </c>
      <c r="X2" s="1" t="s">
        <v>52</v>
      </c>
      <c r="Y2" s="1" t="s">
        <v>5</v>
      </c>
      <c r="Z2" s="1" t="s">
        <v>58</v>
      </c>
      <c r="AA2" s="1" t="s">
        <v>195</v>
      </c>
      <c r="AB2" s="351" t="s">
        <v>6</v>
      </c>
      <c r="AC2" s="38" t="s">
        <v>59</v>
      </c>
      <c r="AD2" s="36" t="s">
        <v>7</v>
      </c>
      <c r="AE2" s="5" t="s">
        <v>80</v>
      </c>
      <c r="AF2" s="347" t="s">
        <v>12</v>
      </c>
      <c r="AG2" s="353" t="s">
        <v>60</v>
      </c>
      <c r="AH2" s="36" t="s">
        <v>13</v>
      </c>
      <c r="AI2" s="353" t="s">
        <v>196</v>
      </c>
      <c r="AJ2" s="353" t="s">
        <v>61</v>
      </c>
      <c r="AK2" s="353" t="s">
        <v>216</v>
      </c>
      <c r="AL2" s="5" t="s">
        <v>63</v>
      </c>
      <c r="AM2" s="354" t="s">
        <v>197</v>
      </c>
    </row>
    <row r="3" spans="1:39" s="9" customFormat="1" x14ac:dyDescent="0.25">
      <c r="A3" s="7"/>
      <c r="B3" s="2"/>
      <c r="C3" s="2"/>
      <c r="D3" s="8"/>
      <c r="E3" s="351" t="s">
        <v>8</v>
      </c>
      <c r="F3" s="343" t="s">
        <v>9</v>
      </c>
      <c r="G3" s="358" t="s">
        <v>219</v>
      </c>
      <c r="H3" s="358" t="s">
        <v>220</v>
      </c>
      <c r="I3" s="345" t="s">
        <v>202</v>
      </c>
      <c r="J3" s="351" t="s">
        <v>203</v>
      </c>
      <c r="K3" s="353"/>
      <c r="L3" s="353"/>
      <c r="M3" s="10" t="s">
        <v>189</v>
      </c>
      <c r="N3" s="346" t="s">
        <v>190</v>
      </c>
      <c r="O3" s="10" t="s">
        <v>191</v>
      </c>
      <c r="P3" s="10" t="s">
        <v>192</v>
      </c>
      <c r="Q3" s="10"/>
      <c r="R3" s="10"/>
      <c r="S3" s="353"/>
      <c r="T3" s="353"/>
      <c r="U3" s="353"/>
      <c r="V3" s="351"/>
      <c r="W3" s="1"/>
      <c r="X3" s="1"/>
      <c r="Y3" s="351"/>
      <c r="Z3" s="351"/>
      <c r="AA3" s="351"/>
      <c r="AB3" s="351"/>
      <c r="AC3" s="349"/>
      <c r="AD3" s="44"/>
      <c r="AE3" s="5"/>
      <c r="AF3" s="347"/>
      <c r="AG3" s="353"/>
      <c r="AH3" s="36"/>
      <c r="AI3" s="353"/>
      <c r="AJ3" s="353"/>
      <c r="AK3" s="353"/>
      <c r="AL3" s="353"/>
      <c r="AM3" s="352"/>
    </row>
    <row r="4" spans="1:39" s="9" customFormat="1" ht="38.25" x14ac:dyDescent="0.25">
      <c r="A4" s="7"/>
      <c r="B4" s="2"/>
      <c r="C4" s="2"/>
      <c r="D4" s="8"/>
      <c r="E4" s="307" t="s">
        <v>512</v>
      </c>
      <c r="F4" s="344"/>
      <c r="G4" s="356" t="s">
        <v>221</v>
      </c>
      <c r="H4" s="351" t="s">
        <v>222</v>
      </c>
      <c r="I4" s="343" t="s">
        <v>268</v>
      </c>
      <c r="J4" s="351" t="s">
        <v>283</v>
      </c>
      <c r="K4" s="351" t="s">
        <v>26</v>
      </c>
      <c r="L4" s="351" t="s">
        <v>171</v>
      </c>
      <c r="M4" s="351" t="s">
        <v>175</v>
      </c>
      <c r="N4" s="343" t="s">
        <v>22</v>
      </c>
      <c r="O4" s="351" t="s">
        <v>23</v>
      </c>
      <c r="P4" s="351" t="s">
        <v>28</v>
      </c>
      <c r="Q4" s="351" t="s">
        <v>173</v>
      </c>
      <c r="R4" s="4" t="s">
        <v>174</v>
      </c>
      <c r="S4" s="351" t="s">
        <v>20</v>
      </c>
      <c r="T4" s="351" t="s">
        <v>20</v>
      </c>
      <c r="U4" s="351" t="s">
        <v>20</v>
      </c>
      <c r="V4" s="351" t="s">
        <v>11</v>
      </c>
      <c r="W4" s="1" t="s">
        <v>167</v>
      </c>
      <c r="X4" s="1" t="s">
        <v>54</v>
      </c>
      <c r="Y4" s="351" t="s">
        <v>55</v>
      </c>
      <c r="Z4" s="356" t="s">
        <v>284</v>
      </c>
      <c r="AA4" s="356" t="s">
        <v>57</v>
      </c>
      <c r="AB4" s="351" t="s">
        <v>25</v>
      </c>
      <c r="AC4" s="43" t="s">
        <v>47</v>
      </c>
      <c r="AD4" s="37" t="s">
        <v>503</v>
      </c>
      <c r="AE4" s="351" t="s">
        <v>77</v>
      </c>
      <c r="AF4" s="343"/>
      <c r="AG4" s="351" t="s">
        <v>45</v>
      </c>
      <c r="AH4" s="351" t="s">
        <v>176</v>
      </c>
      <c r="AI4" s="343" t="s">
        <v>77</v>
      </c>
      <c r="AJ4" s="343" t="s">
        <v>81</v>
      </c>
      <c r="AK4" s="351" t="s">
        <v>45</v>
      </c>
      <c r="AL4" s="351" t="s">
        <v>62</v>
      </c>
      <c r="AM4" s="351" t="s">
        <v>46</v>
      </c>
    </row>
    <row r="5" spans="1:39" s="9" customFormat="1" ht="12.75" customHeight="1" x14ac:dyDescent="0.25">
      <c r="A5" s="439" t="s">
        <v>18</v>
      </c>
      <c r="B5" s="449" t="s">
        <v>0</v>
      </c>
      <c r="C5" s="351" t="s">
        <v>8</v>
      </c>
      <c r="D5" s="307" t="s">
        <v>512</v>
      </c>
      <c r="E5" s="46"/>
      <c r="F5" s="365"/>
      <c r="G5" s="47"/>
      <c r="H5" s="47"/>
      <c r="I5" s="365"/>
      <c r="J5" s="47"/>
      <c r="K5" s="48"/>
      <c r="L5" s="63"/>
      <c r="M5" s="49"/>
      <c r="N5" s="365"/>
      <c r="O5" s="49"/>
      <c r="P5" s="47"/>
      <c r="Q5" s="47"/>
      <c r="R5" s="47"/>
      <c r="S5" s="47"/>
      <c r="T5" s="47"/>
      <c r="U5" s="47"/>
      <c r="V5" s="47"/>
      <c r="W5" s="47"/>
      <c r="X5" s="47"/>
      <c r="Y5" s="366">
        <f>Data!F216</f>
        <v>0</v>
      </c>
      <c r="Z5" s="366">
        <f>+Data!F218</f>
        <v>0</v>
      </c>
      <c r="AA5" s="50"/>
      <c r="AB5" s="50"/>
      <c r="AC5" s="367"/>
      <c r="AD5" s="368">
        <f>Data!F214+Data!F215+Data!F217+ Data!F95</f>
        <v>7061309</v>
      </c>
      <c r="AE5" s="369"/>
      <c r="AF5" s="369"/>
      <c r="AG5" s="52"/>
      <c r="AH5" s="51"/>
      <c r="AI5" s="365"/>
      <c r="AJ5" s="365"/>
      <c r="AK5" s="52"/>
      <c r="AL5" s="47"/>
      <c r="AM5" s="53">
        <f t="shared" ref="AM5:AM30" si="0">SUM(E5:AL5)</f>
        <v>7061309</v>
      </c>
    </row>
    <row r="6" spans="1:39" s="9" customFormat="1" x14ac:dyDescent="0.25">
      <c r="A6" s="451"/>
      <c r="B6" s="465"/>
      <c r="C6" s="343" t="s">
        <v>9</v>
      </c>
      <c r="D6" s="343"/>
      <c r="E6" s="370"/>
      <c r="F6" s="365"/>
      <c r="G6" s="36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71"/>
      <c r="Z6" s="372"/>
      <c r="AA6" s="373"/>
      <c r="AB6" s="371"/>
      <c r="AC6" s="374"/>
      <c r="AD6" s="375"/>
      <c r="AE6" s="365"/>
      <c r="AF6" s="365"/>
      <c r="AG6" s="365"/>
      <c r="AH6" s="375"/>
      <c r="AI6" s="365"/>
      <c r="AJ6" s="365"/>
      <c r="AK6" s="365"/>
      <c r="AL6" s="365"/>
      <c r="AM6" s="376">
        <f t="shared" si="0"/>
        <v>0</v>
      </c>
    </row>
    <row r="7" spans="1:39" s="9" customFormat="1" ht="25.5" x14ac:dyDescent="0.25">
      <c r="A7" s="451"/>
      <c r="B7" s="459" t="s">
        <v>1</v>
      </c>
      <c r="C7" s="358" t="s">
        <v>219</v>
      </c>
      <c r="D7" s="356" t="s">
        <v>221</v>
      </c>
      <c r="E7" s="46"/>
      <c r="F7" s="365"/>
      <c r="G7" s="47"/>
      <c r="H7" s="47"/>
      <c r="I7" s="369"/>
      <c r="J7" s="377">
        <f>-Data!F233</f>
        <v>2630755</v>
      </c>
      <c r="K7" s="47"/>
      <c r="L7" s="47"/>
      <c r="M7" s="49"/>
      <c r="N7" s="365"/>
      <c r="O7" s="49"/>
      <c r="P7" s="47"/>
      <c r="Q7" s="47"/>
      <c r="R7" s="47"/>
      <c r="S7" s="47"/>
      <c r="T7" s="47"/>
      <c r="U7" s="47"/>
      <c r="V7" s="47"/>
      <c r="W7" s="47"/>
      <c r="X7" s="47"/>
      <c r="Y7" s="366">
        <f>+Data!F342+Data!F343</f>
        <v>-12001</v>
      </c>
      <c r="Z7" s="48"/>
      <c r="AA7" s="54"/>
      <c r="AB7" s="50"/>
      <c r="AC7" s="367"/>
      <c r="AD7" s="51"/>
      <c r="AE7" s="52"/>
      <c r="AF7" s="365"/>
      <c r="AG7" s="52"/>
      <c r="AH7" s="51"/>
      <c r="AI7" s="365"/>
      <c r="AJ7" s="365"/>
      <c r="AK7" s="52"/>
      <c r="AL7" s="47"/>
      <c r="AM7" s="53">
        <f t="shared" si="0"/>
        <v>2618754</v>
      </c>
    </row>
    <row r="8" spans="1:39" s="9" customFormat="1" x14ac:dyDescent="0.25">
      <c r="A8" s="451"/>
      <c r="B8" s="460"/>
      <c r="C8" s="358" t="s">
        <v>220</v>
      </c>
      <c r="D8" s="351" t="s">
        <v>222</v>
      </c>
      <c r="E8" s="46"/>
      <c r="F8" s="365"/>
      <c r="G8" s="47"/>
      <c r="H8" s="47"/>
      <c r="I8" s="365"/>
      <c r="J8" s="52"/>
      <c r="K8" s="47"/>
      <c r="L8" s="47"/>
      <c r="M8" s="49"/>
      <c r="N8" s="365"/>
      <c r="O8" s="49"/>
      <c r="P8" s="47"/>
      <c r="Q8" s="47"/>
      <c r="R8" s="47"/>
      <c r="S8" s="47"/>
      <c r="T8" s="47"/>
      <c r="U8" s="47"/>
      <c r="V8" s="47"/>
      <c r="W8" s="47"/>
      <c r="X8" s="47"/>
      <c r="Y8" s="50"/>
      <c r="Z8" s="366">
        <f>+Data!F364</f>
        <v>125280</v>
      </c>
      <c r="AA8" s="54"/>
      <c r="AB8" s="50"/>
      <c r="AC8" s="367"/>
      <c r="AD8" s="51"/>
      <c r="AE8" s="52"/>
      <c r="AF8" s="365"/>
      <c r="AG8" s="52"/>
      <c r="AH8" s="378"/>
      <c r="AI8" s="369"/>
      <c r="AJ8" s="369"/>
      <c r="AK8" s="52"/>
      <c r="AL8" s="47"/>
      <c r="AM8" s="55">
        <f t="shared" si="0"/>
        <v>125280</v>
      </c>
    </row>
    <row r="9" spans="1:39" s="9" customFormat="1" x14ac:dyDescent="0.25">
      <c r="A9" s="451"/>
      <c r="B9" s="447" t="s">
        <v>2</v>
      </c>
      <c r="C9" s="358" t="s">
        <v>202</v>
      </c>
      <c r="D9" s="348" t="s">
        <v>268</v>
      </c>
      <c r="E9" s="365"/>
      <c r="F9" s="365"/>
      <c r="G9" s="365"/>
      <c r="H9" s="365"/>
      <c r="I9" s="365"/>
      <c r="J9" s="365"/>
      <c r="K9" s="369"/>
      <c r="L9" s="365"/>
      <c r="M9" s="365"/>
      <c r="N9" s="365"/>
      <c r="O9" s="365"/>
      <c r="P9" s="365"/>
      <c r="Q9" s="365"/>
      <c r="R9" s="365"/>
      <c r="S9" s="365"/>
      <c r="T9" s="365"/>
      <c r="U9" s="365"/>
      <c r="V9" s="365"/>
      <c r="W9" s="365"/>
      <c r="X9" s="365"/>
      <c r="Y9" s="371"/>
      <c r="Z9" s="371"/>
      <c r="AA9" s="371"/>
      <c r="AB9" s="371"/>
      <c r="AC9" s="374"/>
      <c r="AD9" s="375"/>
      <c r="AE9" s="365"/>
      <c r="AF9" s="365"/>
      <c r="AG9" s="365"/>
      <c r="AH9" s="375"/>
      <c r="AI9" s="365"/>
      <c r="AJ9" s="365"/>
      <c r="AK9" s="365"/>
      <c r="AL9" s="365"/>
      <c r="AM9" s="376">
        <f t="shared" si="0"/>
        <v>0</v>
      </c>
    </row>
    <row r="10" spans="1:39" s="9" customFormat="1" ht="25.5" x14ac:dyDescent="0.25">
      <c r="A10" s="451"/>
      <c r="B10" s="448"/>
      <c r="C10" s="351" t="s">
        <v>203</v>
      </c>
      <c r="D10" s="351" t="s">
        <v>283</v>
      </c>
      <c r="E10" s="47"/>
      <c r="F10" s="365"/>
      <c r="G10" s="47"/>
      <c r="H10" s="47"/>
      <c r="I10" s="365"/>
      <c r="J10" s="47"/>
      <c r="K10" s="377">
        <f>+J7</f>
        <v>2630755</v>
      </c>
      <c r="L10" s="57"/>
      <c r="M10" s="49"/>
      <c r="N10" s="365"/>
      <c r="O10" s="49"/>
      <c r="P10" s="47"/>
      <c r="Q10" s="47"/>
      <c r="R10" s="47"/>
      <c r="S10" s="47"/>
      <c r="T10" s="47"/>
      <c r="U10" s="47"/>
      <c r="V10" s="47"/>
      <c r="W10" s="47"/>
      <c r="X10" s="47"/>
      <c r="Y10" s="50"/>
      <c r="Z10" s="50"/>
      <c r="AA10" s="50"/>
      <c r="AB10" s="56"/>
      <c r="AC10" s="367"/>
      <c r="AD10" s="51"/>
      <c r="AE10" s="52"/>
      <c r="AF10" s="365"/>
      <c r="AG10" s="52"/>
      <c r="AH10" s="51"/>
      <c r="AI10" s="365"/>
      <c r="AJ10" s="365"/>
      <c r="AK10" s="52"/>
      <c r="AL10" s="47"/>
      <c r="AM10" s="53">
        <f t="shared" si="0"/>
        <v>2630755</v>
      </c>
    </row>
    <row r="11" spans="1:39" s="9" customFormat="1" x14ac:dyDescent="0.25">
      <c r="A11" s="351" t="s">
        <v>19</v>
      </c>
      <c r="B11" s="353" t="s">
        <v>3</v>
      </c>
      <c r="C11" s="353"/>
      <c r="D11" s="351" t="s">
        <v>26</v>
      </c>
      <c r="E11" s="377">
        <f>+Data!F220</f>
        <v>6599354</v>
      </c>
      <c r="F11" s="369"/>
      <c r="G11" s="52"/>
      <c r="H11" s="52"/>
      <c r="I11" s="365"/>
      <c r="J11" s="52"/>
      <c r="K11" s="47"/>
      <c r="L11" s="57"/>
      <c r="M11" s="49"/>
      <c r="N11" s="365"/>
      <c r="O11" s="49"/>
      <c r="P11" s="47"/>
      <c r="Q11" s="47"/>
      <c r="R11" s="47"/>
      <c r="S11" s="47"/>
      <c r="T11" s="47"/>
      <c r="U11" s="47"/>
      <c r="V11" s="57"/>
      <c r="W11" s="57"/>
      <c r="X11" s="57"/>
      <c r="Y11" s="57"/>
      <c r="Z11" s="57"/>
      <c r="AA11" s="57"/>
      <c r="AB11" s="57"/>
      <c r="AC11" s="367"/>
      <c r="AD11" s="51"/>
      <c r="AE11" s="52"/>
      <c r="AF11" s="365"/>
      <c r="AG11" s="52"/>
      <c r="AH11" s="51"/>
      <c r="AI11" s="365"/>
      <c r="AJ11" s="365"/>
      <c r="AK11" s="52"/>
      <c r="AL11" s="47"/>
      <c r="AM11" s="53">
        <f t="shared" si="0"/>
        <v>6599354</v>
      </c>
    </row>
    <row r="12" spans="1:39" s="9" customFormat="1" x14ac:dyDescent="0.25">
      <c r="A12" s="350" t="s">
        <v>169</v>
      </c>
      <c r="B12" s="349" t="s">
        <v>4</v>
      </c>
      <c r="C12" s="353"/>
      <c r="D12" s="351" t="s">
        <v>171</v>
      </c>
      <c r="E12" s="57"/>
      <c r="F12" s="365"/>
      <c r="G12" s="57"/>
      <c r="H12" s="57"/>
      <c r="I12" s="365"/>
      <c r="J12" s="59"/>
      <c r="K12" s="377">
        <f>E11-SUM(K9:K10)-K26</f>
        <v>3530429</v>
      </c>
      <c r="L12" s="379"/>
      <c r="M12" s="61"/>
      <c r="N12" s="365"/>
      <c r="O12" s="49"/>
      <c r="P12" s="47"/>
      <c r="Q12" s="47"/>
      <c r="R12" s="47"/>
      <c r="S12" s="47"/>
      <c r="T12" s="47"/>
      <c r="U12" s="47"/>
      <c r="V12" s="57"/>
      <c r="W12" s="57"/>
      <c r="X12" s="57"/>
      <c r="Y12" s="57"/>
      <c r="Z12" s="57"/>
      <c r="AA12" s="57"/>
      <c r="AB12" s="57"/>
      <c r="AC12" s="367"/>
      <c r="AD12" s="51"/>
      <c r="AE12" s="52"/>
      <c r="AF12" s="365"/>
      <c r="AG12" s="52"/>
      <c r="AH12" s="51"/>
      <c r="AI12" s="365"/>
      <c r="AJ12" s="365"/>
      <c r="AK12" s="52"/>
      <c r="AL12" s="47"/>
      <c r="AM12" s="53">
        <f t="shared" si="0"/>
        <v>3530429</v>
      </c>
    </row>
    <row r="13" spans="1:39" s="9" customFormat="1" x14ac:dyDescent="0.25">
      <c r="A13" s="454" t="s">
        <v>170</v>
      </c>
      <c r="B13" s="470" t="s">
        <v>64</v>
      </c>
      <c r="C13" s="10" t="s">
        <v>189</v>
      </c>
      <c r="D13" s="351" t="s">
        <v>175</v>
      </c>
      <c r="E13" s="47"/>
      <c r="F13" s="365"/>
      <c r="G13" s="47"/>
      <c r="H13" s="47"/>
      <c r="I13" s="365"/>
      <c r="J13" s="59"/>
      <c r="K13" s="60"/>
      <c r="L13" s="366">
        <f>-Data!F256</f>
        <v>2101700</v>
      </c>
      <c r="M13" s="61"/>
      <c r="N13" s="365"/>
      <c r="O13" s="49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367"/>
      <c r="AD13" s="51"/>
      <c r="AE13" s="52"/>
      <c r="AF13" s="365"/>
      <c r="AG13" s="52"/>
      <c r="AH13" s="51"/>
      <c r="AI13" s="365"/>
      <c r="AJ13" s="365"/>
      <c r="AK13" s="52"/>
      <c r="AL13" s="47"/>
      <c r="AM13" s="53">
        <f t="shared" si="0"/>
        <v>2101700</v>
      </c>
    </row>
    <row r="14" spans="1:39" s="9" customFormat="1" x14ac:dyDescent="0.25">
      <c r="A14" s="455"/>
      <c r="B14" s="471"/>
      <c r="C14" s="10" t="s">
        <v>190</v>
      </c>
      <c r="D14" s="348" t="s">
        <v>22</v>
      </c>
      <c r="E14" s="365"/>
      <c r="F14" s="365"/>
      <c r="G14" s="365"/>
      <c r="H14" s="365"/>
      <c r="I14" s="365"/>
      <c r="J14" s="370"/>
      <c r="K14" s="380"/>
      <c r="L14" s="381"/>
      <c r="M14" s="375"/>
      <c r="N14" s="365"/>
      <c r="O14" s="365"/>
      <c r="P14" s="365"/>
      <c r="Q14" s="365"/>
      <c r="R14" s="365"/>
      <c r="S14" s="365"/>
      <c r="T14" s="365"/>
      <c r="U14" s="365"/>
      <c r="V14" s="365"/>
      <c r="W14" s="365"/>
      <c r="X14" s="365"/>
      <c r="Y14" s="365"/>
      <c r="Z14" s="365"/>
      <c r="AA14" s="365"/>
      <c r="AB14" s="365"/>
      <c r="AC14" s="374"/>
      <c r="AD14" s="375"/>
      <c r="AE14" s="365"/>
      <c r="AF14" s="365"/>
      <c r="AG14" s="365"/>
      <c r="AH14" s="375"/>
      <c r="AI14" s="365"/>
      <c r="AJ14" s="365"/>
      <c r="AK14" s="365"/>
      <c r="AL14" s="365"/>
      <c r="AM14" s="376">
        <f t="shared" si="0"/>
        <v>0</v>
      </c>
    </row>
    <row r="15" spans="1:39" s="9" customFormat="1" ht="25.5" x14ac:dyDescent="0.25">
      <c r="A15" s="455"/>
      <c r="B15" s="471"/>
      <c r="C15" s="10" t="s">
        <v>191</v>
      </c>
      <c r="D15" s="351" t="s">
        <v>172</v>
      </c>
      <c r="E15" s="47"/>
      <c r="F15" s="365"/>
      <c r="G15" s="47"/>
      <c r="H15" s="47"/>
      <c r="I15" s="365"/>
      <c r="J15" s="59"/>
      <c r="K15" s="60"/>
      <c r="L15" s="382">
        <f>-Data!F257</f>
        <v>633386</v>
      </c>
      <c r="M15" s="61"/>
      <c r="N15" s="365"/>
      <c r="O15" s="49"/>
      <c r="P15" s="47"/>
      <c r="Q15" s="47"/>
      <c r="R15" s="47"/>
      <c r="S15" s="47"/>
      <c r="T15" s="47"/>
      <c r="U15" s="47" t="s">
        <v>53</v>
      </c>
      <c r="V15" s="47"/>
      <c r="W15" s="47"/>
      <c r="X15" s="47"/>
      <c r="Y15" s="47"/>
      <c r="Z15" s="47"/>
      <c r="AA15" s="47"/>
      <c r="AB15" s="47"/>
      <c r="AC15" s="367"/>
      <c r="AD15" s="51"/>
      <c r="AE15" s="52"/>
      <c r="AF15" s="365"/>
      <c r="AG15" s="52"/>
      <c r="AH15" s="51"/>
      <c r="AI15" s="365"/>
      <c r="AJ15" s="365"/>
      <c r="AK15" s="52"/>
      <c r="AL15" s="47"/>
      <c r="AM15" s="53">
        <f t="shared" si="0"/>
        <v>633386</v>
      </c>
    </row>
    <row r="16" spans="1:39" s="9" customFormat="1" x14ac:dyDescent="0.25">
      <c r="A16" s="455"/>
      <c r="B16" s="471"/>
      <c r="C16" s="10" t="s">
        <v>192</v>
      </c>
      <c r="D16" s="351" t="s">
        <v>28</v>
      </c>
      <c r="E16" s="47"/>
      <c r="F16" s="365"/>
      <c r="G16" s="47"/>
      <c r="H16" s="47"/>
      <c r="I16" s="365"/>
      <c r="J16" s="59"/>
      <c r="K16" s="60"/>
      <c r="L16" s="366">
        <f>-Data!F258</f>
        <v>0</v>
      </c>
      <c r="M16" s="61"/>
      <c r="N16" s="365"/>
      <c r="O16" s="49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367"/>
      <c r="AD16" s="51"/>
      <c r="AE16" s="52"/>
      <c r="AF16" s="365"/>
      <c r="AG16" s="52"/>
      <c r="AH16" s="51"/>
      <c r="AI16" s="365"/>
      <c r="AJ16" s="365"/>
      <c r="AK16" s="52"/>
      <c r="AL16" s="47"/>
      <c r="AM16" s="53">
        <f t="shared" si="0"/>
        <v>0</v>
      </c>
    </row>
    <row r="17" spans="1:154" s="9" customFormat="1" x14ac:dyDescent="0.25">
      <c r="A17" s="455"/>
      <c r="B17" s="10" t="s">
        <v>193</v>
      </c>
      <c r="C17" s="10"/>
      <c r="D17" s="351" t="s">
        <v>173</v>
      </c>
      <c r="E17" s="47"/>
      <c r="F17" s="365"/>
      <c r="G17" s="47"/>
      <c r="H17" s="47"/>
      <c r="I17" s="365"/>
      <c r="J17" s="47"/>
      <c r="K17" s="60"/>
      <c r="L17" s="366">
        <f>-Data!F259</f>
        <v>204818</v>
      </c>
      <c r="M17" s="47"/>
      <c r="N17" s="365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367"/>
      <c r="AD17" s="51"/>
      <c r="AE17" s="52"/>
      <c r="AF17" s="365"/>
      <c r="AG17" s="52"/>
      <c r="AH17" s="51"/>
      <c r="AI17" s="365"/>
      <c r="AJ17" s="365"/>
      <c r="AK17" s="52"/>
      <c r="AL17" s="47"/>
      <c r="AM17" s="53">
        <f t="shared" si="0"/>
        <v>204818</v>
      </c>
    </row>
    <row r="18" spans="1:154" s="9" customFormat="1" x14ac:dyDescent="0.25">
      <c r="A18" s="456"/>
      <c r="B18" s="10" t="s">
        <v>194</v>
      </c>
      <c r="C18" s="10"/>
      <c r="D18" s="4" t="s">
        <v>174</v>
      </c>
      <c r="E18" s="47"/>
      <c r="F18" s="365"/>
      <c r="G18" s="47"/>
      <c r="H18" s="47"/>
      <c r="I18" s="365"/>
      <c r="J18" s="47"/>
      <c r="K18" s="60"/>
      <c r="L18" s="377">
        <f>K12-SUM(L13:L17)</f>
        <v>590525</v>
      </c>
      <c r="M18" s="47"/>
      <c r="N18" s="365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367"/>
      <c r="AD18" s="51"/>
      <c r="AE18" s="52"/>
      <c r="AF18" s="365"/>
      <c r="AG18" s="52"/>
      <c r="AH18" s="51"/>
      <c r="AI18" s="365"/>
      <c r="AJ18" s="365"/>
      <c r="AK18" s="52"/>
      <c r="AL18" s="47"/>
      <c r="AM18" s="53">
        <f t="shared" si="0"/>
        <v>590525</v>
      </c>
    </row>
    <row r="19" spans="1:154" s="9" customFormat="1" ht="25.5" x14ac:dyDescent="0.25">
      <c r="A19" s="351" t="s">
        <v>177</v>
      </c>
      <c r="B19" s="353" t="s">
        <v>65</v>
      </c>
      <c r="C19" s="353"/>
      <c r="D19" s="351" t="s">
        <v>20</v>
      </c>
      <c r="E19" s="47"/>
      <c r="F19" s="365"/>
      <c r="G19" s="47"/>
      <c r="H19" s="47"/>
      <c r="I19" s="365"/>
      <c r="J19" s="47"/>
      <c r="K19" s="47"/>
      <c r="L19" s="57"/>
      <c r="M19" s="47"/>
      <c r="N19" s="365"/>
      <c r="O19" s="47"/>
      <c r="P19" s="52"/>
      <c r="Q19" s="52"/>
      <c r="R19" s="377">
        <f>+L18</f>
        <v>590525</v>
      </c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367"/>
      <c r="AD19" s="368">
        <f>+Data!F264+Data!F265+Data!F266+Data!F267+Data!F268+Data!F96</f>
        <v>88791</v>
      </c>
      <c r="AE19" s="369"/>
      <c r="AF19" s="369"/>
      <c r="AG19" s="383"/>
      <c r="AH19" s="51"/>
      <c r="AI19" s="365"/>
      <c r="AJ19" s="365"/>
      <c r="AK19" s="52"/>
      <c r="AL19" s="47"/>
      <c r="AM19" s="53">
        <f t="shared" si="0"/>
        <v>679316</v>
      </c>
    </row>
    <row r="20" spans="1:154" s="9" customFormat="1" ht="25.5" x14ac:dyDescent="0.25">
      <c r="A20" s="351" t="s">
        <v>178</v>
      </c>
      <c r="B20" s="353" t="s">
        <v>66</v>
      </c>
      <c r="C20" s="353"/>
      <c r="D20" s="351" t="s">
        <v>20</v>
      </c>
      <c r="E20" s="47"/>
      <c r="F20" s="365"/>
      <c r="G20" s="47"/>
      <c r="H20" s="47"/>
      <c r="I20" s="365"/>
      <c r="J20" s="47"/>
      <c r="K20" s="47"/>
      <c r="L20" s="57"/>
      <c r="M20" s="47"/>
      <c r="N20" s="365"/>
      <c r="O20" s="47"/>
      <c r="P20" s="47"/>
      <c r="Q20" s="47"/>
      <c r="R20" s="47"/>
      <c r="S20" s="377">
        <f>R19+SUM(AD19:AK19)-SUM(S30:S33)</f>
        <v>169782</v>
      </c>
      <c r="T20" s="47"/>
      <c r="U20" s="47"/>
      <c r="V20" s="47"/>
      <c r="W20" s="47"/>
      <c r="X20" s="47"/>
      <c r="Y20" s="47"/>
      <c r="Z20" s="47"/>
      <c r="AA20" s="47"/>
      <c r="AB20" s="47"/>
      <c r="AC20" s="367"/>
      <c r="AD20" s="384"/>
      <c r="AE20" s="385"/>
      <c r="AF20" s="365"/>
      <c r="AG20" s="369"/>
      <c r="AH20" s="51"/>
      <c r="AI20" s="365"/>
      <c r="AJ20" s="365"/>
      <c r="AK20" s="52"/>
      <c r="AL20" s="47"/>
      <c r="AM20" s="53">
        <f t="shared" si="0"/>
        <v>169782</v>
      </c>
    </row>
    <row r="21" spans="1:154" s="9" customFormat="1" ht="25.5" x14ac:dyDescent="0.25">
      <c r="A21" s="355" t="s">
        <v>179</v>
      </c>
      <c r="B21" s="353" t="s">
        <v>51</v>
      </c>
      <c r="C21" s="353"/>
      <c r="D21" s="351" t="s">
        <v>20</v>
      </c>
      <c r="E21" s="47"/>
      <c r="F21" s="365"/>
      <c r="G21" s="47"/>
      <c r="H21" s="47"/>
      <c r="I21" s="365"/>
      <c r="J21" s="47"/>
      <c r="K21" s="47"/>
      <c r="L21" s="57"/>
      <c r="M21" s="47"/>
      <c r="N21" s="365"/>
      <c r="O21" s="47"/>
      <c r="P21" s="47"/>
      <c r="Q21" s="47"/>
      <c r="R21" s="47"/>
      <c r="S21" s="52"/>
      <c r="T21" s="377">
        <f>S20+SUM(AD20:AG20)-SUM(T30:T33)</f>
        <v>145244</v>
      </c>
      <c r="U21" s="47"/>
      <c r="V21" s="47"/>
      <c r="W21" s="47"/>
      <c r="X21" s="47"/>
      <c r="Y21" s="47"/>
      <c r="Z21" s="47"/>
      <c r="AA21" s="47"/>
      <c r="AB21" s="47"/>
      <c r="AC21" s="367"/>
      <c r="AD21" s="51"/>
      <c r="AE21" s="48"/>
      <c r="AF21" s="372"/>
      <c r="AG21" s="48"/>
      <c r="AH21" s="386">
        <f>+Data!F294</f>
        <v>0</v>
      </c>
      <c r="AI21" s="387"/>
      <c r="AJ21" s="372"/>
      <c r="AK21" s="387"/>
      <c r="AL21" s="63"/>
      <c r="AM21" s="53">
        <f t="shared" si="0"/>
        <v>145244</v>
      </c>
    </row>
    <row r="22" spans="1:154" s="9" customFormat="1" x14ac:dyDescent="0.25">
      <c r="A22" s="441" t="s">
        <v>180</v>
      </c>
      <c r="B22" s="351" t="s">
        <v>10</v>
      </c>
      <c r="C22" s="351"/>
      <c r="D22" s="1" t="s">
        <v>11</v>
      </c>
      <c r="E22" s="47"/>
      <c r="F22" s="365"/>
      <c r="G22" s="47"/>
      <c r="H22" s="47"/>
      <c r="I22" s="365"/>
      <c r="J22" s="47"/>
      <c r="K22" s="47"/>
      <c r="L22" s="57"/>
      <c r="M22" s="47"/>
      <c r="N22" s="365"/>
      <c r="O22" s="47"/>
      <c r="P22" s="47"/>
      <c r="Q22" s="47"/>
      <c r="R22" s="47"/>
      <c r="S22" s="52"/>
      <c r="T22" s="47"/>
      <c r="U22" s="377">
        <f>T21+SUM(AH21:AK21)-SUM(U30:U32)-SUM(U34:U37)</f>
        <v>145244</v>
      </c>
      <c r="V22" s="47"/>
      <c r="W22" s="47"/>
      <c r="X22" s="47"/>
      <c r="Y22" s="47"/>
      <c r="Z22" s="47"/>
      <c r="AA22" s="47"/>
      <c r="AB22" s="47"/>
      <c r="AC22" s="388"/>
      <c r="AD22" s="51"/>
      <c r="AE22" s="365"/>
      <c r="AF22" s="365"/>
      <c r="AG22" s="52"/>
      <c r="AH22" s="378"/>
      <c r="AI22" s="369"/>
      <c r="AJ22" s="365"/>
      <c r="AK22" s="377">
        <f>+Data!F300</f>
        <v>0</v>
      </c>
      <c r="AL22" s="52"/>
      <c r="AM22" s="53">
        <f t="shared" si="0"/>
        <v>145244</v>
      </c>
    </row>
    <row r="23" spans="1:154" s="9" customFormat="1" ht="12.75" customHeight="1" x14ac:dyDescent="0.25">
      <c r="A23" s="442"/>
      <c r="B23" s="1" t="s">
        <v>56</v>
      </c>
      <c r="C23" s="1"/>
      <c r="D23" s="35" t="s">
        <v>167</v>
      </c>
      <c r="E23" s="47"/>
      <c r="F23" s="365"/>
      <c r="G23" s="47"/>
      <c r="H23" s="47"/>
      <c r="I23" s="365"/>
      <c r="J23" s="47"/>
      <c r="K23" s="47"/>
      <c r="L23" s="57"/>
      <c r="M23" s="47"/>
      <c r="N23" s="365"/>
      <c r="O23" s="47"/>
      <c r="P23" s="47"/>
      <c r="Q23" s="47"/>
      <c r="R23" s="47"/>
      <c r="S23" s="52"/>
      <c r="T23" s="47"/>
      <c r="U23" s="52"/>
      <c r="V23" s="377">
        <f>U22+SUM(AH22:AK22)-SUM(V33:V38)</f>
        <v>145244</v>
      </c>
      <c r="W23" s="52"/>
      <c r="X23" s="47"/>
      <c r="Y23" s="47"/>
      <c r="Z23" s="47"/>
      <c r="AA23" s="47"/>
      <c r="AB23" s="52"/>
      <c r="AC23" s="389"/>
      <c r="AD23" s="368">
        <f>+Data!F327</f>
        <v>0</v>
      </c>
      <c r="AE23" s="378"/>
      <c r="AF23" s="378"/>
      <c r="AG23" s="52"/>
      <c r="AH23" s="390">
        <f>+Data!F317+Data!F319+Data!F320+Data!F321+Data!F326</f>
        <v>0</v>
      </c>
      <c r="AI23" s="384"/>
      <c r="AJ23" s="385"/>
      <c r="AK23" s="391">
        <f>+Data!F318+Data!F322</f>
        <v>31235</v>
      </c>
      <c r="AL23" s="67"/>
      <c r="AM23" s="53">
        <f t="shared" si="0"/>
        <v>176479</v>
      </c>
    </row>
    <row r="24" spans="1:154" s="9" customFormat="1" ht="12.75" customHeight="1" x14ac:dyDescent="0.25">
      <c r="A24" s="443"/>
      <c r="B24" s="1" t="s">
        <v>52</v>
      </c>
      <c r="C24" s="1"/>
      <c r="D24" s="1" t="s">
        <v>54</v>
      </c>
      <c r="E24" s="47"/>
      <c r="F24" s="365"/>
      <c r="G24" s="47"/>
      <c r="H24" s="47"/>
      <c r="I24" s="365"/>
      <c r="J24" s="47"/>
      <c r="K24" s="47"/>
      <c r="L24" s="57"/>
      <c r="M24" s="47"/>
      <c r="N24" s="365"/>
      <c r="O24" s="47"/>
      <c r="P24" s="47"/>
      <c r="Q24" s="47"/>
      <c r="R24" s="47"/>
      <c r="S24" s="52"/>
      <c r="T24" s="47"/>
      <c r="U24" s="52"/>
      <c r="V24" s="52"/>
      <c r="W24" s="377">
        <f>V23+SUM(Y23:AK23)-SUM(W25:W37)</f>
        <v>176479</v>
      </c>
      <c r="X24" s="47"/>
      <c r="Y24" s="47"/>
      <c r="Z24" s="47"/>
      <c r="AA24" s="47"/>
      <c r="AB24" s="47"/>
      <c r="AC24" s="388"/>
      <c r="AD24" s="51"/>
      <c r="AE24" s="52"/>
      <c r="AF24" s="365"/>
      <c r="AG24" s="52"/>
      <c r="AH24" s="64"/>
      <c r="AI24" s="392"/>
      <c r="AJ24" s="392"/>
      <c r="AK24" s="64"/>
      <c r="AL24" s="67"/>
      <c r="AM24" s="53">
        <f t="shared" si="0"/>
        <v>176479</v>
      </c>
    </row>
    <row r="25" spans="1:154" s="9" customFormat="1" ht="12.75" customHeight="1" x14ac:dyDescent="0.25">
      <c r="A25" s="444" t="s">
        <v>181</v>
      </c>
      <c r="B25" s="1" t="s">
        <v>5</v>
      </c>
      <c r="C25" s="351"/>
      <c r="D25" s="1" t="s">
        <v>55</v>
      </c>
      <c r="E25" s="47"/>
      <c r="F25" s="365"/>
      <c r="G25" s="47"/>
      <c r="H25" s="47"/>
      <c r="I25" s="365"/>
      <c r="J25" s="47"/>
      <c r="K25" s="47"/>
      <c r="L25" s="57"/>
      <c r="M25" s="47"/>
      <c r="N25" s="365"/>
      <c r="O25" s="47"/>
      <c r="P25" s="47"/>
      <c r="Q25" s="47"/>
      <c r="R25" s="47"/>
      <c r="S25" s="52"/>
      <c r="T25" s="47"/>
      <c r="U25" s="52"/>
      <c r="V25" s="47"/>
      <c r="W25" s="47"/>
      <c r="X25" s="377">
        <f>SUM(Y6:Y10)</f>
        <v>-12001</v>
      </c>
      <c r="Y25" s="47"/>
      <c r="Z25" s="47"/>
      <c r="AA25" s="47"/>
      <c r="AB25" s="47"/>
      <c r="AC25" s="388"/>
      <c r="AD25" s="58"/>
      <c r="AE25" s="52"/>
      <c r="AF25" s="365"/>
      <c r="AG25" s="57"/>
      <c r="AH25" s="67"/>
      <c r="AI25" s="392"/>
      <c r="AJ25" s="392"/>
      <c r="AK25" s="67"/>
      <c r="AL25" s="67"/>
      <c r="AM25" s="53">
        <f t="shared" si="0"/>
        <v>-12001</v>
      </c>
    </row>
    <row r="26" spans="1:154" s="9" customFormat="1" ht="25.5" x14ac:dyDescent="0.25">
      <c r="A26" s="445"/>
      <c r="B26" s="1" t="s">
        <v>58</v>
      </c>
      <c r="C26" s="351"/>
      <c r="D26" s="357" t="s">
        <v>284</v>
      </c>
      <c r="E26" s="47"/>
      <c r="F26" s="365"/>
      <c r="G26" s="47"/>
      <c r="H26" s="47"/>
      <c r="I26" s="365"/>
      <c r="J26" s="47"/>
      <c r="K26" s="377">
        <f>-Data!F246</f>
        <v>438170</v>
      </c>
      <c r="L26" s="57"/>
      <c r="M26" s="49"/>
      <c r="N26" s="365"/>
      <c r="O26" s="49"/>
      <c r="P26" s="47"/>
      <c r="Q26" s="47"/>
      <c r="R26" s="47"/>
      <c r="S26" s="47"/>
      <c r="T26" s="47"/>
      <c r="U26" s="47"/>
      <c r="V26" s="47"/>
      <c r="W26" s="47"/>
      <c r="X26" s="195">
        <f>Z5+Z8-K26</f>
        <v>-312890</v>
      </c>
      <c r="Y26" s="47"/>
      <c r="Z26" s="47"/>
      <c r="AA26" s="47"/>
      <c r="AB26" s="47"/>
      <c r="AC26" s="367"/>
      <c r="AD26" s="58"/>
      <c r="AE26" s="52"/>
      <c r="AF26" s="365"/>
      <c r="AG26" s="47"/>
      <c r="AH26" s="58"/>
      <c r="AI26" s="365"/>
      <c r="AJ26" s="365"/>
      <c r="AK26" s="47"/>
      <c r="AL26" s="47"/>
      <c r="AM26" s="53">
        <f t="shared" si="0"/>
        <v>125280</v>
      </c>
    </row>
    <row r="27" spans="1:154" s="9" customFormat="1" ht="25.5" x14ac:dyDescent="0.25">
      <c r="A27" s="446"/>
      <c r="B27" s="1" t="s">
        <v>195</v>
      </c>
      <c r="C27" s="351"/>
      <c r="D27" s="356" t="s">
        <v>57</v>
      </c>
      <c r="E27" s="47"/>
      <c r="F27" s="365"/>
      <c r="G27" s="47"/>
      <c r="H27" s="47"/>
      <c r="I27" s="365"/>
      <c r="J27" s="47"/>
      <c r="K27" s="52"/>
      <c r="L27" s="57"/>
      <c r="M27" s="49"/>
      <c r="N27" s="365"/>
      <c r="O27" s="49"/>
      <c r="P27" s="47"/>
      <c r="Q27" s="47"/>
      <c r="R27" s="47"/>
      <c r="S27" s="47"/>
      <c r="T27" s="47"/>
      <c r="U27" s="47"/>
      <c r="V27" s="47"/>
      <c r="W27" s="47"/>
      <c r="X27" s="195">
        <f>+W24-X25-X26</f>
        <v>501370</v>
      </c>
      <c r="Y27" s="47"/>
      <c r="Z27" s="47"/>
      <c r="AA27" s="52"/>
      <c r="AB27" s="377">
        <f>Data!F413</f>
        <v>-136935</v>
      </c>
      <c r="AC27" s="393">
        <f>Data!F406</f>
        <v>-278000</v>
      </c>
      <c r="AD27" s="58"/>
      <c r="AE27" s="52"/>
      <c r="AF27" s="365"/>
      <c r="AG27" s="47"/>
      <c r="AH27" s="58"/>
      <c r="AI27" s="365"/>
      <c r="AJ27" s="365"/>
      <c r="AK27" s="47"/>
      <c r="AL27" s="47"/>
      <c r="AM27" s="53">
        <f t="shared" si="0"/>
        <v>86435</v>
      </c>
    </row>
    <row r="28" spans="1:154" s="9" customFormat="1" x14ac:dyDescent="0.25">
      <c r="A28" s="449" t="s">
        <v>182</v>
      </c>
      <c r="B28" s="351" t="s">
        <v>6</v>
      </c>
      <c r="C28" s="351"/>
      <c r="D28" s="351" t="s">
        <v>25</v>
      </c>
      <c r="E28" s="47"/>
      <c r="F28" s="365"/>
      <c r="G28" s="47"/>
      <c r="H28" s="47"/>
      <c r="I28" s="365"/>
      <c r="J28" s="47"/>
      <c r="K28" s="57"/>
      <c r="L28" s="57"/>
      <c r="M28" s="49"/>
      <c r="N28" s="365"/>
      <c r="O28" s="49"/>
      <c r="P28" s="47"/>
      <c r="Q28" s="47"/>
      <c r="R28" s="47"/>
      <c r="S28" s="47"/>
      <c r="T28" s="47"/>
      <c r="U28" s="47"/>
      <c r="V28" s="47"/>
      <c r="W28" s="52"/>
      <c r="X28" s="52"/>
      <c r="Y28" s="47"/>
      <c r="Z28" s="47"/>
      <c r="AA28" s="377">
        <f>Data!F394</f>
        <v>274121</v>
      </c>
      <c r="AB28" s="62"/>
      <c r="AC28" s="394"/>
      <c r="AD28" s="58"/>
      <c r="AE28" s="52"/>
      <c r="AF28" s="365"/>
      <c r="AG28" s="47"/>
      <c r="AH28" s="58"/>
      <c r="AI28" s="365"/>
      <c r="AJ28" s="365"/>
      <c r="AK28" s="47"/>
      <c r="AL28" s="47"/>
      <c r="AM28" s="53">
        <f t="shared" si="0"/>
        <v>274121</v>
      </c>
    </row>
    <row r="29" spans="1:154" s="9" customFormat="1" ht="13.5" thickBot="1" x14ac:dyDescent="0.3">
      <c r="A29" s="468"/>
      <c r="B29" s="41" t="s">
        <v>59</v>
      </c>
      <c r="C29" s="40"/>
      <c r="D29" s="42" t="s">
        <v>47</v>
      </c>
      <c r="E29" s="395"/>
      <c r="F29" s="396"/>
      <c r="G29" s="395"/>
      <c r="H29" s="395"/>
      <c r="I29" s="396"/>
      <c r="J29" s="395"/>
      <c r="K29" s="395"/>
      <c r="L29" s="395"/>
      <c r="M29" s="395"/>
      <c r="N29" s="396"/>
      <c r="O29" s="395"/>
      <c r="P29" s="395"/>
      <c r="Q29" s="395"/>
      <c r="R29" s="395"/>
      <c r="S29" s="395"/>
      <c r="T29" s="395"/>
      <c r="U29" s="395"/>
      <c r="V29" s="397"/>
      <c r="W29" s="398"/>
      <c r="X29" s="398"/>
      <c r="Y29" s="397"/>
      <c r="Z29" s="397"/>
      <c r="AA29" s="399">
        <f>Data!F388</f>
        <v>-187686</v>
      </c>
      <c r="AB29" s="397"/>
      <c r="AC29" s="400"/>
      <c r="AD29" s="401"/>
      <c r="AE29" s="402"/>
      <c r="AF29" s="403"/>
      <c r="AG29" s="404"/>
      <c r="AH29" s="58"/>
      <c r="AI29" s="365"/>
      <c r="AJ29" s="365"/>
      <c r="AK29" s="47"/>
      <c r="AL29" s="47"/>
      <c r="AM29" s="53">
        <f t="shared" si="0"/>
        <v>-187686</v>
      </c>
    </row>
    <row r="30" spans="1:154" s="9" customFormat="1" ht="13.5" thickTop="1" x14ac:dyDescent="0.25">
      <c r="A30" s="469" t="s">
        <v>183</v>
      </c>
      <c r="B30" s="39" t="s">
        <v>7</v>
      </c>
      <c r="C30" s="39"/>
      <c r="D30" s="358" t="s">
        <v>503</v>
      </c>
      <c r="E30" s="55"/>
      <c r="F30" s="405"/>
      <c r="G30" s="406">
        <f>-(Data!F241+Data!F228+Data!F229++Data!F97)</f>
        <v>2801435</v>
      </c>
      <c r="H30" s="68"/>
      <c r="I30" s="405"/>
      <c r="J30" s="68"/>
      <c r="K30" s="69"/>
      <c r="L30" s="69"/>
      <c r="M30" s="407">
        <f>-Data!F256</f>
        <v>2101700</v>
      </c>
      <c r="N30" s="408"/>
      <c r="O30" s="68"/>
      <c r="P30" s="407">
        <f>-Data!F258</f>
        <v>0</v>
      </c>
      <c r="Q30" s="68"/>
      <c r="R30" s="68"/>
      <c r="S30" s="409">
        <f>-(Data!F269+Data!F270+Data!F98)</f>
        <v>507511</v>
      </c>
      <c r="T30" s="406">
        <f>-(Data!F275+Data!F276+Data!F277)</f>
        <v>24538</v>
      </c>
      <c r="U30" s="406">
        <f>-Data!F284</f>
        <v>0</v>
      </c>
      <c r="V30" s="68"/>
      <c r="W30" s="406">
        <f>-Data!F325</f>
        <v>0</v>
      </c>
      <c r="X30" s="68"/>
      <c r="Y30" s="55"/>
      <c r="Z30" s="68"/>
      <c r="AA30" s="68"/>
      <c r="AB30" s="55"/>
      <c r="AC30" s="68"/>
      <c r="AD30" s="66"/>
      <c r="AE30" s="65"/>
      <c r="AF30" s="405"/>
      <c r="AG30" s="52"/>
      <c r="AH30" s="52"/>
      <c r="AI30" s="365"/>
      <c r="AJ30" s="365"/>
      <c r="AK30" s="52"/>
      <c r="AL30" s="410">
        <f>+SUM(AD5:AD29)-SUM(E30:AC30)</f>
        <v>1714916</v>
      </c>
      <c r="AM30" s="53">
        <f t="shared" si="0"/>
        <v>7150100</v>
      </c>
    </row>
    <row r="31" spans="1:154" s="9" customFormat="1" x14ac:dyDescent="0.25">
      <c r="A31" s="443"/>
      <c r="B31" s="353" t="s">
        <v>80</v>
      </c>
      <c r="C31" s="353"/>
      <c r="D31" s="348" t="s">
        <v>77</v>
      </c>
      <c r="E31" s="411"/>
      <c r="F31" s="411"/>
      <c r="G31" s="369"/>
      <c r="H31" s="411"/>
      <c r="I31" s="411"/>
      <c r="J31" s="411"/>
      <c r="K31" s="411"/>
      <c r="L31" s="411"/>
      <c r="M31" s="412"/>
      <c r="N31" s="412"/>
      <c r="O31" s="412"/>
      <c r="P31" s="412"/>
      <c r="Q31" s="411"/>
      <c r="R31" s="411"/>
      <c r="S31" s="369"/>
      <c r="T31" s="369"/>
      <c r="U31" s="385"/>
      <c r="V31" s="411"/>
      <c r="W31" s="413"/>
      <c r="X31" s="411"/>
      <c r="Y31" s="411"/>
      <c r="Z31" s="411"/>
      <c r="AA31" s="411"/>
      <c r="AB31" s="411"/>
      <c r="AC31" s="414"/>
      <c r="AD31" s="415"/>
      <c r="AE31" s="416"/>
      <c r="AF31" s="416"/>
      <c r="AG31" s="411"/>
      <c r="AH31" s="411"/>
      <c r="AI31" s="411"/>
      <c r="AJ31" s="411"/>
      <c r="AK31" s="411"/>
      <c r="AL31" s="195">
        <f>SUM(AE5:AE29)-SUM(E31:AC31)</f>
        <v>0</v>
      </c>
      <c r="AM31" s="417">
        <f t="shared" ref="AM31:AM37" si="1">SUM(E31:AL31)</f>
        <v>0</v>
      </c>
    </row>
    <row r="32" spans="1:154" s="12" customFormat="1" ht="12.75" customHeight="1" x14ac:dyDescent="0.25">
      <c r="A32" s="439" t="s">
        <v>184</v>
      </c>
      <c r="B32" s="5" t="s">
        <v>12</v>
      </c>
      <c r="C32" s="5"/>
      <c r="D32" s="348" t="s">
        <v>81</v>
      </c>
      <c r="E32" s="365"/>
      <c r="F32" s="365"/>
      <c r="G32" s="369"/>
      <c r="H32" s="411"/>
      <c r="I32" s="411"/>
      <c r="J32" s="411"/>
      <c r="K32" s="411"/>
      <c r="L32" s="411"/>
      <c r="M32" s="411"/>
      <c r="N32" s="411"/>
      <c r="O32" s="411"/>
      <c r="P32" s="411"/>
      <c r="Q32" s="411"/>
      <c r="R32" s="411"/>
      <c r="S32" s="369"/>
      <c r="T32" s="365"/>
      <c r="U32" s="385"/>
      <c r="V32" s="365"/>
      <c r="W32" s="413"/>
      <c r="X32" s="365"/>
      <c r="Y32" s="365"/>
      <c r="Z32" s="365"/>
      <c r="AA32" s="365"/>
      <c r="AB32" s="365"/>
      <c r="AC32" s="365"/>
      <c r="AD32" s="365"/>
      <c r="AE32" s="365"/>
      <c r="AF32" s="365"/>
      <c r="AG32" s="365"/>
      <c r="AH32" s="365"/>
      <c r="AI32" s="365"/>
      <c r="AJ32" s="365"/>
      <c r="AK32" s="365"/>
      <c r="AL32" s="195">
        <f>SUM(AF5:AF38)-SUM(E32:AI32)</f>
        <v>0</v>
      </c>
      <c r="AM32" s="365">
        <f t="shared" si="1"/>
        <v>0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</row>
    <row r="33" spans="1:41" s="9" customFormat="1" ht="12.75" customHeight="1" x14ac:dyDescent="0.25">
      <c r="A33" s="440"/>
      <c r="B33" s="353" t="s">
        <v>60</v>
      </c>
      <c r="C33" s="353"/>
      <c r="D33" s="351" t="s">
        <v>45</v>
      </c>
      <c r="E33" s="366">
        <f>Data!F95</f>
        <v>461955</v>
      </c>
      <c r="F33" s="381"/>
      <c r="G33" s="418">
        <f>Data!F97</f>
        <v>-182681</v>
      </c>
      <c r="H33" s="52"/>
      <c r="I33" s="419"/>
      <c r="J33" s="71"/>
      <c r="K33" s="47"/>
      <c r="L33" s="47"/>
      <c r="M33" s="52"/>
      <c r="N33" s="365"/>
      <c r="O33" s="420">
        <f>-Data!F257</f>
        <v>633386</v>
      </c>
      <c r="P33" s="48"/>
      <c r="Q33" s="377">
        <f>-Data!F259</f>
        <v>204818</v>
      </c>
      <c r="R33" s="52"/>
      <c r="S33" s="421">
        <f>(Data!F96+Data!F98)</f>
        <v>2023</v>
      </c>
      <c r="T33" s="422">
        <f>-Data!F278-Data!F279</f>
        <v>0</v>
      </c>
      <c r="U33" s="62"/>
      <c r="V33" s="52"/>
      <c r="W33" s="52"/>
      <c r="X33" s="52"/>
      <c r="Y33" s="52"/>
      <c r="Z33" s="52"/>
      <c r="AA33" s="52"/>
      <c r="AB33" s="52"/>
      <c r="AC33" s="65"/>
      <c r="AD33" s="51"/>
      <c r="AE33" s="52"/>
      <c r="AF33" s="365"/>
      <c r="AG33" s="66"/>
      <c r="AH33" s="52"/>
      <c r="AI33" s="365"/>
      <c r="AJ33" s="365"/>
      <c r="AK33" s="52"/>
      <c r="AL33" s="195">
        <f>SUM(AG5:AG29)-SUM(E33:AC33)</f>
        <v>-1119501</v>
      </c>
      <c r="AM33" s="53">
        <f t="shared" si="1"/>
        <v>0</v>
      </c>
      <c r="AO33" s="9" t="s">
        <v>29</v>
      </c>
    </row>
    <row r="34" spans="1:41" s="9" customFormat="1" ht="25.5" x14ac:dyDescent="0.25">
      <c r="A34" s="439" t="s">
        <v>185</v>
      </c>
      <c r="B34" s="353" t="s">
        <v>13</v>
      </c>
      <c r="C34" s="353"/>
      <c r="D34" s="351" t="s">
        <v>176</v>
      </c>
      <c r="E34" s="52"/>
      <c r="F34" s="365"/>
      <c r="G34" s="52"/>
      <c r="H34" s="423">
        <f>Data!F364+Data!F369</f>
        <v>134050</v>
      </c>
      <c r="I34" s="365"/>
      <c r="J34" s="47"/>
      <c r="K34" s="47"/>
      <c r="L34" s="47"/>
      <c r="M34" s="52"/>
      <c r="N34" s="365"/>
      <c r="O34" s="52"/>
      <c r="P34" s="52"/>
      <c r="Q34" s="52"/>
      <c r="R34" s="52"/>
      <c r="S34" s="52"/>
      <c r="T34" s="52"/>
      <c r="U34" s="369"/>
      <c r="V34" s="377">
        <f>-Data!F305</f>
        <v>0</v>
      </c>
      <c r="W34" s="377">
        <f>-(+Data!F328)</f>
        <v>0</v>
      </c>
      <c r="X34" s="52"/>
      <c r="Y34" s="52"/>
      <c r="Z34" s="52"/>
      <c r="AA34" s="52"/>
      <c r="AB34" s="64"/>
      <c r="AC34" s="64"/>
      <c r="AD34" s="51"/>
      <c r="AE34" s="52"/>
      <c r="AF34" s="365"/>
      <c r="AG34" s="52"/>
      <c r="AH34" s="52"/>
      <c r="AI34" s="365"/>
      <c r="AJ34" s="365"/>
      <c r="AK34" s="52"/>
      <c r="AL34" s="195">
        <f>SUM(AH5:AH29)-SUM(E34:AC34)</f>
        <v>-134050</v>
      </c>
      <c r="AM34" s="53">
        <f t="shared" si="1"/>
        <v>0</v>
      </c>
    </row>
    <row r="35" spans="1:41" s="9" customFormat="1" x14ac:dyDescent="0.25">
      <c r="A35" s="443"/>
      <c r="B35" s="353" t="s">
        <v>196</v>
      </c>
      <c r="C35" s="353"/>
      <c r="D35" s="348" t="s">
        <v>77</v>
      </c>
      <c r="E35" s="411"/>
      <c r="F35" s="365"/>
      <c r="G35" s="365"/>
      <c r="H35" s="424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9"/>
      <c r="V35" s="369"/>
      <c r="W35" s="369"/>
      <c r="X35" s="365"/>
      <c r="Y35" s="365"/>
      <c r="Z35" s="365"/>
      <c r="AA35" s="365"/>
      <c r="AB35" s="392"/>
      <c r="AC35" s="392"/>
      <c r="AD35" s="375"/>
      <c r="AE35" s="365"/>
      <c r="AF35" s="365"/>
      <c r="AG35" s="365"/>
      <c r="AH35" s="365"/>
      <c r="AI35" s="365"/>
      <c r="AJ35" s="365"/>
      <c r="AK35" s="365"/>
      <c r="AL35" s="195">
        <f>SUM(AI5:AI29)-SUM(E35:AC35)</f>
        <v>0</v>
      </c>
      <c r="AM35" s="417">
        <f t="shared" si="1"/>
        <v>0</v>
      </c>
    </row>
    <row r="36" spans="1:41" s="9" customFormat="1" x14ac:dyDescent="0.25">
      <c r="A36" s="466" t="s">
        <v>186</v>
      </c>
      <c r="B36" s="353" t="s">
        <v>61</v>
      </c>
      <c r="C36" s="353"/>
      <c r="D36" s="348" t="s">
        <v>81</v>
      </c>
      <c r="E36" s="411"/>
      <c r="F36" s="365"/>
      <c r="G36" s="365"/>
      <c r="H36" s="424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69"/>
      <c r="X36" s="52"/>
      <c r="Y36" s="52"/>
      <c r="Z36" s="52"/>
      <c r="AA36" s="52"/>
      <c r="AB36" s="64"/>
      <c r="AC36" s="64"/>
      <c r="AD36" s="51"/>
      <c r="AE36" s="52"/>
      <c r="AF36" s="365"/>
      <c r="AG36" s="52"/>
      <c r="AH36" s="52"/>
      <c r="AI36" s="365"/>
      <c r="AJ36" s="365"/>
      <c r="AK36" s="52"/>
      <c r="AL36" s="195">
        <f>SUM(AJ5:AJ29)-SUM(E36:AC36)</f>
        <v>0</v>
      </c>
      <c r="AM36" s="53">
        <f t="shared" si="1"/>
        <v>0</v>
      </c>
    </row>
    <row r="37" spans="1:41" s="9" customFormat="1" x14ac:dyDescent="0.25">
      <c r="A37" s="467"/>
      <c r="B37" s="353" t="s">
        <v>216</v>
      </c>
      <c r="C37" s="353"/>
      <c r="D37" s="351" t="s">
        <v>45</v>
      </c>
      <c r="E37" s="52"/>
      <c r="F37" s="365"/>
      <c r="G37" s="52"/>
      <c r="H37" s="418">
        <f>-Data!F369</f>
        <v>-8770</v>
      </c>
      <c r="I37" s="365"/>
      <c r="J37" s="47"/>
      <c r="K37" s="47"/>
      <c r="L37" s="47"/>
      <c r="M37" s="52"/>
      <c r="N37" s="365"/>
      <c r="O37" s="52"/>
      <c r="P37" s="52"/>
      <c r="Q37" s="52"/>
      <c r="R37" s="52"/>
      <c r="S37" s="52"/>
      <c r="T37" s="52"/>
      <c r="U37" s="369"/>
      <c r="V37" s="369"/>
      <c r="W37" s="421">
        <f>-Data!F323</f>
        <v>0</v>
      </c>
      <c r="X37" s="52"/>
      <c r="Y37" s="52"/>
      <c r="Z37" s="52"/>
      <c r="AA37" s="52"/>
      <c r="AB37" s="64"/>
      <c r="AC37" s="64"/>
      <c r="AD37" s="51"/>
      <c r="AE37" s="52"/>
      <c r="AF37" s="365"/>
      <c r="AG37" s="52"/>
      <c r="AH37" s="52"/>
      <c r="AI37" s="365"/>
      <c r="AJ37" s="365"/>
      <c r="AK37" s="52"/>
      <c r="AL37" s="195">
        <f>SUM(AK5:AK29)-SUM(E37:AC37)</f>
        <v>40005</v>
      </c>
      <c r="AM37" s="53">
        <f t="shared" si="1"/>
        <v>31235</v>
      </c>
    </row>
    <row r="38" spans="1:41" s="9" customFormat="1" x14ac:dyDescent="0.25">
      <c r="A38" s="351" t="s">
        <v>187</v>
      </c>
      <c r="B38" s="5" t="s">
        <v>63</v>
      </c>
      <c r="C38" s="353"/>
      <c r="D38" s="351" t="s">
        <v>62</v>
      </c>
      <c r="E38" s="47"/>
      <c r="F38" s="365"/>
      <c r="G38" s="47"/>
      <c r="H38" s="47"/>
      <c r="I38" s="365"/>
      <c r="J38" s="47"/>
      <c r="K38" s="47"/>
      <c r="L38" s="47"/>
      <c r="M38" s="47"/>
      <c r="N38" s="365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25">
        <f>+AA28-AB27</f>
        <v>411056</v>
      </c>
      <c r="AC38" s="410">
        <f>+AA29-AC27</f>
        <v>90314</v>
      </c>
      <c r="AD38" s="70"/>
      <c r="AE38" s="52"/>
      <c r="AF38" s="365"/>
      <c r="AG38" s="47"/>
      <c r="AH38" s="47"/>
      <c r="AI38" s="365"/>
      <c r="AJ38" s="365"/>
      <c r="AK38" s="47"/>
      <c r="AL38" s="47"/>
      <c r="AM38" s="47">
        <f t="shared" ref="AM38:AM39" si="2">SUM(E38:AK38)</f>
        <v>501370</v>
      </c>
    </row>
    <row r="39" spans="1:41" s="9" customFormat="1" x14ac:dyDescent="0.25">
      <c r="A39" s="1" t="s">
        <v>188</v>
      </c>
      <c r="B39" s="354" t="s">
        <v>197</v>
      </c>
      <c r="C39" s="352"/>
      <c r="D39" s="354" t="s">
        <v>46</v>
      </c>
      <c r="E39" s="72">
        <f t="shared" ref="E39:AA39" si="3">SUM(E5:E37)</f>
        <v>7061309</v>
      </c>
      <c r="F39" s="371">
        <f t="shared" si="3"/>
        <v>0</v>
      </c>
      <c r="G39" s="50">
        <f t="shared" si="3"/>
        <v>2618754</v>
      </c>
      <c r="H39" s="50">
        <f t="shared" si="3"/>
        <v>125280</v>
      </c>
      <c r="I39" s="371">
        <f t="shared" si="3"/>
        <v>0</v>
      </c>
      <c r="J39" s="72">
        <f t="shared" si="3"/>
        <v>2630755</v>
      </c>
      <c r="K39" s="72">
        <f t="shared" si="3"/>
        <v>6599354</v>
      </c>
      <c r="L39" s="72">
        <f t="shared" si="3"/>
        <v>3530429</v>
      </c>
      <c r="M39" s="72">
        <f t="shared" si="3"/>
        <v>2101700</v>
      </c>
      <c r="N39" s="371">
        <f t="shared" si="3"/>
        <v>0</v>
      </c>
      <c r="O39" s="72">
        <f t="shared" si="3"/>
        <v>633386</v>
      </c>
      <c r="P39" s="72">
        <f t="shared" si="3"/>
        <v>0</v>
      </c>
      <c r="Q39" s="72">
        <f t="shared" si="3"/>
        <v>204818</v>
      </c>
      <c r="R39" s="72">
        <f t="shared" si="3"/>
        <v>590525</v>
      </c>
      <c r="S39" s="72">
        <f t="shared" si="3"/>
        <v>679316</v>
      </c>
      <c r="T39" s="72">
        <f t="shared" si="3"/>
        <v>169782</v>
      </c>
      <c r="U39" s="72">
        <f t="shared" si="3"/>
        <v>145244</v>
      </c>
      <c r="V39" s="72">
        <f t="shared" si="3"/>
        <v>145244</v>
      </c>
      <c r="W39" s="72">
        <f>SUM(W5:W37)</f>
        <v>176479</v>
      </c>
      <c r="X39" s="72">
        <f t="shared" si="3"/>
        <v>176479</v>
      </c>
      <c r="Y39" s="72">
        <f t="shared" si="3"/>
        <v>-12001</v>
      </c>
      <c r="Z39" s="72">
        <f t="shared" si="3"/>
        <v>125280</v>
      </c>
      <c r="AA39" s="72">
        <f t="shared" si="3"/>
        <v>86435</v>
      </c>
      <c r="AB39" s="73">
        <f>SUM(AB5:AB38)</f>
        <v>274121</v>
      </c>
      <c r="AC39" s="73">
        <f>SUM(AC5:AC38)</f>
        <v>-187686</v>
      </c>
      <c r="AD39" s="73">
        <f>SUM(AD5:AD38)</f>
        <v>7150100</v>
      </c>
      <c r="AE39" s="74">
        <f t="shared" ref="AE39:AL39" si="4">SUM(AE5:AE38)</f>
        <v>0</v>
      </c>
      <c r="AF39" s="426">
        <f>SUM(AF5:AF38)</f>
        <v>0</v>
      </c>
      <c r="AG39" s="73">
        <f t="shared" si="4"/>
        <v>0</v>
      </c>
      <c r="AH39" s="73">
        <f t="shared" si="4"/>
        <v>0</v>
      </c>
      <c r="AI39" s="426">
        <f t="shared" si="4"/>
        <v>0</v>
      </c>
      <c r="AJ39" s="426">
        <f t="shared" si="4"/>
        <v>0</v>
      </c>
      <c r="AK39" s="73">
        <f t="shared" si="4"/>
        <v>31235</v>
      </c>
      <c r="AL39" s="73">
        <f t="shared" si="4"/>
        <v>501370</v>
      </c>
      <c r="AM39" s="47">
        <f t="shared" si="2"/>
        <v>35056338</v>
      </c>
    </row>
    <row r="40" spans="1:41" s="9" customFormat="1" x14ac:dyDescent="0.25">
      <c r="B40" s="3"/>
      <c r="C40" s="3"/>
      <c r="D40" s="13"/>
      <c r="E40" s="14"/>
      <c r="F40" s="14"/>
      <c r="G40" s="32"/>
      <c r="H40" s="3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32"/>
      <c r="AG40" s="14"/>
      <c r="AH40" s="14"/>
      <c r="AI40" s="14"/>
      <c r="AJ40" s="32"/>
      <c r="AK40" s="14"/>
      <c r="AL40" s="14"/>
      <c r="AM40" s="14"/>
    </row>
    <row r="41" spans="1:41" s="15" customFormat="1" x14ac:dyDescent="0.25">
      <c r="B41" s="16"/>
      <c r="D41" s="16" t="s">
        <v>447</v>
      </c>
      <c r="E41" s="18">
        <f>E39-AM5</f>
        <v>0</v>
      </c>
      <c r="F41" s="18">
        <f>F39-AM6</f>
        <v>0</v>
      </c>
      <c r="G41" s="33">
        <f>G39-AM7</f>
        <v>0</v>
      </c>
      <c r="H41" s="33">
        <f>H39-AM8</f>
        <v>0</v>
      </c>
      <c r="I41" s="18">
        <f>I39-AM9</f>
        <v>0</v>
      </c>
      <c r="J41" s="18">
        <f>J39-AM10</f>
        <v>0</v>
      </c>
      <c r="K41" s="18">
        <f>K39-AM11</f>
        <v>0</v>
      </c>
      <c r="L41" s="18">
        <f>L39-AM12</f>
        <v>0</v>
      </c>
      <c r="M41" s="18">
        <f>M39-AM13</f>
        <v>0</v>
      </c>
      <c r="N41" s="18">
        <f>N39-AM14</f>
        <v>0</v>
      </c>
      <c r="O41" s="18">
        <f>O39-AM15</f>
        <v>0</v>
      </c>
      <c r="P41" s="18">
        <f>P39-AM16</f>
        <v>0</v>
      </c>
      <c r="Q41" s="18">
        <f>Q39-AM17</f>
        <v>0</v>
      </c>
      <c r="R41" s="18">
        <f>R39-AM18</f>
        <v>0</v>
      </c>
      <c r="S41" s="18">
        <f>S39-AM19</f>
        <v>0</v>
      </c>
      <c r="T41" s="18">
        <f>T39-AM20</f>
        <v>0</v>
      </c>
      <c r="U41" s="18">
        <f>U39-AM21</f>
        <v>0</v>
      </c>
      <c r="V41" s="18">
        <f>V39-AM22</f>
        <v>0</v>
      </c>
      <c r="W41" s="18">
        <f>W39-AM23</f>
        <v>0</v>
      </c>
      <c r="X41" s="18">
        <f>X39-AM24</f>
        <v>0</v>
      </c>
      <c r="Y41" s="18">
        <f>Y39-AM25</f>
        <v>0</v>
      </c>
      <c r="Z41" s="18">
        <f>Z39-AM26</f>
        <v>0</v>
      </c>
      <c r="AA41" s="18">
        <f>AA39-AM27</f>
        <v>0</v>
      </c>
      <c r="AB41" s="18">
        <f>AB39-AM28</f>
        <v>0</v>
      </c>
      <c r="AC41" s="18">
        <f>AC39-AM29</f>
        <v>0</v>
      </c>
      <c r="AD41" s="18">
        <f>AD39-AM30</f>
        <v>0</v>
      </c>
      <c r="AE41" s="18">
        <f>AE39-AM31</f>
        <v>0</v>
      </c>
      <c r="AF41" s="33">
        <f>+AF39-AM32</f>
        <v>0</v>
      </c>
      <c r="AG41" s="18">
        <f>AG39-AM33</f>
        <v>0</v>
      </c>
      <c r="AH41" s="18">
        <f>AH39-AM34</f>
        <v>0</v>
      </c>
      <c r="AI41" s="18">
        <f>AI39-AM35</f>
        <v>0</v>
      </c>
      <c r="AJ41" s="33">
        <f>AJ39-AM36</f>
        <v>0</v>
      </c>
      <c r="AK41" s="18">
        <f>AK39-AM37</f>
        <v>0</v>
      </c>
      <c r="AL41" s="18">
        <f>AL39-AM38</f>
        <v>0</v>
      </c>
      <c r="AM41" s="19"/>
    </row>
    <row r="42" spans="1:41" s="15" customFormat="1" x14ac:dyDescent="0.25">
      <c r="B42" s="16"/>
      <c r="C42" s="16"/>
      <c r="D42" s="17"/>
      <c r="E42" s="19"/>
      <c r="F42" s="20"/>
      <c r="G42" s="20"/>
      <c r="H42" s="20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21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20"/>
      <c r="AG42" s="19"/>
      <c r="AH42" s="19"/>
      <c r="AI42" s="19"/>
      <c r="AJ42" s="19"/>
      <c r="AK42" s="19"/>
      <c r="AL42" s="19"/>
      <c r="AM42" s="19"/>
    </row>
    <row r="43" spans="1:41" s="15" customFormat="1" x14ac:dyDescent="0.25">
      <c r="A43" s="178"/>
      <c r="B43" s="179"/>
      <c r="C43" s="180"/>
      <c r="D43" s="181"/>
      <c r="E43" s="19"/>
      <c r="F43" s="20"/>
      <c r="G43" s="20"/>
      <c r="H43" s="20"/>
      <c r="I43" s="19"/>
      <c r="J43" s="19"/>
      <c r="K43" s="19"/>
      <c r="L43" s="19"/>
      <c r="M43" s="19"/>
      <c r="N43" s="19"/>
      <c r="O43" s="19"/>
      <c r="P43" s="19"/>
      <c r="Q43" s="7"/>
      <c r="R43" s="7"/>
      <c r="S43" s="7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20"/>
      <c r="AG43" s="19"/>
      <c r="AH43" s="19"/>
      <c r="AI43" s="19"/>
      <c r="AJ43" s="19"/>
      <c r="AK43" s="19"/>
      <c r="AL43" s="19"/>
      <c r="AM43" s="19"/>
    </row>
    <row r="44" spans="1:41" s="15" customFormat="1" x14ac:dyDescent="0.25">
      <c r="A44" s="178"/>
      <c r="B44" s="179"/>
      <c r="C44" s="179"/>
      <c r="D44" s="182"/>
      <c r="E44" s="19"/>
      <c r="F44" s="20"/>
      <c r="G44" s="20"/>
      <c r="H44" s="20"/>
      <c r="I44" s="19"/>
      <c r="J44" s="19"/>
      <c r="K44" s="19"/>
      <c r="L44" s="19"/>
      <c r="M44" s="19"/>
      <c r="N44" s="19"/>
      <c r="O44" s="19"/>
      <c r="P44" s="19"/>
      <c r="Q44" s="7"/>
      <c r="R44" s="22"/>
      <c r="S44" s="7"/>
      <c r="T44" s="19"/>
      <c r="U44" s="19"/>
      <c r="V44" s="23"/>
      <c r="W44" s="23"/>
      <c r="X44" s="23"/>
      <c r="Y44" s="23"/>
      <c r="Z44" s="24"/>
      <c r="AA44" s="24"/>
      <c r="AB44" s="19"/>
      <c r="AC44" s="19"/>
      <c r="AD44" s="19"/>
      <c r="AE44" s="19"/>
      <c r="AF44" s="20"/>
      <c r="AG44" s="19"/>
      <c r="AH44" s="19"/>
      <c r="AI44" s="19"/>
      <c r="AJ44" s="19"/>
      <c r="AK44" s="19"/>
      <c r="AL44" s="19"/>
      <c r="AM44" s="19"/>
    </row>
    <row r="45" spans="1:41" x14ac:dyDescent="0.25">
      <c r="A45" s="24"/>
      <c r="B45" s="24"/>
      <c r="C45" s="24"/>
      <c r="D45" s="2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T45" s="25"/>
      <c r="U45" s="25"/>
      <c r="V45" s="26"/>
      <c r="W45" s="26"/>
      <c r="X45" s="26"/>
      <c r="Y45" s="26"/>
      <c r="Z45" s="24"/>
      <c r="AA45" s="24"/>
      <c r="AB45" s="25"/>
      <c r="AC45" s="25"/>
      <c r="AD45" s="25"/>
      <c r="AE45" s="25"/>
      <c r="AF45" s="34"/>
      <c r="AG45" s="25"/>
      <c r="AH45" s="25"/>
      <c r="AI45" s="25"/>
      <c r="AJ45" s="25"/>
      <c r="AK45" s="25"/>
      <c r="AL45" s="25"/>
      <c r="AM45" s="25"/>
    </row>
    <row r="46" spans="1:41" x14ac:dyDescent="0.25">
      <c r="A46" s="24"/>
      <c r="B46" s="24"/>
      <c r="C46" s="24"/>
      <c r="D46" s="24"/>
      <c r="Q46" s="22"/>
      <c r="S46" s="22"/>
      <c r="V46" s="26"/>
      <c r="W46" s="26"/>
      <c r="X46" s="26"/>
      <c r="Y46" s="26"/>
      <c r="Z46" s="24"/>
      <c r="AA46" s="24"/>
      <c r="AG46" s="27"/>
      <c r="AH46" s="28"/>
      <c r="AI46" s="28"/>
      <c r="AJ46" s="28"/>
      <c r="AK46" s="28"/>
      <c r="AL46" s="28"/>
    </row>
    <row r="47" spans="1:41" x14ac:dyDescent="0.25">
      <c r="A47" s="24"/>
      <c r="B47" s="24"/>
      <c r="C47" s="24"/>
      <c r="D47" s="24"/>
      <c r="J47" s="29"/>
      <c r="V47" s="26"/>
      <c r="W47" s="26"/>
      <c r="X47" s="26"/>
      <c r="Y47" s="26"/>
      <c r="Z47" s="24"/>
      <c r="AA47" s="24"/>
      <c r="AG47" s="27"/>
      <c r="AH47" s="6"/>
      <c r="AI47" s="6"/>
      <c r="AJ47" s="6"/>
      <c r="AK47" s="6"/>
      <c r="AL47" s="6"/>
    </row>
    <row r="48" spans="1:41" x14ac:dyDescent="0.25">
      <c r="A48" s="24"/>
      <c r="B48" s="24"/>
      <c r="C48" s="24"/>
      <c r="D48" s="24"/>
      <c r="V48" s="26"/>
      <c r="W48" s="26"/>
      <c r="X48" s="26"/>
      <c r="Y48" s="26"/>
      <c r="Z48" s="24"/>
      <c r="AA48" s="24"/>
      <c r="AD48" s="22"/>
    </row>
    <row r="49" spans="1:30" x14ac:dyDescent="0.25">
      <c r="A49" s="183"/>
      <c r="B49" s="24"/>
      <c r="C49" s="184"/>
      <c r="D49" s="24"/>
      <c r="V49" s="26"/>
      <c r="W49" s="26"/>
      <c r="X49" s="26"/>
      <c r="Y49" s="26"/>
      <c r="Z49" s="24"/>
      <c r="AA49" s="24"/>
      <c r="AD49" s="22"/>
    </row>
    <row r="50" spans="1:30" x14ac:dyDescent="0.25">
      <c r="J50" s="30"/>
      <c r="V50" s="26"/>
      <c r="W50" s="26"/>
      <c r="X50" s="26"/>
      <c r="Y50" s="26"/>
      <c r="Z50" s="24"/>
      <c r="AA50" s="24"/>
      <c r="AD50" s="22"/>
    </row>
    <row r="51" spans="1:30" x14ac:dyDescent="0.25">
      <c r="V51" s="23"/>
      <c r="W51" s="23"/>
      <c r="X51" s="23"/>
      <c r="Y51" s="23"/>
      <c r="Z51" s="24"/>
      <c r="AA51" s="24"/>
    </row>
  </sheetData>
  <mergeCells count="26">
    <mergeCell ref="A36:A37"/>
    <mergeCell ref="A22:A24"/>
    <mergeCell ref="A25:A27"/>
    <mergeCell ref="A28:A29"/>
    <mergeCell ref="A30:A31"/>
    <mergeCell ref="A32:A33"/>
    <mergeCell ref="A34:A35"/>
    <mergeCell ref="A5:A10"/>
    <mergeCell ref="B5:B6"/>
    <mergeCell ref="B7:B8"/>
    <mergeCell ref="B9:B10"/>
    <mergeCell ref="A13:A18"/>
    <mergeCell ref="B13:B16"/>
    <mergeCell ref="AF1:AG1"/>
    <mergeCell ref="AH1:AI1"/>
    <mergeCell ref="AJ1:AK1"/>
    <mergeCell ref="E2:F2"/>
    <mergeCell ref="G2:H2"/>
    <mergeCell ref="I2:J2"/>
    <mergeCell ref="M2:P2"/>
    <mergeCell ref="E1:J1"/>
    <mergeCell ref="M1:R1"/>
    <mergeCell ref="V1:X1"/>
    <mergeCell ref="Y1:AA1"/>
    <mergeCell ref="AB1:AC1"/>
    <mergeCell ref="AD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51"/>
  <sheetViews>
    <sheetView topLeftCell="M1" workbookViewId="0">
      <selection activeCell="AE2" sqref="AE2:AE39"/>
    </sheetView>
  </sheetViews>
  <sheetFormatPr baseColWidth="10" defaultColWidth="11.42578125" defaultRowHeight="12.75" x14ac:dyDescent="0.25"/>
  <cols>
    <col min="1" max="1" width="21" style="7" customWidth="1"/>
    <col min="2" max="2" width="4.85546875" style="7" bestFit="1" customWidth="1"/>
    <col min="3" max="3" width="6.85546875" style="7" customWidth="1"/>
    <col min="4" max="4" width="21.28515625" style="7" customWidth="1"/>
    <col min="5" max="5" width="14.28515625" style="7" customWidth="1"/>
    <col min="6" max="6" width="12.85546875" style="7" customWidth="1"/>
    <col min="7" max="8" width="16.140625" style="7" customWidth="1"/>
    <col min="9" max="10" width="13.42578125" style="7" customWidth="1"/>
    <col min="11" max="11" width="12.42578125" style="7" bestFit="1" customWidth="1"/>
    <col min="12" max="12" width="12.42578125" style="7" customWidth="1"/>
    <col min="13" max="13" width="13.140625" style="7" customWidth="1"/>
    <col min="14" max="14" width="14.85546875" style="7" customWidth="1"/>
    <col min="15" max="16" width="11.85546875" style="7" customWidth="1"/>
    <col min="17" max="17" width="12.42578125" style="7" customWidth="1"/>
    <col min="18" max="18" width="12.28515625" style="7" customWidth="1"/>
    <col min="19" max="19" width="12.140625" style="7" customWidth="1"/>
    <col min="20" max="20" width="13.85546875" style="7" customWidth="1"/>
    <col min="21" max="21" width="11.7109375" style="7" customWidth="1"/>
    <col min="22" max="23" width="11.5703125" style="7" customWidth="1"/>
    <col min="24" max="24" width="12.85546875" style="7" customWidth="1"/>
    <col min="25" max="25" width="12" style="7" customWidth="1"/>
    <col min="26" max="26" width="11" style="7" customWidth="1"/>
    <col min="27" max="27" width="12.42578125" style="7" customWidth="1"/>
    <col min="28" max="28" width="12.28515625" style="7" bestFit="1" customWidth="1"/>
    <col min="29" max="29" width="12.85546875" style="7" customWidth="1"/>
    <col min="30" max="30" width="14.42578125" style="7" customWidth="1"/>
    <col min="31" max="31" width="12.140625" style="7" customWidth="1"/>
    <col min="32" max="32" width="12.140625" style="24" customWidth="1"/>
    <col min="33" max="33" width="13.140625" style="7" customWidth="1"/>
    <col min="34" max="34" width="13.5703125" style="7" customWidth="1"/>
    <col min="35" max="36" width="13.28515625" style="7" customWidth="1"/>
    <col min="37" max="37" width="13.85546875" style="7" customWidth="1"/>
    <col min="38" max="38" width="13.5703125" style="7" customWidth="1"/>
    <col min="39" max="39" width="14.85546875" style="7" customWidth="1"/>
    <col min="40" max="16384" width="11.42578125" style="7"/>
  </cols>
  <sheetData>
    <row r="1" spans="1:39" s="9" customFormat="1" ht="41.85" customHeight="1" x14ac:dyDescent="0.25">
      <c r="A1" s="7"/>
      <c r="B1" s="2"/>
      <c r="C1" s="2"/>
      <c r="D1" s="8"/>
      <c r="E1" s="439" t="s">
        <v>18</v>
      </c>
      <c r="F1" s="451"/>
      <c r="G1" s="451"/>
      <c r="H1" s="451"/>
      <c r="I1" s="451"/>
      <c r="J1" s="451"/>
      <c r="K1" s="351" t="s">
        <v>19</v>
      </c>
      <c r="L1" s="350" t="s">
        <v>169</v>
      </c>
      <c r="M1" s="454" t="s">
        <v>170</v>
      </c>
      <c r="N1" s="455"/>
      <c r="O1" s="455"/>
      <c r="P1" s="455"/>
      <c r="Q1" s="455"/>
      <c r="R1" s="456"/>
      <c r="S1" s="351" t="s">
        <v>177</v>
      </c>
      <c r="T1" s="351" t="s">
        <v>178</v>
      </c>
      <c r="U1" s="355" t="s">
        <v>179</v>
      </c>
      <c r="V1" s="441" t="s">
        <v>180</v>
      </c>
      <c r="W1" s="442"/>
      <c r="X1" s="443"/>
      <c r="Y1" s="444" t="s">
        <v>181</v>
      </c>
      <c r="Z1" s="445"/>
      <c r="AA1" s="446"/>
      <c r="AB1" s="439" t="s">
        <v>182</v>
      </c>
      <c r="AC1" s="442"/>
      <c r="AD1" s="453" t="s">
        <v>183</v>
      </c>
      <c r="AE1" s="443"/>
      <c r="AF1" s="449" t="s">
        <v>184</v>
      </c>
      <c r="AG1" s="450"/>
      <c r="AH1" s="452" t="s">
        <v>185</v>
      </c>
      <c r="AI1" s="443"/>
      <c r="AJ1" s="439" t="s">
        <v>186</v>
      </c>
      <c r="AK1" s="440"/>
      <c r="AL1" s="351" t="s">
        <v>187</v>
      </c>
      <c r="AM1" s="1" t="s">
        <v>188</v>
      </c>
    </row>
    <row r="2" spans="1:39" s="3" customFormat="1" ht="41.85" customHeight="1" x14ac:dyDescent="0.25">
      <c r="A2" s="31">
        <v>2013</v>
      </c>
      <c r="B2" s="2"/>
      <c r="C2" s="2"/>
      <c r="D2" s="2"/>
      <c r="E2" s="439" t="s">
        <v>0</v>
      </c>
      <c r="F2" s="461"/>
      <c r="G2" s="457" t="s">
        <v>1</v>
      </c>
      <c r="H2" s="458"/>
      <c r="I2" s="439" t="s">
        <v>2</v>
      </c>
      <c r="J2" s="440"/>
      <c r="K2" s="353" t="s">
        <v>3</v>
      </c>
      <c r="L2" s="349" t="s">
        <v>4</v>
      </c>
      <c r="M2" s="462" t="s">
        <v>64</v>
      </c>
      <c r="N2" s="463"/>
      <c r="O2" s="463"/>
      <c r="P2" s="464"/>
      <c r="Q2" s="10" t="s">
        <v>193</v>
      </c>
      <c r="R2" s="10" t="s">
        <v>194</v>
      </c>
      <c r="S2" s="353" t="s">
        <v>65</v>
      </c>
      <c r="T2" s="353" t="s">
        <v>66</v>
      </c>
      <c r="U2" s="353" t="s">
        <v>51</v>
      </c>
      <c r="V2" s="351" t="s">
        <v>10</v>
      </c>
      <c r="W2" s="1" t="s">
        <v>56</v>
      </c>
      <c r="X2" s="1" t="s">
        <v>52</v>
      </c>
      <c r="Y2" s="1" t="s">
        <v>5</v>
      </c>
      <c r="Z2" s="1" t="s">
        <v>58</v>
      </c>
      <c r="AA2" s="1" t="s">
        <v>195</v>
      </c>
      <c r="AB2" s="351" t="s">
        <v>6</v>
      </c>
      <c r="AC2" s="38" t="s">
        <v>59</v>
      </c>
      <c r="AD2" s="36" t="s">
        <v>7</v>
      </c>
      <c r="AE2" s="428" t="s">
        <v>80</v>
      </c>
      <c r="AF2" s="347" t="s">
        <v>12</v>
      </c>
      <c r="AG2" s="353" t="s">
        <v>60</v>
      </c>
      <c r="AH2" s="36" t="s">
        <v>13</v>
      </c>
      <c r="AI2" s="353" t="s">
        <v>196</v>
      </c>
      <c r="AJ2" s="353" t="s">
        <v>61</v>
      </c>
      <c r="AK2" s="353" t="s">
        <v>216</v>
      </c>
      <c r="AL2" s="5" t="s">
        <v>63</v>
      </c>
      <c r="AM2" s="354" t="s">
        <v>197</v>
      </c>
    </row>
    <row r="3" spans="1:39" s="9" customFormat="1" x14ac:dyDescent="0.25">
      <c r="A3" s="7"/>
      <c r="B3" s="2"/>
      <c r="C3" s="2"/>
      <c r="D3" s="8"/>
      <c r="E3" s="351" t="s">
        <v>8</v>
      </c>
      <c r="F3" s="343" t="s">
        <v>9</v>
      </c>
      <c r="G3" s="358" t="s">
        <v>219</v>
      </c>
      <c r="H3" s="358" t="s">
        <v>220</v>
      </c>
      <c r="I3" s="345" t="s">
        <v>202</v>
      </c>
      <c r="J3" s="351" t="s">
        <v>203</v>
      </c>
      <c r="K3" s="353"/>
      <c r="L3" s="353"/>
      <c r="M3" s="10" t="s">
        <v>189</v>
      </c>
      <c r="N3" s="346" t="s">
        <v>190</v>
      </c>
      <c r="O3" s="10" t="s">
        <v>191</v>
      </c>
      <c r="P3" s="10" t="s">
        <v>192</v>
      </c>
      <c r="Q3" s="10"/>
      <c r="R3" s="10"/>
      <c r="S3" s="353"/>
      <c r="T3" s="353"/>
      <c r="U3" s="353"/>
      <c r="V3" s="351"/>
      <c r="W3" s="1"/>
      <c r="X3" s="1"/>
      <c r="Y3" s="351"/>
      <c r="Z3" s="351"/>
      <c r="AA3" s="351"/>
      <c r="AB3" s="351"/>
      <c r="AC3" s="349"/>
      <c r="AD3" s="44"/>
      <c r="AE3" s="428"/>
      <c r="AF3" s="347"/>
      <c r="AG3" s="353"/>
      <c r="AH3" s="36"/>
      <c r="AI3" s="353"/>
      <c r="AJ3" s="353"/>
      <c r="AK3" s="353"/>
      <c r="AL3" s="353"/>
      <c r="AM3" s="352"/>
    </row>
    <row r="4" spans="1:39" s="9" customFormat="1" ht="38.25" x14ac:dyDescent="0.25">
      <c r="A4" s="7"/>
      <c r="B4" s="2"/>
      <c r="C4" s="2"/>
      <c r="D4" s="8"/>
      <c r="E4" s="307" t="s">
        <v>512</v>
      </c>
      <c r="F4" s="344"/>
      <c r="G4" s="356" t="s">
        <v>221</v>
      </c>
      <c r="H4" s="351" t="s">
        <v>222</v>
      </c>
      <c r="I4" s="343" t="s">
        <v>268</v>
      </c>
      <c r="J4" s="351" t="s">
        <v>283</v>
      </c>
      <c r="K4" s="351" t="s">
        <v>26</v>
      </c>
      <c r="L4" s="351" t="s">
        <v>171</v>
      </c>
      <c r="M4" s="351" t="s">
        <v>175</v>
      </c>
      <c r="N4" s="343" t="s">
        <v>22</v>
      </c>
      <c r="O4" s="351" t="s">
        <v>23</v>
      </c>
      <c r="P4" s="351" t="s">
        <v>28</v>
      </c>
      <c r="Q4" s="351" t="s">
        <v>173</v>
      </c>
      <c r="R4" s="4" t="s">
        <v>174</v>
      </c>
      <c r="S4" s="351" t="s">
        <v>20</v>
      </c>
      <c r="T4" s="351" t="s">
        <v>20</v>
      </c>
      <c r="U4" s="351" t="s">
        <v>20</v>
      </c>
      <c r="V4" s="351" t="s">
        <v>11</v>
      </c>
      <c r="W4" s="1" t="s">
        <v>167</v>
      </c>
      <c r="X4" s="1" t="s">
        <v>54</v>
      </c>
      <c r="Y4" s="351" t="s">
        <v>55</v>
      </c>
      <c r="Z4" s="356" t="s">
        <v>284</v>
      </c>
      <c r="AA4" s="356" t="s">
        <v>57</v>
      </c>
      <c r="AB4" s="351" t="s">
        <v>25</v>
      </c>
      <c r="AC4" s="43" t="s">
        <v>47</v>
      </c>
      <c r="AD4" s="37" t="s">
        <v>503</v>
      </c>
      <c r="AE4" s="429" t="s">
        <v>77</v>
      </c>
      <c r="AF4" s="343"/>
      <c r="AG4" s="351" t="s">
        <v>45</v>
      </c>
      <c r="AH4" s="351" t="s">
        <v>176</v>
      </c>
      <c r="AI4" s="343" t="s">
        <v>77</v>
      </c>
      <c r="AJ4" s="343" t="s">
        <v>81</v>
      </c>
      <c r="AK4" s="351" t="s">
        <v>45</v>
      </c>
      <c r="AL4" s="351" t="s">
        <v>62</v>
      </c>
      <c r="AM4" s="351" t="s">
        <v>46</v>
      </c>
    </row>
    <row r="5" spans="1:39" s="9" customFormat="1" ht="12.75" customHeight="1" x14ac:dyDescent="0.25">
      <c r="A5" s="439" t="s">
        <v>18</v>
      </c>
      <c r="B5" s="449" t="s">
        <v>0</v>
      </c>
      <c r="C5" s="351" t="s">
        <v>8</v>
      </c>
      <c r="D5" s="307" t="s">
        <v>512</v>
      </c>
      <c r="E5" s="46"/>
      <c r="F5" s="365"/>
      <c r="G5" s="47"/>
      <c r="H5" s="47"/>
      <c r="I5" s="365"/>
      <c r="J5" s="47"/>
      <c r="K5" s="48"/>
      <c r="L5" s="63"/>
      <c r="M5" s="49"/>
      <c r="N5" s="365"/>
      <c r="O5" s="49"/>
      <c r="P5" s="47"/>
      <c r="Q5" s="47"/>
      <c r="R5" s="47"/>
      <c r="S5" s="47"/>
      <c r="T5" s="47"/>
      <c r="U5" s="47"/>
      <c r="V5" s="47"/>
      <c r="W5" s="47"/>
      <c r="X5" s="47"/>
      <c r="Y5" s="366">
        <f>+Data!G216</f>
        <v>0</v>
      </c>
      <c r="Z5" s="366">
        <f>+Data!G218</f>
        <v>5000</v>
      </c>
      <c r="AA5" s="50"/>
      <c r="AB5" s="50"/>
      <c r="AC5" s="367"/>
      <c r="AD5" s="368">
        <f>Data!G214+Data!G215+Data!G217+ Data!G95</f>
        <v>7306301</v>
      </c>
      <c r="AE5" s="430"/>
      <c r="AF5" s="369"/>
      <c r="AG5" s="52"/>
      <c r="AH5" s="51"/>
      <c r="AI5" s="365"/>
      <c r="AJ5" s="365"/>
      <c r="AK5" s="52"/>
      <c r="AL5" s="47"/>
      <c r="AM5" s="53">
        <f t="shared" ref="AM5:AM30" si="0">SUM(E5:AL5)</f>
        <v>7311301</v>
      </c>
    </row>
    <row r="6" spans="1:39" s="9" customFormat="1" x14ac:dyDescent="0.25">
      <c r="A6" s="451"/>
      <c r="B6" s="465"/>
      <c r="C6" s="343" t="s">
        <v>9</v>
      </c>
      <c r="D6" s="343"/>
      <c r="E6" s="370"/>
      <c r="F6" s="365"/>
      <c r="G6" s="36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71"/>
      <c r="Z6" s="372"/>
      <c r="AA6" s="373"/>
      <c r="AB6" s="371"/>
      <c r="AC6" s="374"/>
      <c r="AD6" s="375"/>
      <c r="AE6" s="430"/>
      <c r="AF6" s="365"/>
      <c r="AG6" s="365"/>
      <c r="AH6" s="375"/>
      <c r="AI6" s="365"/>
      <c r="AJ6" s="365"/>
      <c r="AK6" s="365"/>
      <c r="AL6" s="365"/>
      <c r="AM6" s="376">
        <f t="shared" si="0"/>
        <v>0</v>
      </c>
    </row>
    <row r="7" spans="1:39" s="9" customFormat="1" ht="25.5" x14ac:dyDescent="0.25">
      <c r="A7" s="451"/>
      <c r="B7" s="459" t="s">
        <v>1</v>
      </c>
      <c r="C7" s="358" t="s">
        <v>219</v>
      </c>
      <c r="D7" s="356" t="s">
        <v>221</v>
      </c>
      <c r="E7" s="46"/>
      <c r="F7" s="365"/>
      <c r="G7" s="47"/>
      <c r="H7" s="47"/>
      <c r="I7" s="369"/>
      <c r="J7" s="377">
        <f>-Data!G233</f>
        <v>2864569</v>
      </c>
      <c r="K7" s="47"/>
      <c r="L7" s="47"/>
      <c r="M7" s="49"/>
      <c r="N7" s="365"/>
      <c r="O7" s="49"/>
      <c r="P7" s="47"/>
      <c r="Q7" s="47"/>
      <c r="R7" s="47"/>
      <c r="S7" s="47"/>
      <c r="T7" s="47"/>
      <c r="U7" s="47"/>
      <c r="V7" s="47"/>
      <c r="W7" s="47"/>
      <c r="X7" s="47"/>
      <c r="Y7" s="366">
        <f>+Data!G342+Data!G343</f>
        <v>23879</v>
      </c>
      <c r="Z7" s="48"/>
      <c r="AA7" s="54"/>
      <c r="AB7" s="50"/>
      <c r="AC7" s="367"/>
      <c r="AD7" s="51"/>
      <c r="AE7" s="430"/>
      <c r="AF7" s="365"/>
      <c r="AG7" s="52"/>
      <c r="AH7" s="51"/>
      <c r="AI7" s="365"/>
      <c r="AJ7" s="365"/>
      <c r="AK7" s="52"/>
      <c r="AL7" s="47"/>
      <c r="AM7" s="53">
        <f t="shared" si="0"/>
        <v>2888448</v>
      </c>
    </row>
    <row r="8" spans="1:39" s="9" customFormat="1" x14ac:dyDescent="0.25">
      <c r="A8" s="451"/>
      <c r="B8" s="460"/>
      <c r="C8" s="358" t="s">
        <v>220</v>
      </c>
      <c r="D8" s="351" t="s">
        <v>222</v>
      </c>
      <c r="E8" s="46"/>
      <c r="F8" s="365"/>
      <c r="G8" s="47"/>
      <c r="H8" s="47"/>
      <c r="I8" s="365"/>
      <c r="J8" s="52"/>
      <c r="K8" s="47"/>
      <c r="L8" s="47"/>
      <c r="M8" s="49"/>
      <c r="N8" s="365"/>
      <c r="O8" s="49"/>
      <c r="P8" s="47"/>
      <c r="Q8" s="47"/>
      <c r="R8" s="47"/>
      <c r="S8" s="47"/>
      <c r="T8" s="47"/>
      <c r="U8" s="47"/>
      <c r="V8" s="47"/>
      <c r="W8" s="47"/>
      <c r="X8" s="47"/>
      <c r="Y8" s="50"/>
      <c r="Z8" s="366">
        <f>+Data!G364</f>
        <v>70595</v>
      </c>
      <c r="AA8" s="54"/>
      <c r="AB8" s="50"/>
      <c r="AC8" s="367"/>
      <c r="AD8" s="51"/>
      <c r="AE8" s="430"/>
      <c r="AF8" s="365"/>
      <c r="AG8" s="52"/>
      <c r="AH8" s="378"/>
      <c r="AI8" s="369"/>
      <c r="AJ8" s="369"/>
      <c r="AK8" s="52"/>
      <c r="AL8" s="47"/>
      <c r="AM8" s="55">
        <f t="shared" si="0"/>
        <v>70595</v>
      </c>
    </row>
    <row r="9" spans="1:39" s="9" customFormat="1" x14ac:dyDescent="0.25">
      <c r="A9" s="451"/>
      <c r="B9" s="447" t="s">
        <v>2</v>
      </c>
      <c r="C9" s="358" t="s">
        <v>202</v>
      </c>
      <c r="D9" s="348" t="s">
        <v>268</v>
      </c>
      <c r="E9" s="365"/>
      <c r="F9" s="365"/>
      <c r="G9" s="365"/>
      <c r="H9" s="365"/>
      <c r="I9" s="365"/>
      <c r="J9" s="365"/>
      <c r="K9" s="369"/>
      <c r="L9" s="365"/>
      <c r="M9" s="365"/>
      <c r="N9" s="365"/>
      <c r="O9" s="365"/>
      <c r="P9" s="365"/>
      <c r="Q9" s="365"/>
      <c r="R9" s="365"/>
      <c r="S9" s="365"/>
      <c r="T9" s="365"/>
      <c r="U9" s="365"/>
      <c r="V9" s="365"/>
      <c r="W9" s="365"/>
      <c r="X9" s="365"/>
      <c r="Y9" s="371"/>
      <c r="Z9" s="371"/>
      <c r="AA9" s="371"/>
      <c r="AB9" s="371"/>
      <c r="AC9" s="374"/>
      <c r="AD9" s="375"/>
      <c r="AE9" s="430"/>
      <c r="AF9" s="365"/>
      <c r="AG9" s="365"/>
      <c r="AH9" s="375"/>
      <c r="AI9" s="365"/>
      <c r="AJ9" s="365"/>
      <c r="AK9" s="365"/>
      <c r="AL9" s="365"/>
      <c r="AM9" s="376">
        <f t="shared" si="0"/>
        <v>0</v>
      </c>
    </row>
    <row r="10" spans="1:39" s="9" customFormat="1" ht="25.5" x14ac:dyDescent="0.25">
      <c r="A10" s="451"/>
      <c r="B10" s="448"/>
      <c r="C10" s="351" t="s">
        <v>203</v>
      </c>
      <c r="D10" s="351" t="s">
        <v>283</v>
      </c>
      <c r="E10" s="47"/>
      <c r="F10" s="365"/>
      <c r="G10" s="47"/>
      <c r="H10" s="47"/>
      <c r="I10" s="365"/>
      <c r="J10" s="47"/>
      <c r="K10" s="377">
        <f>+J7</f>
        <v>2864569</v>
      </c>
      <c r="L10" s="57"/>
      <c r="M10" s="49"/>
      <c r="N10" s="365"/>
      <c r="O10" s="49"/>
      <c r="P10" s="47"/>
      <c r="Q10" s="47"/>
      <c r="R10" s="47"/>
      <c r="S10" s="47"/>
      <c r="T10" s="47"/>
      <c r="U10" s="47"/>
      <c r="V10" s="47"/>
      <c r="W10" s="47"/>
      <c r="X10" s="47"/>
      <c r="Y10" s="50"/>
      <c r="Z10" s="50"/>
      <c r="AA10" s="50"/>
      <c r="AB10" s="56"/>
      <c r="AC10" s="367"/>
      <c r="AD10" s="51"/>
      <c r="AE10" s="430"/>
      <c r="AF10" s="365"/>
      <c r="AG10" s="52"/>
      <c r="AH10" s="51"/>
      <c r="AI10" s="365"/>
      <c r="AJ10" s="365"/>
      <c r="AK10" s="52"/>
      <c r="AL10" s="47"/>
      <c r="AM10" s="53">
        <f t="shared" si="0"/>
        <v>2864569</v>
      </c>
    </row>
    <row r="11" spans="1:39" s="9" customFormat="1" x14ac:dyDescent="0.25">
      <c r="A11" s="351" t="s">
        <v>19</v>
      </c>
      <c r="B11" s="353" t="s">
        <v>3</v>
      </c>
      <c r="C11" s="353"/>
      <c r="D11" s="351" t="s">
        <v>26</v>
      </c>
      <c r="E11" s="377">
        <f>+Data!G220</f>
        <v>6833319</v>
      </c>
      <c r="F11" s="369"/>
      <c r="G11" s="52"/>
      <c r="H11" s="52"/>
      <c r="I11" s="365"/>
      <c r="J11" s="52"/>
      <c r="K11" s="47"/>
      <c r="L11" s="57"/>
      <c r="M11" s="49"/>
      <c r="N11" s="365"/>
      <c r="O11" s="49"/>
      <c r="P11" s="47"/>
      <c r="Q11" s="47"/>
      <c r="R11" s="47"/>
      <c r="S11" s="47"/>
      <c r="T11" s="47"/>
      <c r="U11" s="47"/>
      <c r="V11" s="57"/>
      <c r="W11" s="57"/>
      <c r="X11" s="57"/>
      <c r="Y11" s="57"/>
      <c r="Z11" s="57"/>
      <c r="AA11" s="57"/>
      <c r="AB11" s="57"/>
      <c r="AC11" s="367"/>
      <c r="AD11" s="51"/>
      <c r="AE11" s="430"/>
      <c r="AF11" s="365"/>
      <c r="AG11" s="52"/>
      <c r="AH11" s="51"/>
      <c r="AI11" s="365"/>
      <c r="AJ11" s="365"/>
      <c r="AK11" s="52"/>
      <c r="AL11" s="47"/>
      <c r="AM11" s="53">
        <f t="shared" si="0"/>
        <v>6833319</v>
      </c>
    </row>
    <row r="12" spans="1:39" s="9" customFormat="1" x14ac:dyDescent="0.25">
      <c r="A12" s="350" t="s">
        <v>169</v>
      </c>
      <c r="B12" s="349" t="s">
        <v>4</v>
      </c>
      <c r="C12" s="353"/>
      <c r="D12" s="351" t="s">
        <v>171</v>
      </c>
      <c r="E12" s="57"/>
      <c r="F12" s="365"/>
      <c r="G12" s="57"/>
      <c r="H12" s="57"/>
      <c r="I12" s="365"/>
      <c r="J12" s="59"/>
      <c r="K12" s="377">
        <f>E11-SUM(K9:K10)-K26</f>
        <v>3508320</v>
      </c>
      <c r="L12" s="379"/>
      <c r="M12" s="61"/>
      <c r="N12" s="365"/>
      <c r="O12" s="49"/>
      <c r="P12" s="47"/>
      <c r="Q12" s="47"/>
      <c r="R12" s="47"/>
      <c r="S12" s="47"/>
      <c r="T12" s="47"/>
      <c r="U12" s="47"/>
      <c r="V12" s="57"/>
      <c r="W12" s="57"/>
      <c r="X12" s="57"/>
      <c r="Y12" s="57"/>
      <c r="Z12" s="57"/>
      <c r="AA12" s="57"/>
      <c r="AB12" s="57"/>
      <c r="AC12" s="367"/>
      <c r="AD12" s="51"/>
      <c r="AE12" s="430"/>
      <c r="AF12" s="365"/>
      <c r="AG12" s="52"/>
      <c r="AH12" s="51"/>
      <c r="AI12" s="365"/>
      <c r="AJ12" s="365"/>
      <c r="AK12" s="52"/>
      <c r="AL12" s="47"/>
      <c r="AM12" s="53">
        <f t="shared" si="0"/>
        <v>3508320</v>
      </c>
    </row>
    <row r="13" spans="1:39" s="9" customFormat="1" x14ac:dyDescent="0.25">
      <c r="A13" s="454" t="s">
        <v>170</v>
      </c>
      <c r="B13" s="470" t="s">
        <v>64</v>
      </c>
      <c r="C13" s="10" t="s">
        <v>189</v>
      </c>
      <c r="D13" s="351" t="s">
        <v>175</v>
      </c>
      <c r="E13" s="47"/>
      <c r="F13" s="365"/>
      <c r="G13" s="47"/>
      <c r="H13" s="47"/>
      <c r="I13" s="365"/>
      <c r="J13" s="59"/>
      <c r="K13" s="60"/>
      <c r="L13" s="366">
        <f>-Data!G256</f>
        <v>2688153</v>
      </c>
      <c r="M13" s="61"/>
      <c r="N13" s="365"/>
      <c r="O13" s="49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367"/>
      <c r="AD13" s="51"/>
      <c r="AE13" s="430"/>
      <c r="AF13" s="365"/>
      <c r="AG13" s="52"/>
      <c r="AH13" s="51"/>
      <c r="AI13" s="365"/>
      <c r="AJ13" s="365"/>
      <c r="AK13" s="52"/>
      <c r="AL13" s="47"/>
      <c r="AM13" s="53">
        <f t="shared" si="0"/>
        <v>2688153</v>
      </c>
    </row>
    <row r="14" spans="1:39" s="9" customFormat="1" x14ac:dyDescent="0.25">
      <c r="A14" s="455"/>
      <c r="B14" s="471"/>
      <c r="C14" s="10" t="s">
        <v>190</v>
      </c>
      <c r="D14" s="348" t="s">
        <v>22</v>
      </c>
      <c r="E14" s="365"/>
      <c r="F14" s="365"/>
      <c r="G14" s="365"/>
      <c r="H14" s="365"/>
      <c r="I14" s="365"/>
      <c r="J14" s="370"/>
      <c r="K14" s="380"/>
      <c r="L14" s="381"/>
      <c r="M14" s="375"/>
      <c r="N14" s="365"/>
      <c r="O14" s="365"/>
      <c r="P14" s="365"/>
      <c r="Q14" s="365"/>
      <c r="R14" s="365"/>
      <c r="S14" s="365"/>
      <c r="T14" s="365"/>
      <c r="U14" s="365"/>
      <c r="V14" s="365"/>
      <c r="W14" s="365"/>
      <c r="X14" s="365"/>
      <c r="Y14" s="365"/>
      <c r="Z14" s="365"/>
      <c r="AA14" s="365"/>
      <c r="AB14" s="365"/>
      <c r="AC14" s="374"/>
      <c r="AD14" s="375"/>
      <c r="AE14" s="430"/>
      <c r="AF14" s="365"/>
      <c r="AG14" s="365"/>
      <c r="AH14" s="375"/>
      <c r="AI14" s="365"/>
      <c r="AJ14" s="365"/>
      <c r="AK14" s="365"/>
      <c r="AL14" s="365"/>
      <c r="AM14" s="376">
        <f t="shared" si="0"/>
        <v>0</v>
      </c>
    </row>
    <row r="15" spans="1:39" s="9" customFormat="1" ht="25.5" x14ac:dyDescent="0.25">
      <c r="A15" s="455"/>
      <c r="B15" s="471"/>
      <c r="C15" s="10" t="s">
        <v>191</v>
      </c>
      <c r="D15" s="351" t="s">
        <v>172</v>
      </c>
      <c r="E15" s="47"/>
      <c r="F15" s="365"/>
      <c r="G15" s="47"/>
      <c r="H15" s="47"/>
      <c r="I15" s="365"/>
      <c r="J15" s="59"/>
      <c r="K15" s="60"/>
      <c r="L15" s="382">
        <f>-Data!G257</f>
        <v>688313</v>
      </c>
      <c r="M15" s="61"/>
      <c r="N15" s="365"/>
      <c r="O15" s="49"/>
      <c r="P15" s="47"/>
      <c r="Q15" s="47"/>
      <c r="R15" s="47"/>
      <c r="S15" s="47"/>
      <c r="T15" s="47"/>
      <c r="U15" s="47" t="s">
        <v>53</v>
      </c>
      <c r="V15" s="47"/>
      <c r="W15" s="47"/>
      <c r="X15" s="47"/>
      <c r="Y15" s="47"/>
      <c r="Z15" s="47"/>
      <c r="AA15" s="47"/>
      <c r="AB15" s="47"/>
      <c r="AC15" s="367"/>
      <c r="AD15" s="51"/>
      <c r="AE15" s="430"/>
      <c r="AF15" s="365"/>
      <c r="AG15" s="52"/>
      <c r="AH15" s="51"/>
      <c r="AI15" s="365"/>
      <c r="AJ15" s="365"/>
      <c r="AK15" s="52"/>
      <c r="AL15" s="47"/>
      <c r="AM15" s="53">
        <f t="shared" si="0"/>
        <v>688313</v>
      </c>
    </row>
    <row r="16" spans="1:39" s="9" customFormat="1" x14ac:dyDescent="0.25">
      <c r="A16" s="455"/>
      <c r="B16" s="471"/>
      <c r="C16" s="10" t="s">
        <v>192</v>
      </c>
      <c r="D16" s="351" t="s">
        <v>28</v>
      </c>
      <c r="E16" s="47"/>
      <c r="F16" s="365"/>
      <c r="G16" s="47"/>
      <c r="H16" s="47"/>
      <c r="I16" s="365"/>
      <c r="J16" s="59"/>
      <c r="K16" s="60"/>
      <c r="L16" s="366">
        <f>-Data!G258</f>
        <v>0</v>
      </c>
      <c r="M16" s="61"/>
      <c r="N16" s="365"/>
      <c r="O16" s="49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367"/>
      <c r="AD16" s="51"/>
      <c r="AE16" s="430"/>
      <c r="AF16" s="365"/>
      <c r="AG16" s="52"/>
      <c r="AH16" s="51"/>
      <c r="AI16" s="365"/>
      <c r="AJ16" s="365"/>
      <c r="AK16" s="52"/>
      <c r="AL16" s="47"/>
      <c r="AM16" s="53">
        <f t="shared" si="0"/>
        <v>0</v>
      </c>
    </row>
    <row r="17" spans="1:154" s="9" customFormat="1" x14ac:dyDescent="0.25">
      <c r="A17" s="455"/>
      <c r="B17" s="10" t="s">
        <v>193</v>
      </c>
      <c r="C17" s="10"/>
      <c r="D17" s="351" t="s">
        <v>173</v>
      </c>
      <c r="E17" s="47"/>
      <c r="F17" s="365"/>
      <c r="G17" s="47"/>
      <c r="H17" s="47"/>
      <c r="I17" s="365"/>
      <c r="J17" s="47"/>
      <c r="K17" s="60"/>
      <c r="L17" s="366">
        <f>-Data!G259</f>
        <v>204818</v>
      </c>
      <c r="M17" s="47"/>
      <c r="N17" s="365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367"/>
      <c r="AD17" s="51"/>
      <c r="AE17" s="430"/>
      <c r="AF17" s="365"/>
      <c r="AG17" s="52"/>
      <c r="AH17" s="51"/>
      <c r="AI17" s="365"/>
      <c r="AJ17" s="365"/>
      <c r="AK17" s="52"/>
      <c r="AL17" s="47"/>
      <c r="AM17" s="53">
        <f t="shared" si="0"/>
        <v>204818</v>
      </c>
    </row>
    <row r="18" spans="1:154" s="9" customFormat="1" x14ac:dyDescent="0.25">
      <c r="A18" s="456"/>
      <c r="B18" s="10" t="s">
        <v>194</v>
      </c>
      <c r="C18" s="10"/>
      <c r="D18" s="4" t="s">
        <v>174</v>
      </c>
      <c r="E18" s="47"/>
      <c r="F18" s="365"/>
      <c r="G18" s="47"/>
      <c r="H18" s="47"/>
      <c r="I18" s="365"/>
      <c r="J18" s="47"/>
      <c r="K18" s="60"/>
      <c r="L18" s="377">
        <f>K12-SUM(L13:L17)</f>
        <v>-72964</v>
      </c>
      <c r="M18" s="47"/>
      <c r="N18" s="365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367"/>
      <c r="AD18" s="51"/>
      <c r="AE18" s="430"/>
      <c r="AF18" s="365"/>
      <c r="AG18" s="52"/>
      <c r="AH18" s="51"/>
      <c r="AI18" s="365"/>
      <c r="AJ18" s="365"/>
      <c r="AK18" s="52"/>
      <c r="AL18" s="47"/>
      <c r="AM18" s="53">
        <f t="shared" si="0"/>
        <v>-72964</v>
      </c>
    </row>
    <row r="19" spans="1:154" s="9" customFormat="1" ht="25.5" x14ac:dyDescent="0.25">
      <c r="A19" s="351" t="s">
        <v>177</v>
      </c>
      <c r="B19" s="353" t="s">
        <v>65</v>
      </c>
      <c r="C19" s="353"/>
      <c r="D19" s="351" t="s">
        <v>20</v>
      </c>
      <c r="E19" s="47"/>
      <c r="F19" s="365"/>
      <c r="G19" s="47"/>
      <c r="H19" s="47"/>
      <c r="I19" s="365"/>
      <c r="J19" s="47"/>
      <c r="K19" s="47"/>
      <c r="L19" s="57"/>
      <c r="M19" s="47"/>
      <c r="N19" s="365"/>
      <c r="O19" s="47"/>
      <c r="P19" s="52"/>
      <c r="Q19" s="52"/>
      <c r="R19" s="377">
        <f>+L18</f>
        <v>-72964</v>
      </c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367"/>
      <c r="AD19" s="368">
        <f>+Data!G264+Data!G265+Data!G266+Data!G267+Data!G629+Data!G96</f>
        <v>73719</v>
      </c>
      <c r="AE19" s="430"/>
      <c r="AF19" s="369"/>
      <c r="AG19" s="383"/>
      <c r="AH19" s="51"/>
      <c r="AI19" s="365"/>
      <c r="AJ19" s="365"/>
      <c r="AK19" s="52"/>
      <c r="AL19" s="47"/>
      <c r="AM19" s="53">
        <f t="shared" si="0"/>
        <v>755</v>
      </c>
    </row>
    <row r="20" spans="1:154" s="9" customFormat="1" ht="25.5" x14ac:dyDescent="0.25">
      <c r="A20" s="351" t="s">
        <v>178</v>
      </c>
      <c r="B20" s="353" t="s">
        <v>66</v>
      </c>
      <c r="C20" s="353"/>
      <c r="D20" s="351" t="s">
        <v>20</v>
      </c>
      <c r="E20" s="47"/>
      <c r="F20" s="365"/>
      <c r="G20" s="47"/>
      <c r="H20" s="47"/>
      <c r="I20" s="365"/>
      <c r="J20" s="47"/>
      <c r="K20" s="47"/>
      <c r="L20" s="57"/>
      <c r="M20" s="47"/>
      <c r="N20" s="365"/>
      <c r="O20" s="47"/>
      <c r="P20" s="47"/>
      <c r="Q20" s="47"/>
      <c r="R20" s="47"/>
      <c r="S20" s="377">
        <f>R19+SUM(AD19:AK19)-SUM(S30:S33)</f>
        <v>-544360</v>
      </c>
      <c r="T20" s="47"/>
      <c r="U20" s="47"/>
      <c r="V20" s="47"/>
      <c r="W20" s="47"/>
      <c r="X20" s="47"/>
      <c r="Y20" s="47"/>
      <c r="Z20" s="47"/>
      <c r="AA20" s="47"/>
      <c r="AB20" s="47"/>
      <c r="AC20" s="367"/>
      <c r="AD20" s="384"/>
      <c r="AE20" s="431"/>
      <c r="AF20" s="365"/>
      <c r="AG20" s="369"/>
      <c r="AH20" s="51"/>
      <c r="AI20" s="365"/>
      <c r="AJ20" s="365"/>
      <c r="AK20" s="52"/>
      <c r="AL20" s="47"/>
      <c r="AM20" s="53">
        <f t="shared" si="0"/>
        <v>-544360</v>
      </c>
    </row>
    <row r="21" spans="1:154" s="9" customFormat="1" ht="25.5" x14ac:dyDescent="0.25">
      <c r="A21" s="355" t="s">
        <v>179</v>
      </c>
      <c r="B21" s="353" t="s">
        <v>51</v>
      </c>
      <c r="C21" s="353"/>
      <c r="D21" s="351" t="s">
        <v>20</v>
      </c>
      <c r="E21" s="47"/>
      <c r="F21" s="365"/>
      <c r="G21" s="47"/>
      <c r="H21" s="47"/>
      <c r="I21" s="365"/>
      <c r="J21" s="47"/>
      <c r="K21" s="47"/>
      <c r="L21" s="57"/>
      <c r="M21" s="47"/>
      <c r="N21" s="365"/>
      <c r="O21" s="47"/>
      <c r="P21" s="47"/>
      <c r="Q21" s="47"/>
      <c r="R21" s="47"/>
      <c r="S21" s="52"/>
      <c r="T21" s="377">
        <f>S20+SUM(AD20:AG20)-SUM(T30:T33)</f>
        <v>-585219</v>
      </c>
      <c r="U21" s="47"/>
      <c r="V21" s="47"/>
      <c r="W21" s="47"/>
      <c r="X21" s="47"/>
      <c r="Y21" s="47"/>
      <c r="Z21" s="47"/>
      <c r="AA21" s="47"/>
      <c r="AB21" s="47"/>
      <c r="AC21" s="367"/>
      <c r="AD21" s="51"/>
      <c r="AE21" s="432"/>
      <c r="AF21" s="372"/>
      <c r="AG21" s="48"/>
      <c r="AH21" s="386">
        <f>+Data!G294</f>
        <v>1000000</v>
      </c>
      <c r="AI21" s="387"/>
      <c r="AJ21" s="372"/>
      <c r="AK21" s="387"/>
      <c r="AL21" s="63"/>
      <c r="AM21" s="53">
        <f t="shared" si="0"/>
        <v>414781</v>
      </c>
    </row>
    <row r="22" spans="1:154" s="9" customFormat="1" x14ac:dyDescent="0.25">
      <c r="A22" s="441" t="s">
        <v>180</v>
      </c>
      <c r="B22" s="351" t="s">
        <v>10</v>
      </c>
      <c r="C22" s="351"/>
      <c r="D22" s="1" t="s">
        <v>11</v>
      </c>
      <c r="E22" s="47"/>
      <c r="F22" s="365"/>
      <c r="G22" s="47"/>
      <c r="H22" s="47"/>
      <c r="I22" s="365"/>
      <c r="J22" s="47"/>
      <c r="K22" s="47"/>
      <c r="L22" s="57"/>
      <c r="M22" s="47"/>
      <c r="N22" s="365"/>
      <c r="O22" s="47"/>
      <c r="P22" s="47"/>
      <c r="Q22" s="47"/>
      <c r="R22" s="47"/>
      <c r="S22" s="52"/>
      <c r="T22" s="47"/>
      <c r="U22" s="377">
        <f>T21+SUM(AH21:AK21)-SUM(U30:U32)-SUM(U34:U37)</f>
        <v>339781</v>
      </c>
      <c r="V22" s="47"/>
      <c r="W22" s="47"/>
      <c r="X22" s="47"/>
      <c r="Y22" s="47"/>
      <c r="Z22" s="47"/>
      <c r="AA22" s="47"/>
      <c r="AB22" s="47"/>
      <c r="AC22" s="388"/>
      <c r="AD22" s="51"/>
      <c r="AE22" s="430"/>
      <c r="AF22" s="365"/>
      <c r="AG22" s="52"/>
      <c r="AH22" s="378"/>
      <c r="AI22" s="369"/>
      <c r="AJ22" s="365"/>
      <c r="AK22" s="377">
        <f>+Data!G300</f>
        <v>0</v>
      </c>
      <c r="AL22" s="52"/>
      <c r="AM22" s="53">
        <f t="shared" si="0"/>
        <v>339781</v>
      </c>
    </row>
    <row r="23" spans="1:154" s="9" customFormat="1" ht="12.75" customHeight="1" x14ac:dyDescent="0.25">
      <c r="A23" s="442"/>
      <c r="B23" s="1" t="s">
        <v>56</v>
      </c>
      <c r="C23" s="1"/>
      <c r="D23" s="35" t="s">
        <v>167</v>
      </c>
      <c r="E23" s="47"/>
      <c r="F23" s="365"/>
      <c r="G23" s="47"/>
      <c r="H23" s="47"/>
      <c r="I23" s="365"/>
      <c r="J23" s="47"/>
      <c r="K23" s="47"/>
      <c r="L23" s="57"/>
      <c r="M23" s="47"/>
      <c r="N23" s="365"/>
      <c r="O23" s="47"/>
      <c r="P23" s="47"/>
      <c r="Q23" s="47"/>
      <c r="R23" s="47"/>
      <c r="S23" s="52"/>
      <c r="T23" s="47"/>
      <c r="U23" s="52"/>
      <c r="V23" s="377">
        <f>U22+SUM(AH22:AK22)-SUM(V33:V38)</f>
        <v>339781</v>
      </c>
      <c r="W23" s="52"/>
      <c r="X23" s="47"/>
      <c r="Y23" s="47"/>
      <c r="Z23" s="47"/>
      <c r="AA23" s="47"/>
      <c r="AB23" s="52"/>
      <c r="AC23" s="389"/>
      <c r="AD23" s="368">
        <f>+Data!G327</f>
        <v>0</v>
      </c>
      <c r="AE23" s="433"/>
      <c r="AF23" s="378"/>
      <c r="AG23" s="52"/>
      <c r="AH23" s="390">
        <f>+Data!G317+Data!G319+Data!G320+Data!G321+Data!G326</f>
        <v>10000</v>
      </c>
      <c r="AI23" s="384"/>
      <c r="AJ23" s="385"/>
      <c r="AK23" s="391">
        <f>+Data!G318+Data!G322</f>
        <v>31413</v>
      </c>
      <c r="AL23" s="67"/>
      <c r="AM23" s="53">
        <f t="shared" si="0"/>
        <v>381194</v>
      </c>
    </row>
    <row r="24" spans="1:154" s="9" customFormat="1" ht="12.75" customHeight="1" x14ac:dyDescent="0.25">
      <c r="A24" s="443"/>
      <c r="B24" s="1" t="s">
        <v>52</v>
      </c>
      <c r="C24" s="1"/>
      <c r="D24" s="1" t="s">
        <v>54</v>
      </c>
      <c r="E24" s="47"/>
      <c r="F24" s="365"/>
      <c r="G24" s="47"/>
      <c r="H24" s="47"/>
      <c r="I24" s="365"/>
      <c r="J24" s="47"/>
      <c r="K24" s="47"/>
      <c r="L24" s="57"/>
      <c r="M24" s="47"/>
      <c r="N24" s="365"/>
      <c r="O24" s="47"/>
      <c r="P24" s="47"/>
      <c r="Q24" s="47"/>
      <c r="R24" s="47"/>
      <c r="S24" s="52"/>
      <c r="T24" s="47"/>
      <c r="U24" s="52"/>
      <c r="V24" s="52"/>
      <c r="W24" s="377">
        <f>V23+SUM(Y23:AK23)-SUM(W25:W37)</f>
        <v>376731</v>
      </c>
      <c r="X24" s="47"/>
      <c r="Y24" s="47"/>
      <c r="Z24" s="47"/>
      <c r="AA24" s="47"/>
      <c r="AB24" s="47"/>
      <c r="AC24" s="388"/>
      <c r="AD24" s="51"/>
      <c r="AE24" s="430"/>
      <c r="AF24" s="365"/>
      <c r="AG24" s="52"/>
      <c r="AH24" s="64"/>
      <c r="AI24" s="392"/>
      <c r="AJ24" s="392"/>
      <c r="AK24" s="64"/>
      <c r="AL24" s="67"/>
      <c r="AM24" s="53">
        <f t="shared" si="0"/>
        <v>376731</v>
      </c>
    </row>
    <row r="25" spans="1:154" s="9" customFormat="1" ht="12.75" customHeight="1" x14ac:dyDescent="0.25">
      <c r="A25" s="444" t="s">
        <v>181</v>
      </c>
      <c r="B25" s="1" t="s">
        <v>5</v>
      </c>
      <c r="C25" s="351"/>
      <c r="D25" s="1" t="s">
        <v>55</v>
      </c>
      <c r="E25" s="47"/>
      <c r="F25" s="365"/>
      <c r="G25" s="47"/>
      <c r="H25" s="47"/>
      <c r="I25" s="365"/>
      <c r="J25" s="47"/>
      <c r="K25" s="47"/>
      <c r="L25" s="57"/>
      <c r="M25" s="47"/>
      <c r="N25" s="365"/>
      <c r="O25" s="47"/>
      <c r="P25" s="47"/>
      <c r="Q25" s="47"/>
      <c r="R25" s="47"/>
      <c r="S25" s="52"/>
      <c r="T25" s="47"/>
      <c r="U25" s="52"/>
      <c r="V25" s="47"/>
      <c r="W25" s="47"/>
      <c r="X25" s="377">
        <f>SUM(Y6:Y10)</f>
        <v>23879</v>
      </c>
      <c r="Y25" s="47"/>
      <c r="Z25" s="47"/>
      <c r="AA25" s="47"/>
      <c r="AB25" s="47"/>
      <c r="AC25" s="388"/>
      <c r="AD25" s="58"/>
      <c r="AE25" s="430"/>
      <c r="AF25" s="365"/>
      <c r="AG25" s="57"/>
      <c r="AH25" s="67"/>
      <c r="AI25" s="392"/>
      <c r="AJ25" s="392"/>
      <c r="AK25" s="67"/>
      <c r="AL25" s="67"/>
      <c r="AM25" s="53">
        <f t="shared" si="0"/>
        <v>23879</v>
      </c>
    </row>
    <row r="26" spans="1:154" s="9" customFormat="1" ht="25.5" x14ac:dyDescent="0.25">
      <c r="A26" s="445"/>
      <c r="B26" s="1" t="s">
        <v>58</v>
      </c>
      <c r="C26" s="351"/>
      <c r="D26" s="357" t="s">
        <v>284</v>
      </c>
      <c r="E26" s="47"/>
      <c r="F26" s="365"/>
      <c r="G26" s="47"/>
      <c r="H26" s="47"/>
      <c r="I26" s="365"/>
      <c r="J26" s="47"/>
      <c r="K26" s="377">
        <f>-Data!G246</f>
        <v>460430</v>
      </c>
      <c r="L26" s="57"/>
      <c r="M26" s="49"/>
      <c r="N26" s="365"/>
      <c r="O26" s="49"/>
      <c r="P26" s="47"/>
      <c r="Q26" s="47"/>
      <c r="R26" s="47"/>
      <c r="S26" s="47"/>
      <c r="T26" s="47"/>
      <c r="U26" s="47"/>
      <c r="V26" s="47"/>
      <c r="W26" s="47"/>
      <c r="X26" s="195">
        <f>Z5+Z8-K26</f>
        <v>-384835</v>
      </c>
      <c r="Y26" s="47"/>
      <c r="Z26" s="47"/>
      <c r="AA26" s="47"/>
      <c r="AB26" s="47"/>
      <c r="AC26" s="367"/>
      <c r="AD26" s="58"/>
      <c r="AE26" s="430"/>
      <c r="AF26" s="365"/>
      <c r="AG26" s="47"/>
      <c r="AH26" s="58"/>
      <c r="AI26" s="365"/>
      <c r="AJ26" s="365"/>
      <c r="AK26" s="47"/>
      <c r="AL26" s="47"/>
      <c r="AM26" s="53">
        <f t="shared" si="0"/>
        <v>75595</v>
      </c>
    </row>
    <row r="27" spans="1:154" s="9" customFormat="1" ht="25.5" x14ac:dyDescent="0.25">
      <c r="A27" s="446"/>
      <c r="B27" s="1" t="s">
        <v>195</v>
      </c>
      <c r="C27" s="351"/>
      <c r="D27" s="356" t="s">
        <v>57</v>
      </c>
      <c r="E27" s="47"/>
      <c r="F27" s="365"/>
      <c r="G27" s="47"/>
      <c r="H27" s="47"/>
      <c r="I27" s="365"/>
      <c r="J27" s="47"/>
      <c r="K27" s="52"/>
      <c r="L27" s="57"/>
      <c r="M27" s="49"/>
      <c r="N27" s="365"/>
      <c r="O27" s="49"/>
      <c r="P27" s="47"/>
      <c r="Q27" s="47"/>
      <c r="R27" s="47"/>
      <c r="S27" s="47"/>
      <c r="T27" s="47"/>
      <c r="U27" s="47"/>
      <c r="V27" s="47"/>
      <c r="W27" s="47"/>
      <c r="X27" s="195">
        <f>+W24-X25-X26</f>
        <v>737687</v>
      </c>
      <c r="Y27" s="47"/>
      <c r="Z27" s="47"/>
      <c r="AA27" s="52"/>
      <c r="AB27" s="377">
        <f>Data!G413</f>
        <v>1973089</v>
      </c>
      <c r="AC27" s="393">
        <f>Data!G406</f>
        <v>-406515</v>
      </c>
      <c r="AD27" s="58"/>
      <c r="AE27" s="430"/>
      <c r="AF27" s="365"/>
      <c r="AG27" s="47"/>
      <c r="AH27" s="58"/>
      <c r="AI27" s="365"/>
      <c r="AJ27" s="365"/>
      <c r="AK27" s="47"/>
      <c r="AL27" s="47"/>
      <c r="AM27" s="53">
        <f t="shared" si="0"/>
        <v>2304261</v>
      </c>
    </row>
    <row r="28" spans="1:154" s="9" customFormat="1" x14ac:dyDescent="0.25">
      <c r="A28" s="449" t="s">
        <v>182</v>
      </c>
      <c r="B28" s="351" t="s">
        <v>6</v>
      </c>
      <c r="C28" s="351"/>
      <c r="D28" s="351" t="s">
        <v>25</v>
      </c>
      <c r="E28" s="47"/>
      <c r="F28" s="365"/>
      <c r="G28" s="47"/>
      <c r="H28" s="47"/>
      <c r="I28" s="365"/>
      <c r="J28" s="47"/>
      <c r="K28" s="57"/>
      <c r="L28" s="57"/>
      <c r="M28" s="49"/>
      <c r="N28" s="365"/>
      <c r="O28" s="49"/>
      <c r="P28" s="47"/>
      <c r="Q28" s="47"/>
      <c r="R28" s="47"/>
      <c r="S28" s="47"/>
      <c r="T28" s="47"/>
      <c r="U28" s="47"/>
      <c r="V28" s="47"/>
      <c r="W28" s="52"/>
      <c r="X28" s="52"/>
      <c r="Y28" s="47"/>
      <c r="Z28" s="47"/>
      <c r="AA28" s="377">
        <f>Data!G394</f>
        <v>-428007</v>
      </c>
      <c r="AB28" s="62"/>
      <c r="AC28" s="394"/>
      <c r="AD28" s="58"/>
      <c r="AE28" s="430"/>
      <c r="AF28" s="365"/>
      <c r="AG28" s="47"/>
      <c r="AH28" s="58"/>
      <c r="AI28" s="365"/>
      <c r="AJ28" s="365"/>
      <c r="AK28" s="47"/>
      <c r="AL28" s="47"/>
      <c r="AM28" s="53">
        <f t="shared" si="0"/>
        <v>-428007</v>
      </c>
    </row>
    <row r="29" spans="1:154" s="9" customFormat="1" ht="13.5" thickBot="1" x14ac:dyDescent="0.3">
      <c r="A29" s="468"/>
      <c r="B29" s="41" t="s">
        <v>59</v>
      </c>
      <c r="C29" s="40"/>
      <c r="D29" s="42" t="s">
        <v>47</v>
      </c>
      <c r="E29" s="395"/>
      <c r="F29" s="396"/>
      <c r="G29" s="395"/>
      <c r="H29" s="395"/>
      <c r="I29" s="396"/>
      <c r="J29" s="395"/>
      <c r="K29" s="395"/>
      <c r="L29" s="395"/>
      <c r="M29" s="395"/>
      <c r="N29" s="396"/>
      <c r="O29" s="395"/>
      <c r="P29" s="395"/>
      <c r="Q29" s="395"/>
      <c r="R29" s="395"/>
      <c r="S29" s="395"/>
      <c r="T29" s="395"/>
      <c r="U29" s="395"/>
      <c r="V29" s="397"/>
      <c r="W29" s="398"/>
      <c r="X29" s="398"/>
      <c r="Y29" s="397"/>
      <c r="Z29" s="397"/>
      <c r="AA29" s="399">
        <f>Data!G388</f>
        <v>2732268</v>
      </c>
      <c r="AB29" s="397"/>
      <c r="AC29" s="400"/>
      <c r="AD29" s="401"/>
      <c r="AE29" s="434"/>
      <c r="AF29" s="403"/>
      <c r="AG29" s="404"/>
      <c r="AH29" s="58"/>
      <c r="AI29" s="365"/>
      <c r="AJ29" s="365"/>
      <c r="AK29" s="47"/>
      <c r="AL29" s="47"/>
      <c r="AM29" s="53">
        <f t="shared" si="0"/>
        <v>2732268</v>
      </c>
    </row>
    <row r="30" spans="1:154" s="9" customFormat="1" ht="13.5" thickTop="1" x14ac:dyDescent="0.25">
      <c r="A30" s="469" t="s">
        <v>183</v>
      </c>
      <c r="B30" s="39" t="s">
        <v>7</v>
      </c>
      <c r="C30" s="39"/>
      <c r="D30" s="358" t="s">
        <v>503</v>
      </c>
      <c r="E30" s="55"/>
      <c r="F30" s="405"/>
      <c r="G30" s="406">
        <f>-(Data!G241+Data!G228+Data!G229+Data!G97)</f>
        <v>3089864</v>
      </c>
      <c r="H30" s="68"/>
      <c r="I30" s="405"/>
      <c r="J30" s="68"/>
      <c r="K30" s="69"/>
      <c r="L30" s="69"/>
      <c r="M30" s="407">
        <f>-Data!G256</f>
        <v>2688153</v>
      </c>
      <c r="N30" s="408"/>
      <c r="O30" s="68"/>
      <c r="P30" s="407">
        <f>-Data!G258</f>
        <v>0</v>
      </c>
      <c r="Q30" s="68"/>
      <c r="R30" s="68"/>
      <c r="S30" s="409">
        <f>-(Data!G269+Data!G270+Data!G98)</f>
        <v>545969</v>
      </c>
      <c r="T30" s="406">
        <f>-(Data!G275+Data!G276+Data!G277)</f>
        <v>40781</v>
      </c>
      <c r="U30" s="406">
        <f>-Data!G284</f>
        <v>75000</v>
      </c>
      <c r="V30" s="68"/>
      <c r="W30" s="406">
        <f>-Data!G325</f>
        <v>4463</v>
      </c>
      <c r="X30" s="68"/>
      <c r="Y30" s="55"/>
      <c r="Z30" s="68"/>
      <c r="AA30" s="68"/>
      <c r="AB30" s="55"/>
      <c r="AC30" s="68"/>
      <c r="AD30" s="66"/>
      <c r="AE30" s="431"/>
      <c r="AF30" s="405"/>
      <c r="AG30" s="52"/>
      <c r="AH30" s="52"/>
      <c r="AI30" s="365"/>
      <c r="AJ30" s="365"/>
      <c r="AK30" s="52"/>
      <c r="AL30" s="410">
        <f>+SUM(AD5:AD29)-SUM(E30:AC30)</f>
        <v>935790</v>
      </c>
      <c r="AM30" s="53">
        <f t="shared" si="0"/>
        <v>7380020</v>
      </c>
    </row>
    <row r="31" spans="1:154" s="9" customFormat="1" x14ac:dyDescent="0.25">
      <c r="A31" s="443"/>
      <c r="B31" s="353" t="s">
        <v>80</v>
      </c>
      <c r="C31" s="353"/>
      <c r="D31" s="348" t="s">
        <v>77</v>
      </c>
      <c r="E31" s="411"/>
      <c r="F31" s="411"/>
      <c r="G31" s="369"/>
      <c r="H31" s="411"/>
      <c r="I31" s="411"/>
      <c r="J31" s="411"/>
      <c r="K31" s="411"/>
      <c r="L31" s="411"/>
      <c r="M31" s="412"/>
      <c r="N31" s="412"/>
      <c r="O31" s="412"/>
      <c r="P31" s="412"/>
      <c r="Q31" s="411"/>
      <c r="R31" s="411"/>
      <c r="S31" s="369"/>
      <c r="T31" s="369"/>
      <c r="U31" s="385"/>
      <c r="V31" s="411"/>
      <c r="W31" s="413"/>
      <c r="X31" s="411"/>
      <c r="Y31" s="411"/>
      <c r="Z31" s="411"/>
      <c r="AA31" s="411"/>
      <c r="AB31" s="411"/>
      <c r="AC31" s="414"/>
      <c r="AD31" s="415"/>
      <c r="AE31" s="435"/>
      <c r="AF31" s="416"/>
      <c r="AG31" s="411"/>
      <c r="AH31" s="411"/>
      <c r="AI31" s="411"/>
      <c r="AJ31" s="411"/>
      <c r="AK31" s="411"/>
      <c r="AL31" s="195">
        <f>SUM(AE5:AE29)-SUM(E31:AC31)</f>
        <v>0</v>
      </c>
      <c r="AM31" s="417">
        <f t="shared" ref="AM31:AM37" si="1">SUM(E31:AL31)</f>
        <v>0</v>
      </c>
    </row>
    <row r="32" spans="1:154" s="12" customFormat="1" ht="12.75" customHeight="1" x14ac:dyDescent="0.25">
      <c r="A32" s="439" t="s">
        <v>184</v>
      </c>
      <c r="B32" s="5" t="s">
        <v>12</v>
      </c>
      <c r="C32" s="5"/>
      <c r="D32" s="348" t="s">
        <v>81</v>
      </c>
      <c r="E32" s="365"/>
      <c r="F32" s="365"/>
      <c r="G32" s="369"/>
      <c r="H32" s="411"/>
      <c r="I32" s="411"/>
      <c r="J32" s="411"/>
      <c r="K32" s="411"/>
      <c r="L32" s="411"/>
      <c r="M32" s="411"/>
      <c r="N32" s="411"/>
      <c r="O32" s="411"/>
      <c r="P32" s="411"/>
      <c r="Q32" s="411"/>
      <c r="R32" s="411"/>
      <c r="S32" s="369"/>
      <c r="T32" s="365"/>
      <c r="U32" s="385"/>
      <c r="V32" s="365"/>
      <c r="W32" s="413"/>
      <c r="X32" s="365"/>
      <c r="Y32" s="365"/>
      <c r="Z32" s="365"/>
      <c r="AA32" s="365"/>
      <c r="AB32" s="365"/>
      <c r="AC32" s="365"/>
      <c r="AD32" s="365"/>
      <c r="AE32" s="430"/>
      <c r="AF32" s="365"/>
      <c r="AG32" s="365"/>
      <c r="AH32" s="365"/>
      <c r="AI32" s="365"/>
      <c r="AJ32" s="365"/>
      <c r="AK32" s="365"/>
      <c r="AL32" s="195">
        <f>SUM(AF5:AF38)-SUM(E32:AI32)</f>
        <v>0</v>
      </c>
      <c r="AM32" s="365">
        <f t="shared" si="1"/>
        <v>0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</row>
    <row r="33" spans="1:41" s="9" customFormat="1" ht="12.75" customHeight="1" x14ac:dyDescent="0.25">
      <c r="A33" s="440"/>
      <c r="B33" s="353" t="s">
        <v>60</v>
      </c>
      <c r="C33" s="353"/>
      <c r="D33" s="351" t="s">
        <v>45</v>
      </c>
      <c r="E33" s="366">
        <f>Data!G95</f>
        <v>477982</v>
      </c>
      <c r="F33" s="381"/>
      <c r="G33" s="418">
        <f>Data!G97</f>
        <v>-201416</v>
      </c>
      <c r="H33" s="52"/>
      <c r="I33" s="419"/>
      <c r="J33" s="71"/>
      <c r="K33" s="47"/>
      <c r="L33" s="47"/>
      <c r="M33" s="52"/>
      <c r="N33" s="365"/>
      <c r="O33" s="420">
        <f>-Data!G257</f>
        <v>688313</v>
      </c>
      <c r="P33" s="48"/>
      <c r="Q33" s="377">
        <f>-Data!G259</f>
        <v>204818</v>
      </c>
      <c r="R33" s="52"/>
      <c r="S33" s="421">
        <f>(Data!G96+Data!G98)</f>
        <v>-854</v>
      </c>
      <c r="T33" s="422">
        <f>-Data!G278-Data!G279</f>
        <v>78</v>
      </c>
      <c r="U33" s="62"/>
      <c r="V33" s="52"/>
      <c r="W33" s="52"/>
      <c r="X33" s="52"/>
      <c r="Y33" s="52"/>
      <c r="Z33" s="52"/>
      <c r="AA33" s="52"/>
      <c r="AB33" s="52"/>
      <c r="AC33" s="65"/>
      <c r="AD33" s="51"/>
      <c r="AE33" s="430"/>
      <c r="AF33" s="365"/>
      <c r="AG33" s="66"/>
      <c r="AH33" s="52"/>
      <c r="AI33" s="365"/>
      <c r="AJ33" s="365"/>
      <c r="AK33" s="52"/>
      <c r="AL33" s="195">
        <f>SUM(AG5:AG29)-SUM(E33:AC33)</f>
        <v>-1168921</v>
      </c>
      <c r="AM33" s="53">
        <f t="shared" si="1"/>
        <v>0</v>
      </c>
      <c r="AO33" s="9" t="s">
        <v>29</v>
      </c>
    </row>
    <row r="34" spans="1:41" s="9" customFormat="1" ht="25.5" x14ac:dyDescent="0.25">
      <c r="A34" s="439" t="s">
        <v>185</v>
      </c>
      <c r="B34" s="353" t="s">
        <v>13</v>
      </c>
      <c r="C34" s="353"/>
      <c r="D34" s="351" t="s">
        <v>176</v>
      </c>
      <c r="E34" s="52"/>
      <c r="F34" s="365"/>
      <c r="G34" s="52"/>
      <c r="H34" s="423">
        <f>Data!G364+Data!G369</f>
        <v>76237</v>
      </c>
      <c r="I34" s="365"/>
      <c r="J34" s="47"/>
      <c r="K34" s="47"/>
      <c r="L34" s="47"/>
      <c r="M34" s="52"/>
      <c r="N34" s="365"/>
      <c r="O34" s="52"/>
      <c r="P34" s="52"/>
      <c r="Q34" s="52"/>
      <c r="R34" s="52"/>
      <c r="S34" s="52"/>
      <c r="T34" s="52"/>
      <c r="U34" s="369"/>
      <c r="V34" s="377">
        <f>-Data!G305</f>
        <v>0</v>
      </c>
      <c r="W34" s="377">
        <f>-(+Data!G328)</f>
        <v>0</v>
      </c>
      <c r="X34" s="52"/>
      <c r="Y34" s="52"/>
      <c r="Z34" s="52"/>
      <c r="AA34" s="52"/>
      <c r="AB34" s="64"/>
      <c r="AC34" s="64"/>
      <c r="AD34" s="51"/>
      <c r="AE34" s="430"/>
      <c r="AF34" s="365"/>
      <c r="AG34" s="52"/>
      <c r="AH34" s="52"/>
      <c r="AI34" s="365"/>
      <c r="AJ34" s="365"/>
      <c r="AK34" s="52"/>
      <c r="AL34" s="195">
        <f>SUM(AH5:AH29)-SUM(E34:AC34)</f>
        <v>933763</v>
      </c>
      <c r="AM34" s="53">
        <f t="shared" si="1"/>
        <v>1010000</v>
      </c>
    </row>
    <row r="35" spans="1:41" s="9" customFormat="1" x14ac:dyDescent="0.25">
      <c r="A35" s="443"/>
      <c r="B35" s="353" t="s">
        <v>196</v>
      </c>
      <c r="C35" s="353"/>
      <c r="D35" s="348" t="s">
        <v>77</v>
      </c>
      <c r="E35" s="411"/>
      <c r="F35" s="365"/>
      <c r="G35" s="365"/>
      <c r="H35" s="424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9"/>
      <c r="V35" s="369"/>
      <c r="W35" s="369"/>
      <c r="X35" s="365"/>
      <c r="Y35" s="365"/>
      <c r="Z35" s="365"/>
      <c r="AA35" s="365"/>
      <c r="AB35" s="392"/>
      <c r="AC35" s="392"/>
      <c r="AD35" s="375"/>
      <c r="AE35" s="430"/>
      <c r="AF35" s="365"/>
      <c r="AG35" s="365"/>
      <c r="AH35" s="365"/>
      <c r="AI35" s="365"/>
      <c r="AJ35" s="365"/>
      <c r="AK35" s="365"/>
      <c r="AL35" s="195">
        <f>SUM(AI5:AI29)-SUM(E35:AC35)</f>
        <v>0</v>
      </c>
      <c r="AM35" s="417">
        <f t="shared" si="1"/>
        <v>0</v>
      </c>
    </row>
    <row r="36" spans="1:41" s="9" customFormat="1" x14ac:dyDescent="0.25">
      <c r="A36" s="466" t="s">
        <v>186</v>
      </c>
      <c r="B36" s="353" t="s">
        <v>61</v>
      </c>
      <c r="C36" s="353"/>
      <c r="D36" s="348" t="s">
        <v>81</v>
      </c>
      <c r="E36" s="411"/>
      <c r="F36" s="365"/>
      <c r="G36" s="365"/>
      <c r="H36" s="424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69"/>
      <c r="X36" s="52"/>
      <c r="Y36" s="52"/>
      <c r="Z36" s="52"/>
      <c r="AA36" s="52"/>
      <c r="AB36" s="64"/>
      <c r="AC36" s="64"/>
      <c r="AD36" s="51"/>
      <c r="AE36" s="430"/>
      <c r="AF36" s="365"/>
      <c r="AG36" s="52"/>
      <c r="AH36" s="52"/>
      <c r="AI36" s="365"/>
      <c r="AJ36" s="365"/>
      <c r="AK36" s="52"/>
      <c r="AL36" s="195">
        <f>SUM(AJ5:AJ29)-SUM(E36:AC36)</f>
        <v>0</v>
      </c>
      <c r="AM36" s="53">
        <f t="shared" si="1"/>
        <v>0</v>
      </c>
    </row>
    <row r="37" spans="1:41" s="9" customFormat="1" x14ac:dyDescent="0.25">
      <c r="A37" s="467"/>
      <c r="B37" s="353" t="s">
        <v>216</v>
      </c>
      <c r="C37" s="353"/>
      <c r="D37" s="351" t="s">
        <v>45</v>
      </c>
      <c r="E37" s="52"/>
      <c r="F37" s="365"/>
      <c r="G37" s="52"/>
      <c r="H37" s="418">
        <f>-Data!G369</f>
        <v>-5642</v>
      </c>
      <c r="I37" s="365"/>
      <c r="J37" s="47"/>
      <c r="K37" s="47"/>
      <c r="L37" s="47"/>
      <c r="M37" s="52"/>
      <c r="N37" s="365"/>
      <c r="O37" s="52"/>
      <c r="P37" s="52"/>
      <c r="Q37" s="52"/>
      <c r="R37" s="52"/>
      <c r="S37" s="52"/>
      <c r="T37" s="52"/>
      <c r="U37" s="369"/>
      <c r="V37" s="369"/>
      <c r="W37" s="421">
        <f>-Data!G323</f>
        <v>0</v>
      </c>
      <c r="X37" s="52"/>
      <c r="Y37" s="52"/>
      <c r="Z37" s="52"/>
      <c r="AA37" s="52"/>
      <c r="AB37" s="64"/>
      <c r="AC37" s="64"/>
      <c r="AD37" s="51"/>
      <c r="AE37" s="430"/>
      <c r="AF37" s="365"/>
      <c r="AG37" s="52"/>
      <c r="AH37" s="52"/>
      <c r="AI37" s="365"/>
      <c r="AJ37" s="365"/>
      <c r="AK37" s="52"/>
      <c r="AL37" s="195">
        <f>SUM(AK5:AK29)-SUM(E37:AC37)</f>
        <v>37055</v>
      </c>
      <c r="AM37" s="53">
        <f t="shared" si="1"/>
        <v>31413</v>
      </c>
    </row>
    <row r="38" spans="1:41" s="9" customFormat="1" x14ac:dyDescent="0.25">
      <c r="A38" s="351" t="s">
        <v>187</v>
      </c>
      <c r="B38" s="5" t="s">
        <v>63</v>
      </c>
      <c r="C38" s="353"/>
      <c r="D38" s="351" t="s">
        <v>62</v>
      </c>
      <c r="E38" s="47"/>
      <c r="F38" s="365"/>
      <c r="G38" s="47"/>
      <c r="H38" s="47"/>
      <c r="I38" s="365"/>
      <c r="J38" s="47"/>
      <c r="K38" s="47"/>
      <c r="L38" s="47"/>
      <c r="M38" s="47"/>
      <c r="N38" s="365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25">
        <f>+AA28-AB27</f>
        <v>-2401096</v>
      </c>
      <c r="AC38" s="410">
        <f>+AA29-AC27</f>
        <v>3138783</v>
      </c>
      <c r="AD38" s="70"/>
      <c r="AE38" s="430"/>
      <c r="AF38" s="365"/>
      <c r="AG38" s="47"/>
      <c r="AH38" s="47"/>
      <c r="AI38" s="365"/>
      <c r="AJ38" s="365"/>
      <c r="AK38" s="47"/>
      <c r="AL38" s="47"/>
      <c r="AM38" s="47">
        <f t="shared" ref="AM38:AM39" si="2">SUM(E38:AK38)</f>
        <v>737687</v>
      </c>
    </row>
    <row r="39" spans="1:41" s="9" customFormat="1" x14ac:dyDescent="0.25">
      <c r="A39" s="1" t="s">
        <v>188</v>
      </c>
      <c r="B39" s="354" t="s">
        <v>197</v>
      </c>
      <c r="C39" s="352"/>
      <c r="D39" s="354" t="s">
        <v>46</v>
      </c>
      <c r="E39" s="72">
        <f t="shared" ref="E39:AA39" si="3">SUM(E5:E37)</f>
        <v>7311301</v>
      </c>
      <c r="F39" s="371">
        <f t="shared" si="3"/>
        <v>0</v>
      </c>
      <c r="G39" s="50">
        <f t="shared" si="3"/>
        <v>2888448</v>
      </c>
      <c r="H39" s="50">
        <f t="shared" si="3"/>
        <v>70595</v>
      </c>
      <c r="I39" s="371">
        <f t="shared" si="3"/>
        <v>0</v>
      </c>
      <c r="J39" s="72">
        <f t="shared" si="3"/>
        <v>2864569</v>
      </c>
      <c r="K39" s="72">
        <f t="shared" si="3"/>
        <v>6833319</v>
      </c>
      <c r="L39" s="72">
        <f t="shared" si="3"/>
        <v>3508320</v>
      </c>
      <c r="M39" s="72">
        <f t="shared" si="3"/>
        <v>2688153</v>
      </c>
      <c r="N39" s="371">
        <f t="shared" si="3"/>
        <v>0</v>
      </c>
      <c r="O39" s="72">
        <f t="shared" si="3"/>
        <v>688313</v>
      </c>
      <c r="P39" s="72">
        <f t="shared" si="3"/>
        <v>0</v>
      </c>
      <c r="Q39" s="72">
        <f t="shared" si="3"/>
        <v>204818</v>
      </c>
      <c r="R39" s="72">
        <f t="shared" si="3"/>
        <v>-72964</v>
      </c>
      <c r="S39" s="72">
        <f t="shared" si="3"/>
        <v>755</v>
      </c>
      <c r="T39" s="72">
        <f t="shared" si="3"/>
        <v>-544360</v>
      </c>
      <c r="U39" s="72">
        <f t="shared" si="3"/>
        <v>414781</v>
      </c>
      <c r="V39" s="72">
        <f t="shared" si="3"/>
        <v>339781</v>
      </c>
      <c r="W39" s="72">
        <f>SUM(W5:W37)</f>
        <v>381194</v>
      </c>
      <c r="X39" s="72">
        <f t="shared" si="3"/>
        <v>376731</v>
      </c>
      <c r="Y39" s="72">
        <f t="shared" si="3"/>
        <v>23879</v>
      </c>
      <c r="Z39" s="72">
        <f t="shared" si="3"/>
        <v>75595</v>
      </c>
      <c r="AA39" s="72">
        <f t="shared" si="3"/>
        <v>2304261</v>
      </c>
      <c r="AB39" s="73">
        <f>SUM(AB5:AB38)</f>
        <v>-428007</v>
      </c>
      <c r="AC39" s="73">
        <f>SUM(AC5:AC38)</f>
        <v>2732268</v>
      </c>
      <c r="AD39" s="73">
        <f>SUM(AD5:AD38)</f>
        <v>7380020</v>
      </c>
      <c r="AE39" s="436">
        <f t="shared" ref="AE39:AL39" si="4">SUM(AE5:AE38)</f>
        <v>0</v>
      </c>
      <c r="AF39" s="426">
        <f>SUM(AF5:AF38)</f>
        <v>0</v>
      </c>
      <c r="AG39" s="73">
        <f t="shared" si="4"/>
        <v>0</v>
      </c>
      <c r="AH39" s="73">
        <f t="shared" si="4"/>
        <v>1010000</v>
      </c>
      <c r="AI39" s="426">
        <f t="shared" si="4"/>
        <v>0</v>
      </c>
      <c r="AJ39" s="426">
        <f t="shared" si="4"/>
        <v>0</v>
      </c>
      <c r="AK39" s="73">
        <f t="shared" si="4"/>
        <v>31413</v>
      </c>
      <c r="AL39" s="73">
        <f t="shared" si="4"/>
        <v>737687</v>
      </c>
      <c r="AM39" s="47">
        <f t="shared" si="2"/>
        <v>41083183</v>
      </c>
    </row>
    <row r="40" spans="1:41" s="9" customFormat="1" x14ac:dyDescent="0.25">
      <c r="B40" s="3"/>
      <c r="C40" s="3"/>
      <c r="D40" s="13"/>
      <c r="E40" s="14"/>
      <c r="F40" s="14"/>
      <c r="G40" s="32"/>
      <c r="H40" s="32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32"/>
      <c r="AG40" s="14"/>
      <c r="AH40" s="14"/>
      <c r="AI40" s="14"/>
      <c r="AJ40" s="32"/>
      <c r="AK40" s="14"/>
      <c r="AL40" s="14"/>
      <c r="AM40" s="14"/>
    </row>
    <row r="41" spans="1:41" s="15" customFormat="1" x14ac:dyDescent="0.25">
      <c r="B41" s="16"/>
      <c r="D41" s="16" t="s">
        <v>447</v>
      </c>
      <c r="E41" s="18">
        <f>E39-AM5</f>
        <v>0</v>
      </c>
      <c r="F41" s="18">
        <f>F39-AM6</f>
        <v>0</v>
      </c>
      <c r="G41" s="33">
        <f>G39-AM7</f>
        <v>0</v>
      </c>
      <c r="H41" s="33">
        <f>H39-AM8</f>
        <v>0</v>
      </c>
      <c r="I41" s="18">
        <f>I39-AM9</f>
        <v>0</v>
      </c>
      <c r="J41" s="18">
        <f>J39-AM10</f>
        <v>0</v>
      </c>
      <c r="K41" s="18">
        <f>K39-AM11</f>
        <v>0</v>
      </c>
      <c r="L41" s="18">
        <f>L39-AM12</f>
        <v>0</v>
      </c>
      <c r="M41" s="18">
        <f>M39-AM13</f>
        <v>0</v>
      </c>
      <c r="N41" s="18">
        <f>N39-AM14</f>
        <v>0</v>
      </c>
      <c r="O41" s="18">
        <f>O39-AM15</f>
        <v>0</v>
      </c>
      <c r="P41" s="18">
        <f>P39-AM16</f>
        <v>0</v>
      </c>
      <c r="Q41" s="18">
        <f>Q39-AM17</f>
        <v>0</v>
      </c>
      <c r="R41" s="18">
        <f>R39-AM18</f>
        <v>0</v>
      </c>
      <c r="S41" s="18">
        <f>S39-AM19</f>
        <v>0</v>
      </c>
      <c r="T41" s="18">
        <f>T39-AM20</f>
        <v>0</v>
      </c>
      <c r="U41" s="18">
        <f>U39-AM21</f>
        <v>0</v>
      </c>
      <c r="V41" s="18">
        <f>V39-AM22</f>
        <v>0</v>
      </c>
      <c r="W41" s="18">
        <f>W39-AM23</f>
        <v>0</v>
      </c>
      <c r="X41" s="18">
        <f>X39-AM24</f>
        <v>0</v>
      </c>
      <c r="Y41" s="18">
        <f>Y39-AM25</f>
        <v>0</v>
      </c>
      <c r="Z41" s="18">
        <f>Z39-AM26</f>
        <v>0</v>
      </c>
      <c r="AA41" s="18">
        <f>AA39-AM27</f>
        <v>0</v>
      </c>
      <c r="AB41" s="18">
        <f>AB39-AM28</f>
        <v>0</v>
      </c>
      <c r="AC41" s="18">
        <f>AC39-AM29</f>
        <v>0</v>
      </c>
      <c r="AD41" s="18">
        <f>AD39-AM30</f>
        <v>0</v>
      </c>
      <c r="AE41" s="18">
        <f>AE39-AM31</f>
        <v>0</v>
      </c>
      <c r="AF41" s="33">
        <f>+AF39-AM32</f>
        <v>0</v>
      </c>
      <c r="AG41" s="18">
        <f>AG39-AM33</f>
        <v>0</v>
      </c>
      <c r="AH41" s="18">
        <f>AH39-AM34</f>
        <v>0</v>
      </c>
      <c r="AI41" s="18">
        <f>AI39-AM35</f>
        <v>0</v>
      </c>
      <c r="AJ41" s="33">
        <f>AJ39-AM36</f>
        <v>0</v>
      </c>
      <c r="AK41" s="18">
        <f>AK39-AM37</f>
        <v>0</v>
      </c>
      <c r="AL41" s="18">
        <f>AL39-AM38</f>
        <v>0</v>
      </c>
      <c r="AM41" s="19"/>
    </row>
    <row r="42" spans="1:41" s="15" customFormat="1" x14ac:dyDescent="0.25">
      <c r="B42" s="16"/>
      <c r="C42" s="16"/>
      <c r="D42" s="17"/>
      <c r="E42" s="19"/>
      <c r="F42" s="20"/>
      <c r="G42" s="20"/>
      <c r="H42" s="20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21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20"/>
      <c r="AG42" s="19"/>
      <c r="AH42" s="19"/>
      <c r="AI42" s="19"/>
      <c r="AJ42" s="19"/>
      <c r="AK42" s="19"/>
      <c r="AL42" s="19"/>
      <c r="AM42" s="19"/>
    </row>
    <row r="43" spans="1:41" s="15" customFormat="1" x14ac:dyDescent="0.25">
      <c r="A43" s="178"/>
      <c r="B43" s="179"/>
      <c r="C43" s="180"/>
      <c r="D43" s="181"/>
      <c r="E43" s="19"/>
      <c r="F43" s="20"/>
      <c r="G43" s="20"/>
      <c r="H43" s="20"/>
      <c r="I43" s="19"/>
      <c r="J43" s="19"/>
      <c r="K43" s="19"/>
      <c r="L43" s="19"/>
      <c r="M43" s="19"/>
      <c r="N43" s="19"/>
      <c r="O43" s="19"/>
      <c r="P43" s="19"/>
      <c r="Q43" s="7"/>
      <c r="R43" s="7"/>
      <c r="S43" s="7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20"/>
      <c r="AG43" s="19"/>
      <c r="AH43" s="19"/>
      <c r="AI43" s="19"/>
      <c r="AJ43" s="19"/>
      <c r="AK43" s="19"/>
      <c r="AL43" s="19"/>
      <c r="AM43" s="19"/>
    </row>
    <row r="44" spans="1:41" s="15" customFormat="1" x14ac:dyDescent="0.25">
      <c r="A44" s="178"/>
      <c r="B44" s="179"/>
      <c r="C44" s="179"/>
      <c r="D44" s="182"/>
      <c r="E44" s="19"/>
      <c r="F44" s="20"/>
      <c r="G44" s="20"/>
      <c r="H44" s="20"/>
      <c r="I44" s="19"/>
      <c r="J44" s="19"/>
      <c r="K44" s="19"/>
      <c r="L44" s="19"/>
      <c r="M44" s="19"/>
      <c r="N44" s="19"/>
      <c r="O44" s="19"/>
      <c r="P44" s="19"/>
      <c r="Q44" s="7"/>
      <c r="R44" s="22"/>
      <c r="S44" s="7"/>
      <c r="T44" s="19"/>
      <c r="U44" s="19"/>
      <c r="V44" s="23"/>
      <c r="W44" s="23"/>
      <c r="X44" s="23"/>
      <c r="Y44" s="23"/>
      <c r="Z44" s="24"/>
      <c r="AA44" s="24"/>
      <c r="AB44" s="19"/>
      <c r="AC44" s="19"/>
      <c r="AD44" s="19"/>
      <c r="AE44" s="19"/>
      <c r="AF44" s="20"/>
      <c r="AG44" s="19"/>
      <c r="AH44" s="19"/>
      <c r="AI44" s="19"/>
      <c r="AJ44" s="19"/>
      <c r="AK44" s="19"/>
      <c r="AL44" s="19"/>
      <c r="AM44" s="19"/>
    </row>
    <row r="45" spans="1:41" x14ac:dyDescent="0.25">
      <c r="A45" s="24"/>
      <c r="B45" s="24"/>
      <c r="C45" s="24"/>
      <c r="D45" s="2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T45" s="25"/>
      <c r="U45" s="25"/>
      <c r="V45" s="26"/>
      <c r="W45" s="26"/>
      <c r="X45" s="26"/>
      <c r="Y45" s="26"/>
      <c r="Z45" s="24"/>
      <c r="AA45" s="24"/>
      <c r="AB45" s="25"/>
      <c r="AC45" s="25"/>
      <c r="AD45" s="25"/>
      <c r="AE45" s="25"/>
      <c r="AF45" s="34"/>
      <c r="AG45" s="25"/>
      <c r="AH45" s="25"/>
      <c r="AI45" s="25"/>
      <c r="AJ45" s="25"/>
      <c r="AK45" s="25"/>
      <c r="AL45" s="25"/>
      <c r="AM45" s="25"/>
    </row>
    <row r="46" spans="1:41" x14ac:dyDescent="0.25">
      <c r="A46" s="24"/>
      <c r="B46" s="24"/>
      <c r="C46" s="24"/>
      <c r="D46" s="24"/>
      <c r="Q46" s="22"/>
      <c r="S46" s="22"/>
      <c r="V46" s="26"/>
      <c r="W46" s="26"/>
      <c r="X46" s="26"/>
      <c r="Y46" s="26"/>
      <c r="Z46" s="24"/>
      <c r="AA46" s="24"/>
      <c r="AG46" s="27"/>
      <c r="AH46" s="28"/>
      <c r="AI46" s="28"/>
      <c r="AJ46" s="28"/>
      <c r="AK46" s="28"/>
      <c r="AL46" s="28"/>
    </row>
    <row r="47" spans="1:41" x14ac:dyDescent="0.25">
      <c r="A47" s="24"/>
      <c r="B47" s="24"/>
      <c r="C47" s="24"/>
      <c r="D47" s="24"/>
      <c r="J47" s="29"/>
      <c r="V47" s="26"/>
      <c r="W47" s="26"/>
      <c r="X47" s="26"/>
      <c r="Y47" s="26"/>
      <c r="Z47" s="24"/>
      <c r="AA47" s="24"/>
      <c r="AG47" s="27"/>
      <c r="AH47" s="6"/>
      <c r="AI47" s="6"/>
      <c r="AJ47" s="6"/>
      <c r="AK47" s="6"/>
      <c r="AL47" s="6"/>
    </row>
    <row r="48" spans="1:41" x14ac:dyDescent="0.25">
      <c r="A48" s="24"/>
      <c r="B48" s="24"/>
      <c r="C48" s="24"/>
      <c r="D48" s="24"/>
      <c r="V48" s="26"/>
      <c r="W48" s="26"/>
      <c r="X48" s="26"/>
      <c r="Y48" s="26"/>
      <c r="Z48" s="24"/>
      <c r="AA48" s="24"/>
      <c r="AD48" s="22"/>
    </row>
    <row r="49" spans="1:30" x14ac:dyDescent="0.25">
      <c r="A49" s="183"/>
      <c r="B49" s="24"/>
      <c r="C49" s="184"/>
      <c r="D49" s="24"/>
      <c r="V49" s="26"/>
      <c r="W49" s="26"/>
      <c r="X49" s="26"/>
      <c r="Y49" s="26"/>
      <c r="Z49" s="24"/>
      <c r="AA49" s="24"/>
      <c r="AD49" s="22"/>
    </row>
    <row r="50" spans="1:30" x14ac:dyDescent="0.25">
      <c r="J50" s="30"/>
      <c r="V50" s="26"/>
      <c r="W50" s="26"/>
      <c r="X50" s="26"/>
      <c r="Y50" s="26"/>
      <c r="Z50" s="24"/>
      <c r="AA50" s="24"/>
      <c r="AD50" s="22"/>
    </row>
    <row r="51" spans="1:30" x14ac:dyDescent="0.25">
      <c r="V51" s="23"/>
      <c r="W51" s="23"/>
      <c r="X51" s="23"/>
      <c r="Y51" s="23"/>
      <c r="Z51" s="24"/>
      <c r="AA51" s="24"/>
    </row>
  </sheetData>
  <mergeCells count="26">
    <mergeCell ref="A36:A37"/>
    <mergeCell ref="A22:A24"/>
    <mergeCell ref="A25:A27"/>
    <mergeCell ref="A28:A29"/>
    <mergeCell ref="A30:A31"/>
    <mergeCell ref="A32:A33"/>
    <mergeCell ref="A34:A35"/>
    <mergeCell ref="A5:A10"/>
    <mergeCell ref="B5:B6"/>
    <mergeCell ref="B7:B8"/>
    <mergeCell ref="B9:B10"/>
    <mergeCell ref="A13:A18"/>
    <mergeCell ref="B13:B16"/>
    <mergeCell ref="AF1:AG1"/>
    <mergeCell ref="AH1:AI1"/>
    <mergeCell ref="AJ1:AK1"/>
    <mergeCell ref="E2:F2"/>
    <mergeCell ref="G2:H2"/>
    <mergeCell ref="I2:J2"/>
    <mergeCell ref="M2:P2"/>
    <mergeCell ref="E1:J1"/>
    <mergeCell ref="M1:R1"/>
    <mergeCell ref="V1:X1"/>
    <mergeCell ref="Y1:AA1"/>
    <mergeCell ref="AB1:AC1"/>
    <mergeCell ref="AD1:A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topLeftCell="A67" zoomScale="130" zoomScaleNormal="130" workbookViewId="0">
      <selection activeCell="C3" sqref="C3"/>
    </sheetView>
  </sheetViews>
  <sheetFormatPr baseColWidth="10" defaultRowHeight="15" x14ac:dyDescent="0.25"/>
  <cols>
    <col min="1" max="1" width="31.140625" customWidth="1"/>
    <col min="2" max="3" width="8.28515625" bestFit="1" customWidth="1"/>
    <col min="4" max="4" width="7.28515625" customWidth="1"/>
    <col min="5" max="7" width="4.42578125" bestFit="1" customWidth="1"/>
    <col min="8" max="9" width="6.42578125" bestFit="1" customWidth="1"/>
    <col min="10" max="12" width="6.5703125" bestFit="1" customWidth="1"/>
  </cols>
  <sheetData>
    <row r="2" spans="1:12" x14ac:dyDescent="0.25">
      <c r="A2" s="156" t="s">
        <v>63</v>
      </c>
      <c r="B2" s="156">
        <v>2011</v>
      </c>
      <c r="C2" s="156">
        <v>2012</v>
      </c>
      <c r="D2" s="156">
        <v>2013</v>
      </c>
      <c r="E2" s="157">
        <v>2011</v>
      </c>
      <c r="F2" s="157">
        <v>2012</v>
      </c>
      <c r="G2" s="157">
        <v>2013</v>
      </c>
      <c r="H2" s="155" t="s">
        <v>228</v>
      </c>
      <c r="I2" s="155" t="s">
        <v>229</v>
      </c>
      <c r="J2" s="155" t="s">
        <v>265</v>
      </c>
      <c r="K2" s="155" t="s">
        <v>266</v>
      </c>
      <c r="L2" s="155" t="s">
        <v>267</v>
      </c>
    </row>
    <row r="3" spans="1:12" ht="25.5" x14ac:dyDescent="0.25">
      <c r="A3" s="152" t="s">
        <v>73</v>
      </c>
      <c r="B3" s="154">
        <f>+MdBAM_2011!AL30</f>
        <v>2522910</v>
      </c>
      <c r="C3" s="154">
        <f>+MdBAM_2012!AL30</f>
        <v>1714916</v>
      </c>
      <c r="D3" s="154">
        <f>+MdBAM_2012!AN30</f>
        <v>0</v>
      </c>
      <c r="E3" s="158">
        <f t="shared" ref="E3:E11" si="0">B3/B$11</f>
        <v>2.204246492999979</v>
      </c>
      <c r="F3" s="158" t="e">
        <f t="shared" ref="F3:F11" si="1">C3/C$11</f>
        <v>#REF!</v>
      </c>
      <c r="G3" s="158" t="e">
        <f t="shared" ref="G3:G11" si="2">D3/D$11</f>
        <v>#REF!</v>
      </c>
      <c r="H3" s="158">
        <f>(C3-$B3)/$B3</f>
        <v>-0.32026271250262595</v>
      </c>
      <c r="I3" s="158">
        <f>(D3-$B3)/$B3</f>
        <v>-1</v>
      </c>
      <c r="J3" s="154">
        <f>C3-B3</f>
        <v>-807994</v>
      </c>
      <c r="K3" s="154">
        <f>D3-C3</f>
        <v>-1714916</v>
      </c>
      <c r="L3" s="154">
        <f>D3-B3</f>
        <v>-2522910</v>
      </c>
    </row>
    <row r="4" spans="1:12" ht="20.45" customHeight="1" x14ac:dyDescent="0.25">
      <c r="A4" s="152" t="s">
        <v>71</v>
      </c>
      <c r="B4" s="154">
        <f>+MdBAM_2011!AL31</f>
        <v>0</v>
      </c>
      <c r="C4" s="154" t="e">
        <f>+#REF!</f>
        <v>#REF!</v>
      </c>
      <c r="D4" s="154" t="e">
        <f>+#REF!</f>
        <v>#REF!</v>
      </c>
      <c r="E4" s="158">
        <f t="shared" si="0"/>
        <v>0</v>
      </c>
      <c r="F4" s="158" t="e">
        <f t="shared" si="1"/>
        <v>#REF!</v>
      </c>
      <c r="G4" s="158" t="e">
        <f t="shared" si="2"/>
        <v>#REF!</v>
      </c>
      <c r="H4" s="158" t="e">
        <f>(C4-$B4)/$B4</f>
        <v>#REF!</v>
      </c>
      <c r="I4" s="158" t="e">
        <f>(D4-$B4)/$B4</f>
        <v>#REF!</v>
      </c>
      <c r="J4" s="154" t="e">
        <f t="shared" ref="J4:J11" si="3">C4-B4</f>
        <v>#REF!</v>
      </c>
      <c r="K4" s="154" t="e">
        <f t="shared" ref="K4:K11" si="4">D4-C4</f>
        <v>#REF!</v>
      </c>
      <c r="L4" s="154" t="e">
        <f t="shared" ref="L4:L11" si="5">D4-B4</f>
        <v>#REF!</v>
      </c>
    </row>
    <row r="5" spans="1:12" ht="25.5" x14ac:dyDescent="0.25">
      <c r="A5" s="152" t="s">
        <v>82</v>
      </c>
      <c r="B5" s="154">
        <f>+MdBAM_2011!AL32</f>
        <v>0</v>
      </c>
      <c r="C5" s="154" t="e">
        <f>+#REF!</f>
        <v>#REF!</v>
      </c>
      <c r="D5" s="154" t="e">
        <f>+#REF!</f>
        <v>#REF!</v>
      </c>
      <c r="E5" s="158">
        <f t="shared" si="0"/>
        <v>0</v>
      </c>
      <c r="F5" s="158" t="e">
        <f t="shared" si="1"/>
        <v>#REF!</v>
      </c>
      <c r="G5" s="158" t="e">
        <f t="shared" si="2"/>
        <v>#REF!</v>
      </c>
      <c r="H5" s="158"/>
      <c r="I5" s="158"/>
      <c r="J5" s="154" t="e">
        <f t="shared" si="3"/>
        <v>#REF!</v>
      </c>
      <c r="K5" s="154" t="e">
        <f t="shared" si="4"/>
        <v>#REF!</v>
      </c>
      <c r="L5" s="154" t="e">
        <f t="shared" si="5"/>
        <v>#REF!</v>
      </c>
    </row>
    <row r="6" spans="1:12" ht="20.45" customHeight="1" x14ac:dyDescent="0.25">
      <c r="A6" s="152" t="s">
        <v>72</v>
      </c>
      <c r="B6" s="154">
        <f>+MdBAM_2011!AL33</f>
        <v>-1207012</v>
      </c>
      <c r="C6" s="154" t="e">
        <f>+#REF!</f>
        <v>#REF!</v>
      </c>
      <c r="D6" s="154" t="e">
        <f>+#REF!</f>
        <v>#REF!</v>
      </c>
      <c r="E6" s="158">
        <f t="shared" si="0"/>
        <v>-1.0545568284278435</v>
      </c>
      <c r="F6" s="158" t="e">
        <f t="shared" si="1"/>
        <v>#REF!</v>
      </c>
      <c r="G6" s="158" t="e">
        <f t="shared" si="2"/>
        <v>#REF!</v>
      </c>
      <c r="H6" s="158" t="e">
        <f>(C6-$B6)/$B6</f>
        <v>#REF!</v>
      </c>
      <c r="I6" s="158" t="e">
        <f>(D6-$B6)/$B6</f>
        <v>#REF!</v>
      </c>
      <c r="J6" s="154" t="e">
        <f t="shared" si="3"/>
        <v>#REF!</v>
      </c>
      <c r="K6" s="154" t="e">
        <f t="shared" si="4"/>
        <v>#REF!</v>
      </c>
      <c r="L6" s="154" t="e">
        <f t="shared" si="5"/>
        <v>#REF!</v>
      </c>
    </row>
    <row r="7" spans="1:12" ht="25.5" x14ac:dyDescent="0.25">
      <c r="A7" s="152" t="s">
        <v>259</v>
      </c>
      <c r="B7" s="154">
        <f>+MdBAM_2011!AL34</f>
        <v>-227228</v>
      </c>
      <c r="C7" s="154" t="e">
        <f>+#REF!</f>
        <v>#REF!</v>
      </c>
      <c r="D7" s="154" t="e">
        <f>+#REF!</f>
        <v>#REF!</v>
      </c>
      <c r="E7" s="158">
        <f t="shared" si="0"/>
        <v>-0.19852730462497642</v>
      </c>
      <c r="F7" s="158" t="e">
        <f t="shared" si="1"/>
        <v>#REF!</v>
      </c>
      <c r="G7" s="158" t="e">
        <f t="shared" si="2"/>
        <v>#REF!</v>
      </c>
      <c r="H7" s="158" t="e">
        <f>(C7-$B7)/$B7</f>
        <v>#REF!</v>
      </c>
      <c r="I7" s="158" t="e">
        <f>(D7-$B7)/$B7</f>
        <v>#REF!</v>
      </c>
      <c r="J7" s="154" t="e">
        <f t="shared" si="3"/>
        <v>#REF!</v>
      </c>
      <c r="K7" s="154" t="e">
        <f t="shared" si="4"/>
        <v>#REF!</v>
      </c>
      <c r="L7" s="154" t="e">
        <f t="shared" si="5"/>
        <v>#REF!</v>
      </c>
    </row>
    <row r="8" spans="1:12" ht="20.45" customHeight="1" x14ac:dyDescent="0.25">
      <c r="A8" s="152" t="s">
        <v>74</v>
      </c>
      <c r="B8" s="154">
        <f>+MdBAM_2011!AL35</f>
        <v>0</v>
      </c>
      <c r="C8" s="154" t="e">
        <f>+#REF!</f>
        <v>#REF!</v>
      </c>
      <c r="D8" s="154" t="e">
        <f>+#REF!</f>
        <v>#REF!</v>
      </c>
      <c r="E8" s="158">
        <f t="shared" si="0"/>
        <v>0</v>
      </c>
      <c r="F8" s="158" t="e">
        <f t="shared" si="1"/>
        <v>#REF!</v>
      </c>
      <c r="G8" s="158" t="e">
        <f t="shared" si="2"/>
        <v>#REF!</v>
      </c>
      <c r="H8" s="158"/>
      <c r="I8" s="158"/>
      <c r="J8" s="154" t="e">
        <f t="shared" si="3"/>
        <v>#REF!</v>
      </c>
      <c r="K8" s="154" t="e">
        <f t="shared" si="4"/>
        <v>#REF!</v>
      </c>
      <c r="L8" s="154" t="e">
        <f t="shared" si="5"/>
        <v>#REF!</v>
      </c>
    </row>
    <row r="9" spans="1:12" ht="25.5" x14ac:dyDescent="0.25">
      <c r="A9" s="152" t="s">
        <v>75</v>
      </c>
      <c r="B9" s="154">
        <f>+MdBAM_2011!AL36</f>
        <v>0</v>
      </c>
      <c r="C9" s="154" t="e">
        <f>+#REF!</f>
        <v>#REF!</v>
      </c>
      <c r="D9" s="154" t="e">
        <f>+#REF!</f>
        <v>#REF!</v>
      </c>
      <c r="E9" s="158">
        <f t="shared" si="0"/>
        <v>0</v>
      </c>
      <c r="F9" s="158" t="e">
        <f t="shared" si="1"/>
        <v>#REF!</v>
      </c>
      <c r="G9" s="158" t="e">
        <f t="shared" si="2"/>
        <v>#REF!</v>
      </c>
      <c r="H9" s="158"/>
      <c r="I9" s="158"/>
      <c r="J9" s="154" t="e">
        <f t="shared" si="3"/>
        <v>#REF!</v>
      </c>
      <c r="K9" s="154" t="e">
        <f t="shared" si="4"/>
        <v>#REF!</v>
      </c>
      <c r="L9" s="154" t="e">
        <f t="shared" si="5"/>
        <v>#REF!</v>
      </c>
    </row>
    <row r="10" spans="1:12" ht="20.45" customHeight="1" x14ac:dyDescent="0.25">
      <c r="A10" s="152" t="s">
        <v>75</v>
      </c>
      <c r="B10" s="154">
        <f>+MdBAM_2011!AL37</f>
        <v>55898</v>
      </c>
      <c r="C10" s="154" t="e">
        <f>+#REF!</f>
        <v>#REF!</v>
      </c>
      <c r="D10" s="154" t="e">
        <f>+#REF!</f>
        <v>#REF!</v>
      </c>
      <c r="E10" s="158">
        <f t="shared" si="0"/>
        <v>4.88376400528409E-2</v>
      </c>
      <c r="F10" s="158" t="e">
        <f t="shared" si="1"/>
        <v>#REF!</v>
      </c>
      <c r="G10" s="158" t="e">
        <f t="shared" si="2"/>
        <v>#REF!</v>
      </c>
      <c r="H10" s="158" t="e">
        <f>(C10-$B10)/$B10</f>
        <v>#REF!</v>
      </c>
      <c r="I10" s="158" t="e">
        <f>(D10-$B10)/$B10</f>
        <v>#REF!</v>
      </c>
      <c r="J10" s="154" t="e">
        <f t="shared" si="3"/>
        <v>#REF!</v>
      </c>
      <c r="K10" s="154" t="e">
        <f t="shared" si="4"/>
        <v>#REF!</v>
      </c>
      <c r="L10" s="154" t="e">
        <f t="shared" si="5"/>
        <v>#REF!</v>
      </c>
    </row>
    <row r="11" spans="1:12" x14ac:dyDescent="0.25">
      <c r="A11" s="153" t="s">
        <v>227</v>
      </c>
      <c r="B11" s="154">
        <f>+MdBAM_2011!AL39</f>
        <v>1144568</v>
      </c>
      <c r="C11" s="154" t="e">
        <f>+#REF!</f>
        <v>#REF!</v>
      </c>
      <c r="D11" s="154" t="e">
        <f>+#REF!</f>
        <v>#REF!</v>
      </c>
      <c r="E11" s="158">
        <f t="shared" si="0"/>
        <v>1</v>
      </c>
      <c r="F11" s="158" t="e">
        <f t="shared" si="1"/>
        <v>#REF!</v>
      </c>
      <c r="G11" s="158" t="e">
        <f t="shared" si="2"/>
        <v>#REF!</v>
      </c>
      <c r="H11" s="158" t="e">
        <f>(C11-$B11)/$B11</f>
        <v>#REF!</v>
      </c>
      <c r="I11" s="158" t="e">
        <f>(D11-$B11)/$B11</f>
        <v>#REF!</v>
      </c>
      <c r="J11" s="154" t="e">
        <f t="shared" si="3"/>
        <v>#REF!</v>
      </c>
      <c r="K11" s="154" t="e">
        <f t="shared" si="4"/>
        <v>#REF!</v>
      </c>
      <c r="L11" s="154" t="e">
        <f t="shared" si="5"/>
        <v>#REF!</v>
      </c>
    </row>
    <row r="18" spans="1:3" x14ac:dyDescent="0.25">
      <c r="A18" s="152" t="s">
        <v>247</v>
      </c>
      <c r="B18" s="165">
        <v>2013</v>
      </c>
      <c r="C18" s="165" t="s">
        <v>246</v>
      </c>
    </row>
    <row r="19" spans="1:3" x14ac:dyDescent="0.25">
      <c r="A19" s="152" t="s">
        <v>234</v>
      </c>
      <c r="B19" s="163" t="e">
        <f>+#REF!</f>
        <v>#REF!</v>
      </c>
      <c r="C19" s="164" t="e">
        <f>B19/$B$27</f>
        <v>#REF!</v>
      </c>
    </row>
    <row r="20" spans="1:3" ht="25.5" x14ac:dyDescent="0.25">
      <c r="A20" s="152" t="s">
        <v>248</v>
      </c>
      <c r="B20" s="163" t="e">
        <f>-#REF!</f>
        <v>#REF!</v>
      </c>
      <c r="C20" s="164" t="e">
        <f t="shared" ref="C20:C27" si="6">B20/$B$27</f>
        <v>#REF!</v>
      </c>
    </row>
    <row r="21" spans="1:3" ht="25.5" x14ac:dyDescent="0.25">
      <c r="A21" s="152" t="s">
        <v>249</v>
      </c>
      <c r="B21" s="163" t="e">
        <f>-#REF!</f>
        <v>#REF!</v>
      </c>
      <c r="C21" s="164" t="e">
        <f t="shared" si="6"/>
        <v>#REF!</v>
      </c>
    </row>
    <row r="22" spans="1:3" ht="25.5" x14ac:dyDescent="0.25">
      <c r="A22" s="152" t="s">
        <v>250</v>
      </c>
      <c r="B22" s="163" t="e">
        <f>-#REF!</f>
        <v>#REF!</v>
      </c>
      <c r="C22" s="164" t="e">
        <f t="shared" si="6"/>
        <v>#REF!</v>
      </c>
    </row>
    <row r="23" spans="1:3" x14ac:dyDescent="0.25">
      <c r="A23" s="152" t="s">
        <v>251</v>
      </c>
      <c r="B23" s="163" t="e">
        <f>-#REF!</f>
        <v>#REF!</v>
      </c>
      <c r="C23" s="164" t="e">
        <f t="shared" si="6"/>
        <v>#REF!</v>
      </c>
    </row>
    <row r="24" spans="1:3" x14ac:dyDescent="0.25">
      <c r="A24" s="152" t="s">
        <v>252</v>
      </c>
      <c r="B24" s="163" t="e">
        <f>-#REF!</f>
        <v>#REF!</v>
      </c>
      <c r="C24" s="164" t="e">
        <f t="shared" si="6"/>
        <v>#REF!</v>
      </c>
    </row>
    <row r="25" spans="1:3" ht="25.5" x14ac:dyDescent="0.25">
      <c r="A25" s="152" t="s">
        <v>253</v>
      </c>
      <c r="B25" s="163" t="e">
        <f>-#REF!</f>
        <v>#REF!</v>
      </c>
      <c r="C25" s="164" t="e">
        <f t="shared" si="6"/>
        <v>#REF!</v>
      </c>
    </row>
    <row r="26" spans="1:3" ht="25.5" x14ac:dyDescent="0.25">
      <c r="A26" s="152" t="s">
        <v>254</v>
      </c>
      <c r="B26" s="163" t="e">
        <f>-#REF!</f>
        <v>#REF!</v>
      </c>
      <c r="C26" s="164" t="e">
        <f t="shared" si="6"/>
        <v>#REF!</v>
      </c>
    </row>
    <row r="27" spans="1:3" ht="25.5" x14ac:dyDescent="0.25">
      <c r="A27" s="152" t="s">
        <v>255</v>
      </c>
      <c r="B27" s="163" t="e">
        <f>SUM(B19:B26)</f>
        <v>#REF!</v>
      </c>
      <c r="C27" s="164" t="e">
        <f t="shared" si="6"/>
        <v>#REF!</v>
      </c>
    </row>
    <row r="32" spans="1:3" x14ac:dyDescent="0.25">
      <c r="A32" s="152" t="s">
        <v>230</v>
      </c>
      <c r="B32" s="159">
        <v>2013</v>
      </c>
      <c r="C32" s="160" t="s">
        <v>246</v>
      </c>
    </row>
    <row r="33" spans="1:3" x14ac:dyDescent="0.25">
      <c r="A33" s="152" t="s">
        <v>231</v>
      </c>
      <c r="B33" s="161" t="e">
        <f>+#REF!</f>
        <v>#REF!</v>
      </c>
      <c r="C33" s="472">
        <v>1</v>
      </c>
    </row>
    <row r="34" spans="1:3" ht="25.5" x14ac:dyDescent="0.25">
      <c r="A34" s="152" t="s">
        <v>232</v>
      </c>
      <c r="B34" s="161" t="e">
        <f>+#REF!</f>
        <v>#REF!</v>
      </c>
      <c r="C34" s="473"/>
    </row>
    <row r="35" spans="1:3" ht="25.5" x14ac:dyDescent="0.25">
      <c r="A35" s="152" t="s">
        <v>233</v>
      </c>
      <c r="B35" s="161" t="e">
        <f>+#REF!</f>
        <v>#REF!</v>
      </c>
      <c r="C35" s="162" t="e">
        <f t="shared" ref="C35:C47" si="7">B35/($B$34+$B$33)</f>
        <v>#REF!</v>
      </c>
    </row>
    <row r="36" spans="1:3" x14ac:dyDescent="0.25">
      <c r="A36" s="152" t="s">
        <v>234</v>
      </c>
      <c r="B36" s="161" t="e">
        <f>+#REF!</f>
        <v>#REF!</v>
      </c>
      <c r="C36" s="162" t="e">
        <f t="shared" si="7"/>
        <v>#REF!</v>
      </c>
    </row>
    <row r="37" spans="1:3" x14ac:dyDescent="0.25">
      <c r="A37" s="152" t="s">
        <v>235</v>
      </c>
      <c r="B37" s="161" t="e">
        <f>+#REF!</f>
        <v>#REF!</v>
      </c>
      <c r="C37" s="162" t="e">
        <f t="shared" si="7"/>
        <v>#REF!</v>
      </c>
    </row>
    <row r="38" spans="1:3" ht="25.5" x14ac:dyDescent="0.25">
      <c r="A38" s="152" t="s">
        <v>236</v>
      </c>
      <c r="B38" s="161" t="e">
        <f>-#REF!</f>
        <v>#REF!</v>
      </c>
      <c r="C38" s="162" t="e">
        <f t="shared" si="7"/>
        <v>#REF!</v>
      </c>
    </row>
    <row r="39" spans="1:3" x14ac:dyDescent="0.25">
      <c r="A39" s="152" t="s">
        <v>237</v>
      </c>
      <c r="B39" s="161" t="e">
        <f>-#REF!</f>
        <v>#REF!</v>
      </c>
      <c r="C39" s="162" t="e">
        <f t="shared" si="7"/>
        <v>#REF!</v>
      </c>
    </row>
    <row r="40" spans="1:3" x14ac:dyDescent="0.25">
      <c r="A40" s="152" t="s">
        <v>238</v>
      </c>
      <c r="B40" s="161" t="e">
        <f>-#REF!</f>
        <v>#REF!</v>
      </c>
      <c r="C40" s="162" t="e">
        <f t="shared" si="7"/>
        <v>#REF!</v>
      </c>
    </row>
    <row r="41" spans="1:3" x14ac:dyDescent="0.25">
      <c r="A41" s="152" t="s">
        <v>239</v>
      </c>
      <c r="B41" s="161" t="e">
        <f>-#REF!</f>
        <v>#REF!</v>
      </c>
      <c r="C41" s="162" t="e">
        <f t="shared" si="7"/>
        <v>#REF!</v>
      </c>
    </row>
    <row r="42" spans="1:3" x14ac:dyDescent="0.25">
      <c r="A42" s="152" t="s">
        <v>240</v>
      </c>
      <c r="B42" s="161" t="e">
        <f>-#REF!</f>
        <v>#REF!</v>
      </c>
      <c r="C42" s="162" t="e">
        <f t="shared" si="7"/>
        <v>#REF!</v>
      </c>
    </row>
    <row r="43" spans="1:3" x14ac:dyDescent="0.25">
      <c r="A43" s="152" t="s">
        <v>241</v>
      </c>
      <c r="B43" s="161" t="e">
        <f>-#REF!</f>
        <v>#REF!</v>
      </c>
      <c r="C43" s="162" t="e">
        <f t="shared" si="7"/>
        <v>#REF!</v>
      </c>
    </row>
    <row r="44" spans="1:3" x14ac:dyDescent="0.25">
      <c r="A44" s="152" t="s">
        <v>242</v>
      </c>
      <c r="B44" s="161" t="e">
        <f>-#REF!</f>
        <v>#REF!</v>
      </c>
      <c r="C44" s="162" t="e">
        <f t="shared" si="7"/>
        <v>#REF!</v>
      </c>
    </row>
    <row r="45" spans="1:3" ht="25.5" x14ac:dyDescent="0.25">
      <c r="A45" s="152" t="s">
        <v>243</v>
      </c>
      <c r="B45" s="161" t="e">
        <f>SUM(B33:B44)</f>
        <v>#REF!</v>
      </c>
      <c r="C45" s="162" t="e">
        <f t="shared" si="7"/>
        <v>#REF!</v>
      </c>
    </row>
    <row r="46" spans="1:3" x14ac:dyDescent="0.25">
      <c r="A46" s="152" t="s">
        <v>244</v>
      </c>
      <c r="B46" s="161" t="e">
        <f>-#REF!</f>
        <v>#REF!</v>
      </c>
      <c r="C46" s="162" t="e">
        <f t="shared" si="7"/>
        <v>#REF!</v>
      </c>
    </row>
    <row r="47" spans="1:3" ht="25.5" x14ac:dyDescent="0.25">
      <c r="A47" s="152" t="s">
        <v>245</v>
      </c>
      <c r="B47" s="161" t="e">
        <f>+B45+B46</f>
        <v>#REF!</v>
      </c>
      <c r="C47" s="162" t="e">
        <f t="shared" si="7"/>
        <v>#REF!</v>
      </c>
    </row>
  </sheetData>
  <sheetProtection selectLockedCells="1" selectUnlockedCells="1"/>
  <mergeCells count="1">
    <mergeCell ref="C33:C3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0"/>
  <sheetViews>
    <sheetView zoomScale="120" zoomScaleNormal="120" workbookViewId="0">
      <pane xSplit="4" ySplit="4" topLeftCell="P20" activePane="bottomRight" state="frozen"/>
      <selection pane="topRight" activeCell="E1" sqref="E1"/>
      <selection pane="bottomLeft" activeCell="A5" sqref="A5"/>
      <selection pane="bottomRight"/>
    </sheetView>
  </sheetViews>
  <sheetFormatPr baseColWidth="10" defaultColWidth="11.42578125" defaultRowHeight="12.75" x14ac:dyDescent="0.25"/>
  <cols>
    <col min="1" max="1" width="14.140625" style="96" customWidth="1"/>
    <col min="2" max="2" width="6" style="96" customWidth="1"/>
    <col min="3" max="3" width="5.5703125" style="96" customWidth="1"/>
    <col min="4" max="4" width="14.5703125" style="96" customWidth="1"/>
    <col min="5" max="5" width="11.85546875" style="96" customWidth="1"/>
    <col min="6" max="7" width="10.7109375" style="96" customWidth="1"/>
    <col min="8" max="8" width="11.85546875" style="96" customWidth="1"/>
    <col min="9" max="9" width="10.85546875" style="96" customWidth="1"/>
    <col min="10" max="10" width="10.28515625" style="96" customWidth="1"/>
    <col min="11" max="12" width="12.28515625" style="96" customWidth="1"/>
    <col min="13" max="13" width="9.28515625" style="96" customWidth="1"/>
    <col min="14" max="14" width="14.140625" style="96" customWidth="1"/>
    <col min="15" max="15" width="11.42578125" style="96"/>
    <col min="16" max="16" width="12.28515625" style="96" customWidth="1"/>
    <col min="17" max="17" width="10.42578125" style="96" customWidth="1"/>
    <col min="18" max="18" width="10" style="96" customWidth="1"/>
    <col min="19" max="19" width="12.7109375" style="96" customWidth="1"/>
    <col min="20" max="20" width="11.7109375" style="96" customWidth="1"/>
    <col min="21" max="21" width="9.42578125" style="96" customWidth="1"/>
    <col min="22" max="22" width="8.140625" style="96" customWidth="1"/>
    <col min="23" max="23" width="10.5703125" style="96" customWidth="1"/>
    <col min="24" max="24" width="10.85546875" style="96" customWidth="1"/>
    <col min="25" max="25" width="12.28515625" style="96" customWidth="1"/>
    <col min="26" max="26" width="13.85546875" style="96" customWidth="1"/>
    <col min="27" max="27" width="13.140625" style="96" customWidth="1"/>
    <col min="28" max="28" width="13.28515625" style="96" customWidth="1"/>
    <col min="29" max="29" width="14.140625" style="96" customWidth="1"/>
    <col min="30" max="30" width="15" style="96" customWidth="1"/>
    <col min="31" max="31" width="14.85546875" style="96" customWidth="1"/>
    <col min="32" max="32" width="13.7109375" style="96" customWidth="1"/>
    <col min="33" max="33" width="13.5703125" style="96" customWidth="1"/>
    <col min="34" max="34" width="13.28515625" style="96" customWidth="1"/>
    <col min="35" max="35" width="13.42578125" style="96" customWidth="1"/>
    <col min="36" max="36" width="14.5703125" style="96" customWidth="1"/>
    <col min="37" max="37" width="13.5703125" style="96" customWidth="1"/>
    <col min="38" max="38" width="15.42578125" style="96" customWidth="1"/>
    <col min="39" max="39" width="7.28515625" style="96" customWidth="1"/>
    <col min="40" max="16384" width="11.42578125" style="96"/>
  </cols>
  <sheetData>
    <row r="1" spans="1:39" s="99" customFormat="1" ht="69" customHeight="1" x14ac:dyDescent="0.25">
      <c r="A1" s="96"/>
      <c r="B1" s="97"/>
      <c r="C1" s="97"/>
      <c r="D1" s="98"/>
      <c r="E1" s="476" t="s">
        <v>256</v>
      </c>
      <c r="F1" s="489"/>
      <c r="G1" s="489"/>
      <c r="H1" s="489"/>
      <c r="I1" s="489"/>
      <c r="J1" s="482"/>
      <c r="K1" s="86" t="s">
        <v>19</v>
      </c>
      <c r="L1" s="90" t="s">
        <v>264</v>
      </c>
      <c r="M1" s="490" t="s">
        <v>170</v>
      </c>
      <c r="N1" s="491"/>
      <c r="O1" s="491"/>
      <c r="P1" s="491"/>
      <c r="Q1" s="491"/>
      <c r="R1" s="492"/>
      <c r="S1" s="86" t="s">
        <v>177</v>
      </c>
      <c r="T1" s="86" t="s">
        <v>178</v>
      </c>
      <c r="U1" s="83" t="s">
        <v>179</v>
      </c>
      <c r="V1" s="493" t="s">
        <v>180</v>
      </c>
      <c r="W1" s="494"/>
      <c r="X1" s="477"/>
      <c r="Y1" s="478" t="s">
        <v>181</v>
      </c>
      <c r="Z1" s="479"/>
      <c r="AA1" s="480"/>
      <c r="AB1" s="476" t="s">
        <v>182</v>
      </c>
      <c r="AC1" s="488"/>
      <c r="AD1" s="489" t="s">
        <v>183</v>
      </c>
      <c r="AE1" s="477"/>
      <c r="AF1" s="476" t="s">
        <v>184</v>
      </c>
      <c r="AG1" s="477"/>
      <c r="AH1" s="476" t="s">
        <v>257</v>
      </c>
      <c r="AI1" s="477"/>
      <c r="AJ1" s="476" t="s">
        <v>258</v>
      </c>
      <c r="AK1" s="477"/>
      <c r="AL1" s="86" t="s">
        <v>187</v>
      </c>
      <c r="AM1" s="75" t="s">
        <v>188</v>
      </c>
    </row>
    <row r="2" spans="1:39" s="99" customFormat="1" x14ac:dyDescent="0.25">
      <c r="A2" s="96"/>
      <c r="B2" s="97"/>
      <c r="C2" s="97"/>
      <c r="D2" s="98"/>
      <c r="E2" s="476" t="s">
        <v>0</v>
      </c>
      <c r="F2" s="482"/>
      <c r="G2" s="495" t="s">
        <v>1</v>
      </c>
      <c r="H2" s="496"/>
      <c r="I2" s="476" t="s">
        <v>2</v>
      </c>
      <c r="J2" s="482"/>
      <c r="K2" s="81" t="s">
        <v>3</v>
      </c>
      <c r="L2" s="76" t="s">
        <v>4</v>
      </c>
      <c r="M2" s="483" t="s">
        <v>64</v>
      </c>
      <c r="N2" s="484"/>
      <c r="O2" s="484"/>
      <c r="P2" s="485"/>
      <c r="Q2" s="77" t="s">
        <v>193</v>
      </c>
      <c r="R2" s="77" t="s">
        <v>194</v>
      </c>
      <c r="S2" s="81" t="s">
        <v>65</v>
      </c>
      <c r="T2" s="81" t="s">
        <v>66</v>
      </c>
      <c r="U2" s="81" t="s">
        <v>51</v>
      </c>
      <c r="V2" s="86" t="s">
        <v>10</v>
      </c>
      <c r="W2" s="75" t="s">
        <v>56</v>
      </c>
      <c r="X2" s="75" t="s">
        <v>52</v>
      </c>
      <c r="Y2" s="75" t="s">
        <v>5</v>
      </c>
      <c r="Z2" s="75" t="s">
        <v>58</v>
      </c>
      <c r="AA2" s="75" t="s">
        <v>195</v>
      </c>
      <c r="AB2" s="86" t="s">
        <v>6</v>
      </c>
      <c r="AC2" s="100" t="s">
        <v>59</v>
      </c>
      <c r="AD2" s="92" t="s">
        <v>7</v>
      </c>
      <c r="AE2" s="81" t="s">
        <v>80</v>
      </c>
      <c r="AF2" s="78" t="s">
        <v>12</v>
      </c>
      <c r="AG2" s="81" t="s">
        <v>60</v>
      </c>
      <c r="AH2" s="81" t="s">
        <v>13</v>
      </c>
      <c r="AI2" s="81" t="s">
        <v>196</v>
      </c>
      <c r="AJ2" s="81" t="s">
        <v>61</v>
      </c>
      <c r="AK2" s="81" t="s">
        <v>216</v>
      </c>
      <c r="AL2" s="78" t="s">
        <v>63</v>
      </c>
      <c r="AM2" s="82" t="s">
        <v>197</v>
      </c>
    </row>
    <row r="3" spans="1:39" s="99" customFormat="1" x14ac:dyDescent="0.25">
      <c r="A3" s="96"/>
      <c r="B3" s="97"/>
      <c r="C3" s="97"/>
      <c r="D3" s="98"/>
      <c r="E3" s="86" t="s">
        <v>8</v>
      </c>
      <c r="F3" s="86" t="s">
        <v>9</v>
      </c>
      <c r="G3" s="93" t="s">
        <v>219</v>
      </c>
      <c r="H3" s="93" t="s">
        <v>220</v>
      </c>
      <c r="I3" s="93" t="s">
        <v>202</v>
      </c>
      <c r="J3" s="86" t="s">
        <v>203</v>
      </c>
      <c r="K3" s="81"/>
      <c r="L3" s="81"/>
      <c r="M3" s="77" t="s">
        <v>189</v>
      </c>
      <c r="N3" s="77" t="s">
        <v>190</v>
      </c>
      <c r="O3" s="77" t="s">
        <v>191</v>
      </c>
      <c r="P3" s="77" t="s">
        <v>192</v>
      </c>
      <c r="Q3" s="77"/>
      <c r="R3" s="77"/>
      <c r="S3" s="81"/>
      <c r="T3" s="81"/>
      <c r="U3" s="81"/>
      <c r="V3" s="86"/>
      <c r="W3" s="75"/>
      <c r="X3" s="75"/>
      <c r="Y3" s="86"/>
      <c r="Z3" s="86"/>
      <c r="AA3" s="86"/>
      <c r="AB3" s="86"/>
      <c r="AC3" s="95"/>
      <c r="AD3" s="92"/>
      <c r="AE3" s="81"/>
      <c r="AF3" s="78"/>
      <c r="AG3" s="81"/>
      <c r="AH3" s="81"/>
      <c r="AI3" s="81"/>
      <c r="AJ3" s="81"/>
      <c r="AK3" s="81"/>
      <c r="AL3" s="81"/>
      <c r="AM3" s="79"/>
    </row>
    <row r="4" spans="1:39" s="99" customFormat="1" ht="63" customHeight="1" x14ac:dyDescent="0.25">
      <c r="A4" s="96"/>
      <c r="B4" s="97"/>
      <c r="C4" s="97"/>
      <c r="D4" s="98"/>
      <c r="E4" s="167" t="s">
        <v>200</v>
      </c>
      <c r="F4" s="167" t="s">
        <v>201</v>
      </c>
      <c r="G4" s="167" t="s">
        <v>221</v>
      </c>
      <c r="H4" s="168" t="s">
        <v>222</v>
      </c>
      <c r="I4" s="168" t="s">
        <v>268</v>
      </c>
      <c r="J4" s="168" t="s">
        <v>283</v>
      </c>
      <c r="K4" s="168" t="s">
        <v>26</v>
      </c>
      <c r="L4" s="168" t="s">
        <v>171</v>
      </c>
      <c r="M4" s="168" t="s">
        <v>175</v>
      </c>
      <c r="N4" s="168" t="s">
        <v>22</v>
      </c>
      <c r="O4" s="168" t="s">
        <v>23</v>
      </c>
      <c r="P4" s="168" t="s">
        <v>28</v>
      </c>
      <c r="Q4" s="168" t="s">
        <v>173</v>
      </c>
      <c r="R4" s="169" t="s">
        <v>174</v>
      </c>
      <c r="S4" s="168" t="s">
        <v>20</v>
      </c>
      <c r="T4" s="168" t="s">
        <v>20</v>
      </c>
      <c r="U4" s="168" t="s">
        <v>20</v>
      </c>
      <c r="V4" s="168" t="s">
        <v>11</v>
      </c>
      <c r="W4" s="170" t="s">
        <v>167</v>
      </c>
      <c r="X4" s="170" t="s">
        <v>54</v>
      </c>
      <c r="Y4" s="168" t="s">
        <v>55</v>
      </c>
      <c r="Z4" s="167" t="s">
        <v>284</v>
      </c>
      <c r="AA4" s="167" t="s">
        <v>57</v>
      </c>
      <c r="AB4" s="168" t="s">
        <v>25</v>
      </c>
      <c r="AC4" s="171" t="s">
        <v>47</v>
      </c>
      <c r="AD4" s="172" t="s">
        <v>176</v>
      </c>
      <c r="AE4" s="168" t="s">
        <v>77</v>
      </c>
      <c r="AF4" s="170" t="s">
        <v>81</v>
      </c>
      <c r="AG4" s="168" t="s">
        <v>45</v>
      </c>
      <c r="AH4" s="168" t="s">
        <v>176</v>
      </c>
      <c r="AI4" s="168" t="s">
        <v>77</v>
      </c>
      <c r="AJ4" s="168" t="s">
        <v>81</v>
      </c>
      <c r="AK4" s="168" t="s">
        <v>45</v>
      </c>
      <c r="AL4" s="168" t="s">
        <v>62</v>
      </c>
      <c r="AM4" s="168" t="s">
        <v>46</v>
      </c>
    </row>
    <row r="5" spans="1:39" s="99" customFormat="1" ht="38.25" customHeight="1" x14ac:dyDescent="0.25">
      <c r="A5" s="486" t="s">
        <v>256</v>
      </c>
      <c r="B5" s="486" t="s">
        <v>0</v>
      </c>
      <c r="C5" s="86" t="s">
        <v>8</v>
      </c>
      <c r="D5" s="168" t="s">
        <v>200</v>
      </c>
      <c r="E5" s="86"/>
      <c r="F5" s="101"/>
      <c r="G5" s="101"/>
      <c r="H5" s="101"/>
      <c r="I5" s="101"/>
      <c r="J5" s="101"/>
      <c r="K5" s="102"/>
      <c r="L5" s="102"/>
      <c r="M5" s="103"/>
      <c r="N5" s="103"/>
      <c r="O5" s="103"/>
      <c r="P5" s="101" t="s">
        <v>29</v>
      </c>
      <c r="Q5" s="101"/>
      <c r="R5" s="101"/>
      <c r="S5" s="101"/>
      <c r="T5" s="101"/>
      <c r="U5" s="101"/>
      <c r="V5" s="104"/>
      <c r="W5" s="104"/>
      <c r="X5" s="104"/>
      <c r="Y5" s="105"/>
      <c r="Z5" s="106"/>
      <c r="AA5" s="106"/>
      <c r="AB5" s="84"/>
      <c r="AC5" s="107"/>
      <c r="AD5" s="108" t="s">
        <v>269</v>
      </c>
      <c r="AE5" s="108" t="s">
        <v>269</v>
      </c>
      <c r="AF5" s="108" t="s">
        <v>269</v>
      </c>
      <c r="AG5" s="84"/>
      <c r="AH5" s="109"/>
      <c r="AI5" s="109"/>
      <c r="AJ5" s="109"/>
      <c r="AK5" s="101"/>
      <c r="AL5" s="101"/>
      <c r="AM5" s="101"/>
    </row>
    <row r="6" spans="1:39" s="99" customFormat="1" ht="38.25" customHeight="1" x14ac:dyDescent="0.25">
      <c r="A6" s="487"/>
      <c r="B6" s="487"/>
      <c r="C6" s="86" t="s">
        <v>9</v>
      </c>
      <c r="D6" s="168" t="s">
        <v>201</v>
      </c>
      <c r="E6" s="86"/>
      <c r="F6" s="101"/>
      <c r="G6" s="101"/>
      <c r="H6" s="101"/>
      <c r="I6" s="110"/>
      <c r="J6" s="101"/>
      <c r="K6" s="102"/>
      <c r="L6" s="111"/>
      <c r="M6" s="103"/>
      <c r="N6" s="103"/>
      <c r="O6" s="103"/>
      <c r="P6" s="101"/>
      <c r="Q6" s="101"/>
      <c r="R6" s="101"/>
      <c r="S6" s="101"/>
      <c r="T6" s="101"/>
      <c r="U6" s="101"/>
      <c r="V6" s="104"/>
      <c r="W6" s="104"/>
      <c r="X6" s="104"/>
      <c r="Y6" s="112" t="s">
        <v>32</v>
      </c>
      <c r="Z6" s="113" t="s">
        <v>204</v>
      </c>
      <c r="AA6" s="106"/>
      <c r="AB6" s="84"/>
      <c r="AC6" s="107"/>
      <c r="AD6" s="108" t="s">
        <v>270</v>
      </c>
      <c r="AE6" s="108" t="s">
        <v>270</v>
      </c>
      <c r="AF6" s="108" t="s">
        <v>270</v>
      </c>
      <c r="AG6" s="84"/>
      <c r="AH6" s="109"/>
      <c r="AI6" s="109"/>
      <c r="AJ6" s="109"/>
      <c r="AK6" s="101"/>
      <c r="AL6" s="101"/>
      <c r="AM6" s="101"/>
    </row>
    <row r="7" spans="1:39" s="99" customFormat="1" ht="51" x14ac:dyDescent="0.25">
      <c r="A7" s="487"/>
      <c r="B7" s="497" t="s">
        <v>1</v>
      </c>
      <c r="C7" s="93" t="s">
        <v>219</v>
      </c>
      <c r="D7" s="167" t="s">
        <v>221</v>
      </c>
      <c r="E7" s="86"/>
      <c r="F7" s="101"/>
      <c r="G7" s="101"/>
      <c r="H7" s="101"/>
      <c r="I7" s="84" t="s">
        <v>212</v>
      </c>
      <c r="J7" s="84" t="s">
        <v>215</v>
      </c>
      <c r="K7" s="102"/>
      <c r="L7" s="111"/>
      <c r="M7" s="103"/>
      <c r="N7" s="103"/>
      <c r="O7" s="103"/>
      <c r="P7" s="101"/>
      <c r="Q7" s="101"/>
      <c r="R7" s="101"/>
      <c r="S7" s="101"/>
      <c r="T7" s="101"/>
      <c r="U7" s="101"/>
      <c r="V7" s="104"/>
      <c r="W7" s="104"/>
      <c r="X7" s="104"/>
      <c r="Y7" s="112" t="s">
        <v>211</v>
      </c>
      <c r="Z7" s="113"/>
      <c r="AA7" s="106"/>
      <c r="AB7" s="84"/>
      <c r="AC7" s="107"/>
      <c r="AD7" s="108"/>
      <c r="AE7" s="84"/>
      <c r="AF7" s="84"/>
      <c r="AG7" s="84"/>
      <c r="AH7" s="109"/>
      <c r="AI7" s="109"/>
      <c r="AJ7" s="109"/>
      <c r="AK7" s="101"/>
      <c r="AL7" s="101"/>
      <c r="AM7" s="101"/>
    </row>
    <row r="8" spans="1:39" s="99" customFormat="1" ht="38.25" x14ac:dyDescent="0.25">
      <c r="A8" s="487"/>
      <c r="B8" s="498"/>
      <c r="C8" s="93" t="s">
        <v>220</v>
      </c>
      <c r="D8" s="168" t="s">
        <v>222</v>
      </c>
      <c r="E8" s="86"/>
      <c r="F8" s="101"/>
      <c r="G8" s="101"/>
      <c r="H8" s="101"/>
      <c r="I8" s="84"/>
      <c r="J8" s="84"/>
      <c r="K8" s="102"/>
      <c r="L8" s="111"/>
      <c r="M8" s="103"/>
      <c r="N8" s="103"/>
      <c r="O8" s="103"/>
      <c r="P8" s="101"/>
      <c r="Q8" s="101"/>
      <c r="R8" s="101"/>
      <c r="S8" s="101"/>
      <c r="T8" s="101"/>
      <c r="U8" s="101"/>
      <c r="V8" s="104"/>
      <c r="W8" s="104"/>
      <c r="X8" s="104"/>
      <c r="Y8" s="112"/>
      <c r="Z8" s="113" t="s">
        <v>205</v>
      </c>
      <c r="AA8" s="106"/>
      <c r="AB8" s="84"/>
      <c r="AC8" s="107"/>
      <c r="AD8" s="108"/>
      <c r="AE8" s="84"/>
      <c r="AF8" s="84"/>
      <c r="AG8" s="84"/>
      <c r="AH8" s="114" t="s">
        <v>218</v>
      </c>
      <c r="AI8" s="114" t="s">
        <v>218</v>
      </c>
      <c r="AJ8" s="114" t="s">
        <v>218</v>
      </c>
      <c r="AK8" s="101"/>
      <c r="AL8" s="101"/>
      <c r="AM8" s="101"/>
    </row>
    <row r="9" spans="1:39" s="99" customFormat="1" ht="25.5" x14ac:dyDescent="0.25">
      <c r="A9" s="487"/>
      <c r="B9" s="474" t="s">
        <v>2</v>
      </c>
      <c r="C9" s="93" t="s">
        <v>202</v>
      </c>
      <c r="D9" s="168" t="s">
        <v>268</v>
      </c>
      <c r="E9" s="86"/>
      <c r="F9" s="101"/>
      <c r="G9" s="101"/>
      <c r="H9" s="101"/>
      <c r="I9" s="101"/>
      <c r="J9" s="101"/>
      <c r="K9" s="115" t="s">
        <v>213</v>
      </c>
      <c r="L9" s="111"/>
      <c r="M9" s="103"/>
      <c r="N9" s="103"/>
      <c r="O9" s="103"/>
      <c r="P9" s="101"/>
      <c r="Q9" s="101"/>
      <c r="R9" s="101"/>
      <c r="S9" s="101"/>
      <c r="T9" s="101"/>
      <c r="U9" s="101"/>
      <c r="V9" s="104"/>
      <c r="W9" s="104"/>
      <c r="X9" s="104"/>
      <c r="Y9" s="105"/>
      <c r="Z9" s="116"/>
      <c r="AA9" s="106"/>
      <c r="AB9" s="84"/>
      <c r="AC9" s="107"/>
      <c r="AD9" s="108"/>
      <c r="AE9" s="84"/>
      <c r="AF9" s="84"/>
      <c r="AG9" s="84"/>
      <c r="AH9" s="84"/>
      <c r="AI9" s="101"/>
      <c r="AJ9" s="101"/>
      <c r="AK9" s="101"/>
      <c r="AL9" s="101"/>
      <c r="AM9" s="101"/>
    </row>
    <row r="10" spans="1:39" s="99" customFormat="1" ht="25.5" x14ac:dyDescent="0.25">
      <c r="A10" s="487"/>
      <c r="B10" s="475"/>
      <c r="C10" s="86" t="s">
        <v>203</v>
      </c>
      <c r="D10" s="168" t="s">
        <v>283</v>
      </c>
      <c r="E10" s="86"/>
      <c r="F10" s="101"/>
      <c r="G10" s="101"/>
      <c r="H10" s="101"/>
      <c r="I10" s="101"/>
      <c r="J10" s="101"/>
      <c r="K10" s="115" t="s">
        <v>215</v>
      </c>
      <c r="L10" s="111"/>
      <c r="M10" s="103"/>
      <c r="N10" s="103"/>
      <c r="O10" s="103"/>
      <c r="P10" s="101"/>
      <c r="Q10" s="101"/>
      <c r="R10" s="101"/>
      <c r="S10" s="101"/>
      <c r="T10" s="101"/>
      <c r="U10" s="101"/>
      <c r="V10" s="104"/>
      <c r="W10" s="104"/>
      <c r="X10" s="104"/>
      <c r="Y10" s="105"/>
      <c r="Z10" s="116"/>
      <c r="AA10" s="106"/>
      <c r="AB10" s="84"/>
      <c r="AC10" s="107"/>
      <c r="AD10" s="108"/>
      <c r="AE10" s="84"/>
      <c r="AF10" s="84"/>
      <c r="AG10" s="84"/>
      <c r="AH10" s="84"/>
      <c r="AI10" s="101"/>
      <c r="AJ10" s="101"/>
      <c r="AK10" s="101"/>
      <c r="AL10" s="101"/>
      <c r="AM10" s="101"/>
    </row>
    <row r="11" spans="1:39" s="99" customFormat="1" ht="44.25" customHeight="1" x14ac:dyDescent="0.25">
      <c r="A11" s="86" t="s">
        <v>19</v>
      </c>
      <c r="B11" s="81" t="s">
        <v>3</v>
      </c>
      <c r="C11" s="81"/>
      <c r="D11" s="168" t="s">
        <v>26</v>
      </c>
      <c r="E11" s="84" t="s">
        <v>41</v>
      </c>
      <c r="F11" s="84" t="s">
        <v>214</v>
      </c>
      <c r="G11" s="84"/>
      <c r="H11" s="84"/>
      <c r="I11" s="101"/>
      <c r="J11" s="109"/>
      <c r="K11" s="117"/>
      <c r="L11" s="117"/>
      <c r="M11" s="118"/>
      <c r="N11" s="118"/>
      <c r="O11" s="118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19"/>
      <c r="AD11" s="120"/>
      <c r="AE11" s="101"/>
      <c r="AF11" s="101"/>
      <c r="AG11" s="101"/>
      <c r="AH11" s="101"/>
      <c r="AI11" s="101"/>
      <c r="AJ11" s="101"/>
      <c r="AK11" s="101"/>
      <c r="AL11" s="101"/>
      <c r="AM11" s="101"/>
    </row>
    <row r="12" spans="1:39" s="99" customFormat="1" ht="25.5" x14ac:dyDescent="0.25">
      <c r="A12" s="86" t="s">
        <v>264</v>
      </c>
      <c r="B12" s="76" t="s">
        <v>4</v>
      </c>
      <c r="C12" s="81"/>
      <c r="D12" s="168" t="s">
        <v>171</v>
      </c>
      <c r="E12" s="121"/>
      <c r="F12" s="121"/>
      <c r="G12" s="121"/>
      <c r="H12" s="121"/>
      <c r="I12" s="101"/>
      <c r="J12" s="109"/>
      <c r="K12" s="122" t="s">
        <v>27</v>
      </c>
      <c r="L12" s="123"/>
      <c r="M12" s="118"/>
      <c r="N12" s="118"/>
      <c r="O12" s="118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19"/>
      <c r="AD12" s="120"/>
      <c r="AE12" s="101"/>
      <c r="AF12" s="101"/>
      <c r="AG12" s="101"/>
      <c r="AH12" s="101"/>
      <c r="AI12" s="101"/>
      <c r="AJ12" s="101"/>
      <c r="AK12" s="101"/>
      <c r="AL12" s="101"/>
      <c r="AM12" s="101"/>
    </row>
    <row r="13" spans="1:39" s="99" customFormat="1" ht="28.9" customHeight="1" x14ac:dyDescent="0.25">
      <c r="A13" s="500" t="s">
        <v>170</v>
      </c>
      <c r="B13" s="501" t="s">
        <v>64</v>
      </c>
      <c r="C13" s="77" t="s">
        <v>189</v>
      </c>
      <c r="D13" s="168" t="s">
        <v>175</v>
      </c>
      <c r="E13" s="86"/>
      <c r="F13" s="101"/>
      <c r="G13" s="101"/>
      <c r="H13" s="101"/>
      <c r="I13" s="101"/>
      <c r="J13" s="109"/>
      <c r="K13" s="124"/>
      <c r="L13" s="84" t="s">
        <v>21</v>
      </c>
      <c r="M13" s="118"/>
      <c r="N13" s="118"/>
      <c r="O13" s="118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19"/>
      <c r="AD13" s="120"/>
      <c r="AE13" s="101"/>
      <c r="AF13" s="101"/>
      <c r="AG13" s="101"/>
      <c r="AH13" s="101"/>
      <c r="AI13" s="101"/>
      <c r="AJ13" s="101"/>
      <c r="AK13" s="101"/>
      <c r="AL13" s="101"/>
      <c r="AM13" s="101"/>
    </row>
    <row r="14" spans="1:39" s="99" customFormat="1" ht="24" customHeight="1" x14ac:dyDescent="0.25">
      <c r="A14" s="500"/>
      <c r="B14" s="502"/>
      <c r="C14" s="77" t="s">
        <v>190</v>
      </c>
      <c r="D14" s="168" t="s">
        <v>22</v>
      </c>
      <c r="E14" s="86"/>
      <c r="F14" s="101"/>
      <c r="G14" s="101"/>
      <c r="H14" s="101"/>
      <c r="I14" s="101"/>
      <c r="J14" s="109"/>
      <c r="K14" s="124"/>
      <c r="L14" s="84" t="s">
        <v>22</v>
      </c>
      <c r="M14" s="118"/>
      <c r="N14" s="118"/>
      <c r="O14" s="118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25"/>
      <c r="AD14" s="126"/>
      <c r="AE14" s="101"/>
      <c r="AF14" s="101"/>
      <c r="AG14" s="101"/>
      <c r="AH14" s="101"/>
      <c r="AI14" s="101"/>
      <c r="AJ14" s="101"/>
      <c r="AK14" s="101"/>
      <c r="AL14" s="101"/>
      <c r="AM14" s="101"/>
    </row>
    <row r="15" spans="1:39" s="99" customFormat="1" ht="30" customHeight="1" x14ac:dyDescent="0.25">
      <c r="A15" s="500"/>
      <c r="B15" s="502"/>
      <c r="C15" s="77" t="s">
        <v>191</v>
      </c>
      <c r="D15" s="168" t="s">
        <v>172</v>
      </c>
      <c r="E15" s="86"/>
      <c r="F15" s="101"/>
      <c r="G15" s="101"/>
      <c r="H15" s="101"/>
      <c r="I15" s="101"/>
      <c r="J15" s="109"/>
      <c r="K15" s="124"/>
      <c r="L15" s="94" t="s">
        <v>172</v>
      </c>
      <c r="M15" s="118"/>
      <c r="N15" s="118"/>
      <c r="O15" s="118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25"/>
      <c r="AD15" s="126"/>
      <c r="AE15" s="101"/>
      <c r="AF15" s="101"/>
      <c r="AG15" s="101"/>
      <c r="AH15" s="101"/>
      <c r="AI15" s="101"/>
      <c r="AJ15" s="101"/>
      <c r="AK15" s="101"/>
      <c r="AL15" s="101"/>
      <c r="AM15" s="101"/>
    </row>
    <row r="16" spans="1:39" s="99" customFormat="1" ht="27" customHeight="1" x14ac:dyDescent="0.25">
      <c r="A16" s="500"/>
      <c r="B16" s="502"/>
      <c r="C16" s="77" t="s">
        <v>192</v>
      </c>
      <c r="D16" s="168" t="s">
        <v>28</v>
      </c>
      <c r="E16" s="86"/>
      <c r="F16" s="101"/>
      <c r="G16" s="101"/>
      <c r="H16" s="101"/>
      <c r="I16" s="101"/>
      <c r="J16" s="109"/>
      <c r="K16" s="124"/>
      <c r="L16" s="94" t="s">
        <v>28</v>
      </c>
      <c r="M16" s="118"/>
      <c r="N16" s="118"/>
      <c r="O16" s="118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25"/>
      <c r="AD16" s="126"/>
      <c r="AE16" s="101"/>
      <c r="AF16" s="101"/>
      <c r="AG16" s="101"/>
      <c r="AH16" s="101"/>
      <c r="AI16" s="101"/>
      <c r="AJ16" s="101"/>
      <c r="AK16" s="101"/>
      <c r="AL16" s="101"/>
      <c r="AM16" s="101"/>
    </row>
    <row r="17" spans="1:39" s="99" customFormat="1" ht="22.15" customHeight="1" x14ac:dyDescent="0.25">
      <c r="A17" s="500"/>
      <c r="B17" s="77" t="s">
        <v>193</v>
      </c>
      <c r="C17" s="77"/>
      <c r="D17" s="168" t="s">
        <v>173</v>
      </c>
      <c r="E17" s="86"/>
      <c r="F17" s="101"/>
      <c r="G17" s="101"/>
      <c r="H17" s="101"/>
      <c r="I17" s="101"/>
      <c r="J17" s="101"/>
      <c r="K17" s="124"/>
      <c r="L17" s="94" t="s">
        <v>173</v>
      </c>
      <c r="M17" s="85"/>
      <c r="N17" s="85"/>
      <c r="O17" s="85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25"/>
      <c r="AD17" s="126"/>
      <c r="AE17" s="101"/>
      <c r="AF17" s="101"/>
      <c r="AG17" s="101"/>
      <c r="AH17" s="101"/>
      <c r="AI17" s="101"/>
      <c r="AJ17" s="101"/>
      <c r="AK17" s="101"/>
      <c r="AL17" s="101"/>
      <c r="AM17" s="101"/>
    </row>
    <row r="18" spans="1:39" s="99" customFormat="1" ht="25.5" x14ac:dyDescent="0.25">
      <c r="A18" s="500"/>
      <c r="B18" s="77" t="s">
        <v>194</v>
      </c>
      <c r="C18" s="77"/>
      <c r="D18" s="169" t="s">
        <v>174</v>
      </c>
      <c r="E18" s="86"/>
      <c r="F18" s="101"/>
      <c r="G18" s="101"/>
      <c r="H18" s="101"/>
      <c r="I18" s="101"/>
      <c r="J18" s="101"/>
      <c r="K18" s="124"/>
      <c r="L18" s="115" t="s">
        <v>30</v>
      </c>
      <c r="M18" s="85"/>
      <c r="N18" s="85"/>
      <c r="O18" s="85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25"/>
      <c r="AD18" s="126"/>
      <c r="AE18" s="101"/>
      <c r="AF18" s="101"/>
      <c r="AG18" s="101"/>
      <c r="AH18" s="101"/>
      <c r="AI18" s="101"/>
      <c r="AJ18" s="101"/>
      <c r="AK18" s="101"/>
      <c r="AL18" s="101"/>
      <c r="AM18" s="101"/>
    </row>
    <row r="19" spans="1:39" s="99" customFormat="1" ht="51" x14ac:dyDescent="0.25">
      <c r="A19" s="86" t="s">
        <v>177</v>
      </c>
      <c r="B19" s="81" t="s">
        <v>65</v>
      </c>
      <c r="C19" s="81"/>
      <c r="D19" s="168" t="s">
        <v>20</v>
      </c>
      <c r="E19" s="86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9"/>
      <c r="Q19" s="109"/>
      <c r="R19" s="127" t="s">
        <v>30</v>
      </c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25"/>
      <c r="AD19" s="128" t="s">
        <v>271</v>
      </c>
      <c r="AE19" s="84" t="s">
        <v>271</v>
      </c>
      <c r="AF19" s="84" t="s">
        <v>271</v>
      </c>
      <c r="AG19" s="129"/>
      <c r="AH19" s="109"/>
      <c r="AI19" s="109"/>
      <c r="AJ19" s="109"/>
      <c r="AK19" s="109"/>
      <c r="AL19" s="101"/>
      <c r="AM19" s="101"/>
    </row>
    <row r="20" spans="1:39" s="99" customFormat="1" ht="38.25" x14ac:dyDescent="0.25">
      <c r="A20" s="86" t="s">
        <v>178</v>
      </c>
      <c r="B20" s="81" t="s">
        <v>66</v>
      </c>
      <c r="C20" s="81"/>
      <c r="D20" s="168" t="s">
        <v>20</v>
      </c>
      <c r="E20" s="86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27" t="s">
        <v>33</v>
      </c>
      <c r="T20" s="101"/>
      <c r="U20" s="101"/>
      <c r="V20" s="101"/>
      <c r="W20" s="101"/>
      <c r="X20" s="101"/>
      <c r="Y20" s="101"/>
      <c r="Z20" s="101"/>
      <c r="AA20" s="101"/>
      <c r="AB20" s="101"/>
      <c r="AC20" s="125"/>
      <c r="AD20" s="130" t="s">
        <v>223</v>
      </c>
      <c r="AE20" s="75" t="s">
        <v>224</v>
      </c>
      <c r="AF20" s="75"/>
      <c r="AG20" s="75" t="s">
        <v>224</v>
      </c>
      <c r="AH20" s="109"/>
      <c r="AI20" s="109"/>
      <c r="AJ20" s="109"/>
      <c r="AK20" s="109"/>
      <c r="AL20" s="101"/>
      <c r="AM20" s="101"/>
    </row>
    <row r="21" spans="1:39" s="99" customFormat="1" ht="38.25" x14ac:dyDescent="0.25">
      <c r="A21" s="83" t="s">
        <v>179</v>
      </c>
      <c r="B21" s="81" t="s">
        <v>51</v>
      </c>
      <c r="C21" s="81"/>
      <c r="D21" s="168" t="s">
        <v>20</v>
      </c>
      <c r="E21" s="86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75"/>
      <c r="T21" s="127" t="s">
        <v>34</v>
      </c>
      <c r="U21" s="101"/>
      <c r="V21" s="101"/>
      <c r="W21" s="101"/>
      <c r="X21" s="101"/>
      <c r="Y21" s="101"/>
      <c r="Z21" s="101"/>
      <c r="AA21" s="101"/>
      <c r="AB21" s="101"/>
      <c r="AC21" s="119"/>
      <c r="AD21" s="131"/>
      <c r="AE21" s="109"/>
      <c r="AF21" s="109"/>
      <c r="AG21" s="109"/>
      <c r="AH21" s="84" t="s">
        <v>78</v>
      </c>
      <c r="AI21" s="84" t="s">
        <v>78</v>
      </c>
      <c r="AJ21" s="84"/>
      <c r="AK21" s="84" t="s">
        <v>78</v>
      </c>
      <c r="AL21" s="124"/>
      <c r="AM21" s="101"/>
    </row>
    <row r="22" spans="1:39" s="99" customFormat="1" ht="38.25" x14ac:dyDescent="0.25">
      <c r="A22" s="499" t="s">
        <v>180</v>
      </c>
      <c r="B22" s="86" t="s">
        <v>10</v>
      </c>
      <c r="C22" s="86"/>
      <c r="D22" s="170" t="s">
        <v>11</v>
      </c>
      <c r="E22" s="86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84"/>
      <c r="T22" s="101"/>
      <c r="U22" s="127" t="s">
        <v>35</v>
      </c>
      <c r="V22" s="75"/>
      <c r="W22" s="75"/>
      <c r="X22" s="75"/>
      <c r="Y22" s="101"/>
      <c r="Z22" s="101"/>
      <c r="AA22" s="101"/>
      <c r="AB22" s="101"/>
      <c r="AC22" s="119"/>
      <c r="AD22" s="131"/>
      <c r="AE22" s="75"/>
      <c r="AF22" s="75"/>
      <c r="AG22" s="75"/>
      <c r="AH22" s="84" t="s">
        <v>272</v>
      </c>
      <c r="AI22" s="166" t="s">
        <v>272</v>
      </c>
      <c r="AJ22" s="84"/>
      <c r="AK22" s="166" t="s">
        <v>272</v>
      </c>
      <c r="AL22" s="84"/>
      <c r="AM22" s="101"/>
    </row>
    <row r="23" spans="1:39" s="99" customFormat="1" ht="25.5" x14ac:dyDescent="0.25">
      <c r="A23" s="499"/>
      <c r="B23" s="75" t="s">
        <v>56</v>
      </c>
      <c r="C23" s="75"/>
      <c r="D23" s="173" t="s">
        <v>167</v>
      </c>
      <c r="E23" s="86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84"/>
      <c r="T23" s="101"/>
      <c r="U23" s="75"/>
      <c r="V23" s="127" t="s">
        <v>67</v>
      </c>
      <c r="W23" s="75"/>
      <c r="X23" s="75"/>
      <c r="Y23" s="101"/>
      <c r="Z23" s="101"/>
      <c r="AA23" s="101"/>
      <c r="AB23" s="101"/>
      <c r="AC23" s="125"/>
      <c r="AD23" s="128" t="s">
        <v>210</v>
      </c>
      <c r="AE23" s="84" t="s">
        <v>210</v>
      </c>
      <c r="AF23" s="84" t="s">
        <v>210</v>
      </c>
      <c r="AG23" s="75"/>
      <c r="AH23" s="84" t="s">
        <v>209</v>
      </c>
      <c r="AI23" s="84" t="s">
        <v>209</v>
      </c>
      <c r="AJ23" s="84" t="s">
        <v>209</v>
      </c>
      <c r="AK23" s="84" t="s">
        <v>282</v>
      </c>
      <c r="AL23" s="84"/>
      <c r="AM23" s="101"/>
    </row>
    <row r="24" spans="1:39" s="99" customFormat="1" ht="38.25" x14ac:dyDescent="0.25">
      <c r="A24" s="499"/>
      <c r="B24" s="75" t="s">
        <v>52</v>
      </c>
      <c r="C24" s="75"/>
      <c r="D24" s="170" t="s">
        <v>54</v>
      </c>
      <c r="E24" s="86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84"/>
      <c r="T24" s="101"/>
      <c r="U24" s="75"/>
      <c r="V24" s="75"/>
      <c r="W24" s="127" t="s">
        <v>168</v>
      </c>
      <c r="X24" s="75"/>
      <c r="Y24" s="101"/>
      <c r="Z24" s="101"/>
      <c r="AA24" s="109"/>
      <c r="AB24" s="101"/>
      <c r="AC24" s="119"/>
      <c r="AD24" s="120"/>
      <c r="AE24" s="80"/>
      <c r="AF24" s="80"/>
      <c r="AG24" s="80"/>
      <c r="AH24" s="84"/>
      <c r="AI24" s="84"/>
      <c r="AJ24" s="84"/>
      <c r="AK24" s="84"/>
      <c r="AL24" s="84"/>
      <c r="AM24" s="101"/>
    </row>
    <row r="25" spans="1:39" s="99" customFormat="1" ht="38.25" x14ac:dyDescent="0.25">
      <c r="A25" s="481" t="s">
        <v>181</v>
      </c>
      <c r="B25" s="75" t="s">
        <v>5</v>
      </c>
      <c r="C25" s="86"/>
      <c r="D25" s="170" t="s">
        <v>55</v>
      </c>
      <c r="E25" s="86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84"/>
      <c r="T25" s="101"/>
      <c r="U25" s="75"/>
      <c r="V25" s="75"/>
      <c r="W25" s="75"/>
      <c r="X25" s="127" t="s">
        <v>68</v>
      </c>
      <c r="Y25" s="101"/>
      <c r="Z25" s="101"/>
      <c r="AA25" s="101"/>
      <c r="AB25" s="101"/>
      <c r="AC25" s="125"/>
      <c r="AD25" s="126"/>
      <c r="AE25" s="80"/>
      <c r="AF25" s="80"/>
      <c r="AG25" s="80"/>
      <c r="AH25" s="84"/>
      <c r="AI25" s="84"/>
      <c r="AJ25" s="84"/>
      <c r="AK25" s="84"/>
      <c r="AL25" s="84"/>
      <c r="AM25" s="101"/>
    </row>
    <row r="26" spans="1:39" s="99" customFormat="1" ht="25.5" x14ac:dyDescent="0.25">
      <c r="A26" s="481"/>
      <c r="B26" s="75" t="s">
        <v>58</v>
      </c>
      <c r="C26" s="86"/>
      <c r="D26" s="174" t="s">
        <v>284</v>
      </c>
      <c r="E26" s="86"/>
      <c r="F26" s="101"/>
      <c r="G26" s="101"/>
      <c r="H26" s="101"/>
      <c r="I26" s="101"/>
      <c r="J26" s="101"/>
      <c r="K26" s="84" t="s">
        <v>31</v>
      </c>
      <c r="L26" s="121"/>
      <c r="M26" s="103"/>
      <c r="N26" s="103"/>
      <c r="O26" s="103"/>
      <c r="P26" s="101"/>
      <c r="Q26" s="101"/>
      <c r="R26" s="101"/>
      <c r="S26" s="101"/>
      <c r="T26" s="101"/>
      <c r="U26" s="101" t="s">
        <v>29</v>
      </c>
      <c r="V26" s="101"/>
      <c r="W26" s="101"/>
      <c r="X26" s="127" t="s">
        <v>36</v>
      </c>
      <c r="Y26" s="124"/>
      <c r="Z26" s="101"/>
      <c r="AA26" s="101"/>
      <c r="AB26" s="101"/>
      <c r="AC26" s="125"/>
      <c r="AD26" s="126"/>
      <c r="AE26" s="101"/>
      <c r="AF26" s="101"/>
      <c r="AG26" s="101"/>
      <c r="AH26" s="101"/>
      <c r="AI26" s="101"/>
      <c r="AJ26" s="101"/>
      <c r="AK26" s="101"/>
      <c r="AL26" s="101"/>
      <c r="AM26" s="101"/>
    </row>
    <row r="27" spans="1:39" s="99" customFormat="1" ht="38.25" x14ac:dyDescent="0.25">
      <c r="A27" s="481"/>
      <c r="B27" s="75" t="s">
        <v>195</v>
      </c>
      <c r="C27" s="86"/>
      <c r="D27" s="167" t="s">
        <v>57</v>
      </c>
      <c r="E27" s="86"/>
      <c r="F27" s="101"/>
      <c r="G27" s="101"/>
      <c r="H27" s="101"/>
      <c r="I27" s="101"/>
      <c r="J27" s="101"/>
      <c r="K27" s="84"/>
      <c r="L27" s="84"/>
      <c r="M27" s="103"/>
      <c r="N27" s="103"/>
      <c r="O27" s="103"/>
      <c r="P27" s="101"/>
      <c r="Q27" s="101"/>
      <c r="R27" s="101"/>
      <c r="S27" s="101"/>
      <c r="T27" s="101"/>
      <c r="U27" s="101"/>
      <c r="V27" s="101"/>
      <c r="W27" s="109"/>
      <c r="X27" s="127" t="s">
        <v>273</v>
      </c>
      <c r="Y27" s="101"/>
      <c r="Z27" s="101"/>
      <c r="AA27" s="132"/>
      <c r="AB27" s="80" t="s">
        <v>37</v>
      </c>
      <c r="AC27" s="133" t="s">
        <v>38</v>
      </c>
      <c r="AD27" s="126"/>
      <c r="AE27" s="101"/>
      <c r="AF27" s="101"/>
      <c r="AG27" s="101"/>
      <c r="AH27" s="101"/>
      <c r="AI27" s="101"/>
      <c r="AJ27" s="101"/>
      <c r="AK27" s="101"/>
      <c r="AL27" s="101"/>
      <c r="AM27" s="101"/>
    </row>
    <row r="28" spans="1:39" s="99" customFormat="1" ht="25.5" x14ac:dyDescent="0.25">
      <c r="A28" s="486" t="s">
        <v>182</v>
      </c>
      <c r="B28" s="86" t="s">
        <v>6</v>
      </c>
      <c r="C28" s="86"/>
      <c r="D28" s="168" t="s">
        <v>25</v>
      </c>
      <c r="E28" s="86"/>
      <c r="F28" s="101"/>
      <c r="G28" s="101"/>
      <c r="H28" s="101"/>
      <c r="I28" s="101"/>
      <c r="J28" s="101"/>
      <c r="K28" s="101"/>
      <c r="L28" s="101"/>
      <c r="M28" s="103"/>
      <c r="N28" s="103"/>
      <c r="O28" s="103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80" t="s">
        <v>39</v>
      </c>
      <c r="AB28" s="132"/>
      <c r="AC28" s="134"/>
      <c r="AD28" s="126"/>
      <c r="AE28" s="101"/>
      <c r="AF28" s="101"/>
      <c r="AG28" s="101"/>
      <c r="AH28" s="101"/>
      <c r="AI28" s="101"/>
      <c r="AJ28" s="101"/>
      <c r="AK28" s="101"/>
      <c r="AL28" s="101"/>
      <c r="AM28" s="101"/>
    </row>
    <row r="29" spans="1:39" s="99" customFormat="1" ht="39" thickBot="1" x14ac:dyDescent="0.3">
      <c r="A29" s="503"/>
      <c r="B29" s="83" t="s">
        <v>59</v>
      </c>
      <c r="C29" s="88"/>
      <c r="D29" s="175" t="s">
        <v>47</v>
      </c>
      <c r="E29" s="87"/>
      <c r="F29" s="135"/>
      <c r="G29" s="104"/>
      <c r="H29" s="104"/>
      <c r="I29" s="104"/>
      <c r="J29" s="104"/>
      <c r="K29" s="105"/>
      <c r="L29" s="105"/>
      <c r="M29" s="105"/>
      <c r="N29" s="105"/>
      <c r="O29" s="105"/>
      <c r="P29" s="135"/>
      <c r="Q29" s="104"/>
      <c r="R29" s="135"/>
      <c r="S29" s="104"/>
      <c r="T29" s="104"/>
      <c r="U29" s="135"/>
      <c r="V29" s="104"/>
      <c r="W29" s="104"/>
      <c r="X29" s="135"/>
      <c r="Y29" s="104"/>
      <c r="Z29" s="104"/>
      <c r="AA29" s="136" t="s">
        <v>40</v>
      </c>
      <c r="AB29" s="137"/>
      <c r="AC29" s="138"/>
      <c r="AD29" s="126"/>
      <c r="AE29" s="101"/>
      <c r="AF29" s="101"/>
      <c r="AG29" s="101"/>
      <c r="AH29" s="101"/>
      <c r="AI29" s="101"/>
      <c r="AJ29" s="101"/>
      <c r="AK29" s="101"/>
      <c r="AL29" s="101"/>
      <c r="AM29" s="101"/>
    </row>
    <row r="30" spans="1:39" s="99" customFormat="1" ht="51.75" thickTop="1" x14ac:dyDescent="0.25">
      <c r="A30" s="504" t="s">
        <v>183</v>
      </c>
      <c r="B30" s="89" t="s">
        <v>7</v>
      </c>
      <c r="C30" s="91"/>
      <c r="D30" s="176" t="s">
        <v>176</v>
      </c>
      <c r="E30" s="114"/>
      <c r="F30" s="139"/>
      <c r="G30" s="140" t="s">
        <v>275</v>
      </c>
      <c r="H30" s="140"/>
      <c r="I30" s="140"/>
      <c r="J30" s="141"/>
      <c r="K30" s="142"/>
      <c r="L30" s="142"/>
      <c r="M30" s="140" t="s">
        <v>21</v>
      </c>
      <c r="N30" s="140" t="s">
        <v>22</v>
      </c>
      <c r="O30" s="143"/>
      <c r="P30" s="114" t="s">
        <v>28</v>
      </c>
      <c r="Q30" s="144"/>
      <c r="R30" s="139"/>
      <c r="S30" s="140" t="s">
        <v>226</v>
      </c>
      <c r="T30" s="140" t="s">
        <v>42</v>
      </c>
      <c r="U30" s="114" t="s">
        <v>43</v>
      </c>
      <c r="V30" s="140"/>
      <c r="W30" s="145" t="s">
        <v>198</v>
      </c>
      <c r="X30" s="114"/>
      <c r="Y30" s="140"/>
      <c r="Z30" s="144"/>
      <c r="AA30" s="144"/>
      <c r="AB30" s="139"/>
      <c r="AC30" s="144"/>
      <c r="AD30" s="109"/>
      <c r="AE30" s="109"/>
      <c r="AF30" s="109"/>
      <c r="AG30" s="109"/>
      <c r="AH30" s="146"/>
      <c r="AI30" s="109"/>
      <c r="AJ30" s="101"/>
      <c r="AK30" s="101"/>
      <c r="AL30" s="115" t="s">
        <v>73</v>
      </c>
      <c r="AM30" s="101"/>
    </row>
    <row r="31" spans="1:39" s="99" customFormat="1" ht="84.75" customHeight="1" x14ac:dyDescent="0.25">
      <c r="A31" s="499"/>
      <c r="B31" s="81" t="s">
        <v>80</v>
      </c>
      <c r="C31" s="81"/>
      <c r="D31" s="168" t="s">
        <v>77</v>
      </c>
      <c r="E31" s="75"/>
      <c r="F31" s="109"/>
      <c r="G31" s="75" t="s">
        <v>274</v>
      </c>
      <c r="H31" s="75"/>
      <c r="I31" s="75"/>
      <c r="J31" s="124"/>
      <c r="K31" s="101"/>
      <c r="L31" s="101"/>
      <c r="M31" s="147"/>
      <c r="N31" s="147"/>
      <c r="O31" s="146"/>
      <c r="P31" s="147"/>
      <c r="Q31" s="101"/>
      <c r="R31" s="101"/>
      <c r="S31" s="75" t="s">
        <v>226</v>
      </c>
      <c r="T31" s="75" t="s">
        <v>42</v>
      </c>
      <c r="U31" s="75" t="s">
        <v>43</v>
      </c>
      <c r="V31" s="109"/>
      <c r="W31" s="84" t="s">
        <v>198</v>
      </c>
      <c r="X31" s="101"/>
      <c r="Y31" s="75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15" t="s">
        <v>71</v>
      </c>
      <c r="AM31" s="101"/>
    </row>
    <row r="32" spans="1:39" s="99" customFormat="1" ht="51" x14ac:dyDescent="0.25">
      <c r="A32" s="486" t="s">
        <v>184</v>
      </c>
      <c r="B32" s="78" t="s">
        <v>12</v>
      </c>
      <c r="C32" s="78"/>
      <c r="D32" s="170" t="s">
        <v>81</v>
      </c>
      <c r="E32" s="75"/>
      <c r="F32" s="109"/>
      <c r="G32" s="75" t="s">
        <v>276</v>
      </c>
      <c r="H32" s="75"/>
      <c r="I32" s="75"/>
      <c r="J32" s="124"/>
      <c r="K32" s="101"/>
      <c r="L32" s="101"/>
      <c r="M32" s="147"/>
      <c r="N32" s="147"/>
      <c r="O32" s="146"/>
      <c r="P32" s="147"/>
      <c r="Q32" s="101"/>
      <c r="R32" s="101"/>
      <c r="S32" s="75" t="s">
        <v>226</v>
      </c>
      <c r="T32" s="109"/>
      <c r="U32" s="75" t="s">
        <v>43</v>
      </c>
      <c r="V32" s="109"/>
      <c r="W32" s="84" t="s">
        <v>198</v>
      </c>
      <c r="X32" s="101"/>
      <c r="Y32" s="75"/>
      <c r="Z32" s="101"/>
      <c r="AA32" s="101"/>
      <c r="AB32" s="101"/>
      <c r="AC32" s="101"/>
      <c r="AD32" s="101"/>
      <c r="AE32" s="101"/>
      <c r="AF32" s="101"/>
      <c r="AG32" s="101"/>
      <c r="AH32" s="101"/>
      <c r="AJ32" s="124"/>
      <c r="AK32" s="101"/>
      <c r="AL32" s="115" t="s">
        <v>261</v>
      </c>
      <c r="AM32" s="101"/>
    </row>
    <row r="33" spans="1:39" s="99" customFormat="1" ht="76.5" x14ac:dyDescent="0.25">
      <c r="A33" s="499"/>
      <c r="B33" s="81" t="s">
        <v>60</v>
      </c>
      <c r="C33" s="81"/>
      <c r="D33" s="168" t="s">
        <v>45</v>
      </c>
      <c r="E33" s="84" t="s">
        <v>207</v>
      </c>
      <c r="F33" s="84" t="s">
        <v>208</v>
      </c>
      <c r="G33" s="148" t="s">
        <v>206</v>
      </c>
      <c r="H33" s="148"/>
      <c r="I33" s="148"/>
      <c r="J33" s="124"/>
      <c r="K33" s="101"/>
      <c r="L33" s="101"/>
      <c r="M33" s="101"/>
      <c r="N33" s="101"/>
      <c r="O33" s="75" t="s">
        <v>23</v>
      </c>
      <c r="P33" s="146"/>
      <c r="Q33" s="75" t="s">
        <v>24</v>
      </c>
      <c r="R33" s="109"/>
      <c r="S33" s="148" t="s">
        <v>225</v>
      </c>
      <c r="T33" s="75" t="s">
        <v>279</v>
      </c>
      <c r="V33" s="109"/>
      <c r="W33" s="109"/>
      <c r="X33" s="109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24"/>
      <c r="AL33" s="115" t="s">
        <v>72</v>
      </c>
      <c r="AM33" s="101"/>
    </row>
    <row r="34" spans="1:39" s="99" customFormat="1" ht="67.5" customHeight="1" x14ac:dyDescent="0.25">
      <c r="A34" s="486" t="s">
        <v>257</v>
      </c>
      <c r="B34" s="81" t="s">
        <v>13</v>
      </c>
      <c r="C34" s="81"/>
      <c r="D34" s="168" t="s">
        <v>176</v>
      </c>
      <c r="E34" s="101"/>
      <c r="F34" s="101"/>
      <c r="G34" s="101"/>
      <c r="H34" s="114" t="s">
        <v>277</v>
      </c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9"/>
      <c r="U34" s="84" t="s">
        <v>79</v>
      </c>
      <c r="V34" s="84" t="s">
        <v>280</v>
      </c>
      <c r="W34" s="84" t="s">
        <v>199</v>
      </c>
      <c r="X34" s="109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15" t="s">
        <v>259</v>
      </c>
      <c r="AM34" s="101"/>
    </row>
    <row r="35" spans="1:39" s="99" customFormat="1" ht="66.75" customHeight="1" x14ac:dyDescent="0.25">
      <c r="A35" s="499"/>
      <c r="B35" s="81" t="s">
        <v>196</v>
      </c>
      <c r="C35" s="81"/>
      <c r="D35" s="168" t="s">
        <v>77</v>
      </c>
      <c r="E35" s="101"/>
      <c r="F35" s="101"/>
      <c r="G35" s="101"/>
      <c r="H35" s="114" t="s">
        <v>278</v>
      </c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9"/>
      <c r="U35" s="84" t="s">
        <v>79</v>
      </c>
      <c r="V35" s="166" t="s">
        <v>280</v>
      </c>
      <c r="W35" s="84" t="s">
        <v>199</v>
      </c>
      <c r="X35" s="109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15" t="s">
        <v>260</v>
      </c>
      <c r="AM35" s="101"/>
    </row>
    <row r="36" spans="1:39" s="99" customFormat="1" ht="51" x14ac:dyDescent="0.25">
      <c r="A36" s="474" t="s">
        <v>258</v>
      </c>
      <c r="B36" s="81" t="s">
        <v>61</v>
      </c>
      <c r="C36" s="81"/>
      <c r="D36" s="168" t="s">
        <v>81</v>
      </c>
      <c r="E36" s="101"/>
      <c r="F36" s="101"/>
      <c r="G36" s="101"/>
      <c r="H36" s="75" t="s">
        <v>277</v>
      </c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9"/>
      <c r="U36" s="146"/>
      <c r="V36" s="146"/>
      <c r="W36" s="84" t="s">
        <v>199</v>
      </c>
      <c r="X36" s="109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15" t="s">
        <v>262</v>
      </c>
      <c r="AM36" s="101"/>
    </row>
    <row r="37" spans="1:39" s="99" customFormat="1" ht="89.25" customHeight="1" x14ac:dyDescent="0.25">
      <c r="A37" s="475"/>
      <c r="B37" s="81" t="s">
        <v>216</v>
      </c>
      <c r="C37" s="81"/>
      <c r="D37" s="168" t="s">
        <v>45</v>
      </c>
      <c r="E37" s="101"/>
      <c r="F37" s="101"/>
      <c r="G37" s="101"/>
      <c r="H37" s="75" t="s">
        <v>217</v>
      </c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9"/>
      <c r="U37" s="84" t="s">
        <v>79</v>
      </c>
      <c r="V37" s="166" t="s">
        <v>280</v>
      </c>
      <c r="W37" s="84" t="s">
        <v>281</v>
      </c>
      <c r="X37" s="109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15" t="s">
        <v>263</v>
      </c>
      <c r="AM37" s="101"/>
    </row>
    <row r="38" spans="1:39" s="99" customFormat="1" ht="38.25" x14ac:dyDescent="0.25">
      <c r="A38" s="86" t="s">
        <v>187</v>
      </c>
      <c r="B38" s="78" t="s">
        <v>63</v>
      </c>
      <c r="C38" s="81"/>
      <c r="D38" s="168" t="s">
        <v>62</v>
      </c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9"/>
      <c r="U38" s="109"/>
      <c r="V38" s="109"/>
      <c r="W38" s="109"/>
      <c r="X38" s="109"/>
      <c r="Y38" s="84"/>
      <c r="Z38" s="101"/>
      <c r="AA38" s="101"/>
      <c r="AB38" s="115" t="s">
        <v>69</v>
      </c>
      <c r="AC38" s="115" t="s">
        <v>70</v>
      </c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</row>
    <row r="39" spans="1:39" s="99" customFormat="1" x14ac:dyDescent="0.25">
      <c r="A39" s="75" t="s">
        <v>188</v>
      </c>
      <c r="B39" s="82" t="s">
        <v>197</v>
      </c>
      <c r="C39" s="79"/>
      <c r="D39" s="177" t="s">
        <v>46</v>
      </c>
      <c r="E39" s="149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</row>
    <row r="40" spans="1:39" s="99" customFormat="1" x14ac:dyDescent="0.25">
      <c r="B40" s="150"/>
      <c r="C40" s="150"/>
      <c r="D40" s="151"/>
      <c r="E40" s="151"/>
    </row>
  </sheetData>
  <sheetProtection algorithmName="SHA-512" hashValue="XaQ20w37XmpoGKKcCYYrejHVhrBD8/du/wmiwCty90Rfsz2DTyIHgAh+jhjSieLDy95Uig1FPhZCAE81o/c0Fg==" saltValue="Qb+tcUHRrpjqVt90957oOw==" spinCount="100000" sheet="1" objects="1" scenarios="1" selectLockedCells="1" selectUnlockedCells="1"/>
  <mergeCells count="26">
    <mergeCell ref="G2:H2"/>
    <mergeCell ref="B7:B8"/>
    <mergeCell ref="B9:B10"/>
    <mergeCell ref="A34:A35"/>
    <mergeCell ref="A13:A18"/>
    <mergeCell ref="B13:B16"/>
    <mergeCell ref="A28:A29"/>
    <mergeCell ref="A30:A31"/>
    <mergeCell ref="A32:A33"/>
    <mergeCell ref="A22:A24"/>
    <mergeCell ref="A36:A37"/>
    <mergeCell ref="AJ1:AK1"/>
    <mergeCell ref="Y1:AA1"/>
    <mergeCell ref="A25:A27"/>
    <mergeCell ref="AH1:AI1"/>
    <mergeCell ref="E2:F2"/>
    <mergeCell ref="M2:P2"/>
    <mergeCell ref="A5:A10"/>
    <mergeCell ref="B5:B6"/>
    <mergeCell ref="AB1:AC1"/>
    <mergeCell ref="AD1:AE1"/>
    <mergeCell ref="E1:J1"/>
    <mergeCell ref="M1:R1"/>
    <mergeCell ref="V1:X1"/>
    <mergeCell ref="AF1:AG1"/>
    <mergeCell ref="I2:J2"/>
  </mergeCells>
  <pageMargins left="0.25" right="0.25" top="0.75" bottom="0.75" header="0.3" footer="0.3"/>
  <pageSetup paperSize="9" scale="61" fitToWidth="2" fitToHeight="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C9" sqref="C9"/>
    </sheetView>
  </sheetViews>
  <sheetFormatPr baseColWidth="10" defaultRowHeight="15" x14ac:dyDescent="0.25"/>
  <cols>
    <col min="2" max="2" width="15.42578125" customWidth="1"/>
  </cols>
  <sheetData>
    <row r="2" spans="1:2" x14ac:dyDescent="0.25">
      <c r="A2" t="s">
        <v>465</v>
      </c>
      <c r="B2" t="s">
        <v>469</v>
      </c>
    </row>
  </sheetData>
  <sheetProtection algorithmName="SHA-512" hashValue="wxBCLmpcbvVMCfBQ0c+uZf1zAGTZ9x6uC86veQP5PLLcANdEgoXTIdDzo3CPfx7/EXwaPTbxFqZjYGDwDAW6+Q==" saltValue="dJB/soiOiaPNLFN7+dliQ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33</vt:i4>
      </vt:variant>
    </vt:vector>
  </HeadingPairs>
  <TitlesOfParts>
    <vt:vector size="41" baseType="lpstr">
      <vt:lpstr>Index</vt:lpstr>
      <vt:lpstr>Data</vt:lpstr>
      <vt:lpstr>MdBAM_2011</vt:lpstr>
      <vt:lpstr>MdBAM_2012</vt:lpstr>
      <vt:lpstr>MdBAM_2013</vt:lpstr>
      <vt:lpstr>stakeholders_balances</vt:lpstr>
      <vt:lpstr>definitions</vt:lpstr>
      <vt:lpstr>password</vt:lpstr>
      <vt:lpstr>A_0_Input_data</vt:lpstr>
      <vt:lpstr>A_1_Tax_data</vt:lpstr>
      <vt:lpstr>A_2_Income_statement</vt:lpstr>
      <vt:lpstr>A_3_Input_Ouput_VAT_current</vt:lpstr>
      <vt:lpstr>A_5_0_Balance_sheet</vt:lpstr>
      <vt:lpstr>A_5_1_Assets</vt:lpstr>
      <vt:lpstr>A_5_4_Equity_Liablities</vt:lpstr>
      <vt:lpstr>A_6_0_Statement_change_equity</vt:lpstr>
      <vt:lpstr>A_6_1_Statement_recognized_income_expense</vt:lpstr>
      <vt:lpstr>A_6_2_Statement_of_change_share_capital_reserves</vt:lpstr>
      <vt:lpstr>B_0_Aggregation_of_data_under_NA_scheme</vt:lpstr>
      <vt:lpstr>B_1_0_Curent_account</vt:lpstr>
      <vt:lpstr>B_1_1_Output</vt:lpstr>
      <vt:lpstr>B_1_2_Intermediate_consumption</vt:lpstr>
      <vt:lpstr>B_1_3_Fixed_capital_formation</vt:lpstr>
      <vt:lpstr>B_1_4_Value_Added</vt:lpstr>
      <vt:lpstr>B_1_5_Operating_surplus</vt:lpstr>
      <vt:lpstr>B_1_6_Allocation_of_primary_income_account</vt:lpstr>
      <vt:lpstr>B_1_7_Secondary_distribution_of_income_account</vt:lpstr>
      <vt:lpstr>B_1_8_Use_of_disposable_income_account</vt:lpstr>
      <vt:lpstr>B_2_0_Capital_account</vt:lpstr>
      <vt:lpstr>B_2_1_Changes_in_equity_by_shareholders_contribution</vt:lpstr>
      <vt:lpstr>B_2_2_Capital_transfers_received</vt:lpstr>
      <vt:lpstr>B_2_3_Capital_transfers_given</vt:lpstr>
      <vt:lpstr>B_2_4_Change_in_equity</vt:lpstr>
      <vt:lpstr>B_2_5_Adjusted_change_in_equity</vt:lpstr>
      <vt:lpstr>B_2_6_Change_in_inventories</vt:lpstr>
      <vt:lpstr>B_2_7_Fixed_capital_formation</vt:lpstr>
      <vt:lpstr>B_2_8_Net_lending_borrowing</vt:lpstr>
      <vt:lpstr>B_3_0_Financial_account</vt:lpstr>
      <vt:lpstr>B_3_1_Changes_in_financial_assets</vt:lpstr>
      <vt:lpstr>B_3_2_Changes_in_liabilities</vt:lpstr>
      <vt:lpstr>B_3_3_Net_lending_net_borrowing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juan</dc:creator>
  <cp:lastModifiedBy>Usuario</cp:lastModifiedBy>
  <cp:lastPrinted>2019-10-10T10:38:27Z</cp:lastPrinted>
  <dcterms:created xsi:type="dcterms:W3CDTF">2013-06-21T12:48:24Z</dcterms:created>
  <dcterms:modified xsi:type="dcterms:W3CDTF">2020-06-17T12:18:03Z</dcterms:modified>
</cp:coreProperties>
</file>