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78e1a455e5c02ce/Documentos/GitHub/Proyecto_PIPC/Inputs/"/>
    </mc:Choice>
  </mc:AlternateContent>
  <xr:revisionPtr revIDLastSave="0" documentId="13_ncr:1_{CF2C40B5-0007-4E87-85E3-0CDB05564647}" xr6:coauthVersionLast="47" xr6:coauthVersionMax="47" xr10:uidLastSave="{00000000-0000-0000-0000-000000000000}"/>
  <bookViews>
    <workbookView xWindow="-108" yWindow="-108" windowWidth="23256" windowHeight="12456" xr2:uid="{3F095A75-F066-4695-8672-8D4315F1EF23}"/>
  </bookViews>
  <sheets>
    <sheet name="BD" sheetId="1" r:id="rId1"/>
    <sheet name="DATOS" sheetId="2" r:id="rId2"/>
    <sheet name="COD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6" i="4" l="1"/>
  <c r="J67" i="4"/>
  <c r="K67" i="4"/>
  <c r="L67" i="4"/>
  <c r="N67" i="4"/>
  <c r="O67" i="4"/>
  <c r="Q67" i="4"/>
  <c r="R67" i="4"/>
  <c r="J68" i="4"/>
  <c r="K68" i="4"/>
  <c r="L68" i="4"/>
  <c r="N68" i="4"/>
  <c r="O68" i="4"/>
  <c r="Q68" i="4"/>
  <c r="R68" i="4"/>
  <c r="J69" i="4"/>
  <c r="K69" i="4"/>
  <c r="L69" i="4"/>
  <c r="N69" i="4"/>
  <c r="O69" i="4"/>
  <c r="Q69" i="4"/>
  <c r="R69" i="4"/>
  <c r="J70" i="4"/>
  <c r="K70" i="4"/>
  <c r="L70" i="4"/>
  <c r="N70" i="4"/>
  <c r="O70" i="4"/>
  <c r="Q70" i="4"/>
  <c r="R70" i="4"/>
  <c r="J71" i="4"/>
  <c r="K71" i="4"/>
  <c r="L71" i="4"/>
  <c r="N71" i="4"/>
  <c r="O71" i="4"/>
  <c r="Q71" i="4"/>
  <c r="R71" i="4"/>
  <c r="J72" i="4"/>
  <c r="K72" i="4"/>
  <c r="L72" i="4"/>
  <c r="N72" i="4"/>
  <c r="O72" i="4"/>
  <c r="Q72" i="4"/>
  <c r="R72" i="4"/>
  <c r="J73" i="4"/>
  <c r="K73" i="4"/>
  <c r="L73" i="4"/>
  <c r="N73" i="4"/>
  <c r="O73" i="4"/>
  <c r="Q73" i="4"/>
  <c r="R73" i="4"/>
  <c r="J74" i="4"/>
  <c r="K74" i="4"/>
  <c r="L74" i="4"/>
  <c r="N74" i="4"/>
  <c r="O74" i="4"/>
  <c r="Q74" i="4"/>
  <c r="R74" i="4"/>
  <c r="J75" i="4"/>
  <c r="K75" i="4"/>
  <c r="L75" i="4"/>
  <c r="N75" i="4"/>
  <c r="O75" i="4"/>
  <c r="Q75" i="4"/>
  <c r="R75" i="4"/>
  <c r="J76" i="4"/>
  <c r="K76" i="4"/>
  <c r="L76" i="4"/>
  <c r="N76" i="4"/>
  <c r="O76" i="4"/>
  <c r="Q76" i="4"/>
  <c r="R76" i="4"/>
  <c r="J77" i="4"/>
  <c r="K77" i="4"/>
  <c r="L77" i="4"/>
  <c r="N77" i="4"/>
  <c r="O77" i="4"/>
  <c r="Q77" i="4"/>
  <c r="R77" i="4"/>
  <c r="J78" i="4"/>
  <c r="K78" i="4"/>
  <c r="L78" i="4"/>
  <c r="N78" i="4"/>
  <c r="O78" i="4"/>
  <c r="Q78" i="4"/>
  <c r="R78" i="4"/>
  <c r="J79" i="4"/>
  <c r="K79" i="4"/>
  <c r="L79" i="4"/>
  <c r="N79" i="4"/>
  <c r="O79" i="4"/>
  <c r="Q79" i="4"/>
  <c r="R79" i="4"/>
  <c r="J80" i="4"/>
  <c r="K80" i="4"/>
  <c r="L80" i="4"/>
  <c r="N80" i="4"/>
  <c r="O80" i="4"/>
  <c r="Q80" i="4"/>
  <c r="R80" i="4"/>
  <c r="J81" i="4"/>
  <c r="K81" i="4"/>
  <c r="L81" i="4"/>
  <c r="N81" i="4"/>
  <c r="O81" i="4"/>
  <c r="Q81" i="4"/>
  <c r="R81" i="4"/>
  <c r="J82" i="4"/>
  <c r="K82" i="4"/>
  <c r="L82" i="4"/>
  <c r="N82" i="4"/>
  <c r="O82" i="4"/>
  <c r="Q82" i="4"/>
  <c r="R82" i="4"/>
  <c r="J83" i="4"/>
  <c r="K83" i="4"/>
  <c r="L83" i="4"/>
  <c r="N83" i="4"/>
  <c r="O83" i="4"/>
  <c r="Q83" i="4"/>
  <c r="R83" i="4"/>
  <c r="J84" i="4"/>
  <c r="K84" i="4"/>
  <c r="L84" i="4"/>
  <c r="N84" i="4"/>
  <c r="O84" i="4"/>
  <c r="Q84" i="4"/>
  <c r="R84" i="4"/>
  <c r="J85" i="4"/>
  <c r="K85" i="4"/>
  <c r="L85" i="4"/>
  <c r="N85" i="4"/>
  <c r="O85" i="4"/>
  <c r="Q85" i="4"/>
  <c r="R85" i="4"/>
  <c r="J86" i="4"/>
  <c r="K86" i="4"/>
  <c r="L86" i="4"/>
  <c r="N86" i="4"/>
  <c r="O86" i="4"/>
  <c r="Q86" i="4"/>
  <c r="R86" i="4"/>
  <c r="J87" i="4"/>
  <c r="K87" i="4"/>
  <c r="L87" i="4"/>
  <c r="N87" i="4"/>
  <c r="O87" i="4"/>
  <c r="Q87" i="4"/>
  <c r="R87" i="4"/>
  <c r="J88" i="4"/>
  <c r="K88" i="4"/>
  <c r="L88" i="4"/>
  <c r="N88" i="4"/>
  <c r="O88" i="4"/>
  <c r="Q88" i="4"/>
  <c r="R88" i="4"/>
  <c r="J89" i="4"/>
  <c r="K89" i="4"/>
  <c r="L89" i="4"/>
  <c r="N89" i="4"/>
  <c r="O89" i="4"/>
  <c r="Q89" i="4"/>
  <c r="R89" i="4"/>
  <c r="J90" i="4"/>
  <c r="K90" i="4"/>
  <c r="L90" i="4"/>
  <c r="N90" i="4"/>
  <c r="O90" i="4"/>
  <c r="Q90" i="4"/>
  <c r="R90" i="4"/>
  <c r="Q66" i="4"/>
  <c r="H90" i="4"/>
  <c r="H89" i="4"/>
  <c r="H88" i="4"/>
  <c r="H87" i="4"/>
  <c r="H86" i="4"/>
  <c r="H85" i="4"/>
  <c r="H84" i="4"/>
  <c r="H83" i="4"/>
  <c r="H82" i="4"/>
  <c r="H81" i="4"/>
  <c r="H80" i="4"/>
  <c r="H79" i="4"/>
  <c r="H78" i="4"/>
  <c r="H77" i="4"/>
  <c r="H76" i="4"/>
  <c r="H75" i="4"/>
  <c r="H74" i="4"/>
  <c r="H73" i="4"/>
  <c r="H72" i="4"/>
  <c r="H71" i="4"/>
  <c r="H70" i="4"/>
  <c r="H69" i="4"/>
  <c r="H68" i="4"/>
  <c r="H67" i="4"/>
  <c r="H66" i="4"/>
  <c r="N66" i="4"/>
  <c r="J66" i="4"/>
  <c r="R66" i="4"/>
  <c r="O66" i="4"/>
  <c r="K66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74" i="4"/>
  <c r="G58" i="4"/>
  <c r="G57" i="4"/>
  <c r="G48" i="4"/>
  <c r="G47" i="4"/>
  <c r="G136" i="4"/>
  <c r="G133" i="4"/>
  <c r="G130" i="4"/>
  <c r="G127" i="4"/>
  <c r="G124" i="4"/>
  <c r="G121" i="4"/>
  <c r="G118" i="4"/>
  <c r="G115" i="4"/>
  <c r="G112" i="4"/>
  <c r="G11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50" i="4"/>
  <c r="G107" i="4"/>
  <c r="G117" i="4"/>
  <c r="G120" i="4"/>
  <c r="G123" i="4"/>
  <c r="G126" i="4"/>
  <c r="G129" i="4"/>
  <c r="G132" i="4"/>
  <c r="G135" i="4"/>
  <c r="G114" i="4"/>
  <c r="G87" i="4"/>
  <c r="G1" i="4"/>
  <c r="G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9" i="4"/>
  <c r="G50" i="4"/>
  <c r="G51" i="4"/>
  <c r="G52" i="4"/>
  <c r="G53" i="4"/>
  <c r="G54" i="4"/>
  <c r="G55" i="4"/>
  <c r="G56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8" i="4"/>
  <c r="G109" i="4"/>
  <c r="G111" i="4"/>
  <c r="G113" i="4"/>
  <c r="G116" i="4"/>
  <c r="G119" i="4"/>
  <c r="G122" i="4"/>
  <c r="G125" i="4"/>
  <c r="G128" i="4"/>
  <c r="G131" i="4"/>
  <c r="G134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N1" i="4"/>
  <c r="R2" i="4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J2" i="4"/>
  <c r="K2" i="4"/>
  <c r="L2" i="4"/>
  <c r="N2" i="4"/>
  <c r="O2" i="4"/>
  <c r="Q2" i="4"/>
  <c r="J3" i="4"/>
  <c r="K3" i="4"/>
  <c r="L3" i="4"/>
  <c r="N3" i="4"/>
  <c r="O3" i="4"/>
  <c r="Q3" i="4"/>
  <c r="J4" i="4"/>
  <c r="K4" i="4"/>
  <c r="L4" i="4"/>
  <c r="N4" i="4"/>
  <c r="O4" i="4"/>
  <c r="Q4" i="4"/>
  <c r="J5" i="4"/>
  <c r="K5" i="4"/>
  <c r="L5" i="4"/>
  <c r="N5" i="4"/>
  <c r="O5" i="4"/>
  <c r="Q5" i="4"/>
  <c r="J6" i="4"/>
  <c r="K6" i="4"/>
  <c r="L6" i="4"/>
  <c r="N6" i="4"/>
  <c r="O6" i="4"/>
  <c r="Q6" i="4"/>
  <c r="J7" i="4"/>
  <c r="K7" i="4"/>
  <c r="L7" i="4"/>
  <c r="N7" i="4"/>
  <c r="O7" i="4"/>
  <c r="Q7" i="4"/>
  <c r="J8" i="4"/>
  <c r="K8" i="4"/>
  <c r="L8" i="4"/>
  <c r="N8" i="4"/>
  <c r="O8" i="4"/>
  <c r="Q8" i="4"/>
  <c r="J9" i="4"/>
  <c r="K9" i="4"/>
  <c r="L9" i="4"/>
  <c r="N9" i="4"/>
  <c r="O9" i="4"/>
  <c r="Q9" i="4"/>
  <c r="J10" i="4"/>
  <c r="K10" i="4"/>
  <c r="L10" i="4"/>
  <c r="N10" i="4"/>
  <c r="O10" i="4"/>
  <c r="Q10" i="4"/>
  <c r="J11" i="4"/>
  <c r="K11" i="4"/>
  <c r="L11" i="4"/>
  <c r="N11" i="4"/>
  <c r="O11" i="4"/>
  <c r="Q11" i="4"/>
  <c r="J12" i="4"/>
  <c r="K12" i="4"/>
  <c r="L12" i="4"/>
  <c r="N12" i="4"/>
  <c r="O12" i="4"/>
  <c r="Q12" i="4"/>
  <c r="J13" i="4"/>
  <c r="K13" i="4"/>
  <c r="L13" i="4"/>
  <c r="N13" i="4"/>
  <c r="O13" i="4"/>
  <c r="Q13" i="4"/>
  <c r="J14" i="4"/>
  <c r="K14" i="4"/>
  <c r="L14" i="4"/>
  <c r="N14" i="4"/>
  <c r="O14" i="4"/>
  <c r="Q14" i="4"/>
  <c r="J15" i="4"/>
  <c r="K15" i="4"/>
  <c r="L15" i="4"/>
  <c r="N15" i="4"/>
  <c r="O15" i="4"/>
  <c r="Q15" i="4"/>
  <c r="J16" i="4"/>
  <c r="K16" i="4"/>
  <c r="L16" i="4"/>
  <c r="N16" i="4"/>
  <c r="O16" i="4"/>
  <c r="Q16" i="4"/>
  <c r="J17" i="4"/>
  <c r="K17" i="4"/>
  <c r="L17" i="4"/>
  <c r="N17" i="4"/>
  <c r="O17" i="4"/>
  <c r="Q17" i="4"/>
  <c r="J18" i="4"/>
  <c r="K18" i="4"/>
  <c r="L18" i="4"/>
  <c r="N18" i="4"/>
  <c r="O18" i="4"/>
  <c r="Q18" i="4"/>
  <c r="J19" i="4"/>
  <c r="K19" i="4"/>
  <c r="L19" i="4"/>
  <c r="N19" i="4"/>
  <c r="O19" i="4"/>
  <c r="Q19" i="4"/>
  <c r="J20" i="4"/>
  <c r="K20" i="4"/>
  <c r="L20" i="4"/>
  <c r="N20" i="4"/>
  <c r="O20" i="4"/>
  <c r="Q20" i="4"/>
  <c r="J21" i="4"/>
  <c r="K21" i="4"/>
  <c r="L21" i="4"/>
  <c r="N21" i="4"/>
  <c r="O21" i="4"/>
  <c r="Q21" i="4"/>
  <c r="J22" i="4"/>
  <c r="K22" i="4"/>
  <c r="L22" i="4"/>
  <c r="N22" i="4"/>
  <c r="O22" i="4"/>
  <c r="Q22" i="4"/>
  <c r="J23" i="4"/>
  <c r="K23" i="4"/>
  <c r="L23" i="4"/>
  <c r="N23" i="4"/>
  <c r="O23" i="4"/>
  <c r="Q23" i="4"/>
  <c r="J24" i="4"/>
  <c r="K24" i="4"/>
  <c r="L24" i="4"/>
  <c r="N24" i="4"/>
  <c r="O24" i="4"/>
  <c r="Q24" i="4"/>
  <c r="J25" i="4"/>
  <c r="K25" i="4"/>
  <c r="L25" i="4"/>
  <c r="N25" i="4"/>
  <c r="O25" i="4"/>
  <c r="Q25" i="4"/>
  <c r="J26" i="4"/>
  <c r="K26" i="4"/>
  <c r="L26" i="4"/>
  <c r="N26" i="4"/>
  <c r="O26" i="4"/>
  <c r="Q26" i="4"/>
  <c r="J27" i="4"/>
  <c r="K27" i="4"/>
  <c r="L27" i="4"/>
  <c r="N27" i="4"/>
  <c r="O27" i="4"/>
  <c r="Q27" i="4"/>
  <c r="J28" i="4"/>
  <c r="K28" i="4"/>
  <c r="L28" i="4"/>
  <c r="N28" i="4"/>
  <c r="O28" i="4"/>
  <c r="Q28" i="4"/>
  <c r="J29" i="4"/>
  <c r="K29" i="4"/>
  <c r="L29" i="4"/>
  <c r="N29" i="4"/>
  <c r="O29" i="4"/>
  <c r="Q29" i="4"/>
  <c r="J30" i="4"/>
  <c r="K30" i="4"/>
  <c r="L30" i="4"/>
  <c r="N30" i="4"/>
  <c r="O30" i="4"/>
  <c r="Q30" i="4"/>
  <c r="J31" i="4"/>
  <c r="K31" i="4"/>
  <c r="L31" i="4"/>
  <c r="N31" i="4"/>
  <c r="O31" i="4"/>
  <c r="Q31" i="4"/>
  <c r="J32" i="4"/>
  <c r="K32" i="4"/>
  <c r="L32" i="4"/>
  <c r="N32" i="4"/>
  <c r="O32" i="4"/>
  <c r="Q32" i="4"/>
  <c r="J33" i="4"/>
  <c r="K33" i="4"/>
  <c r="L33" i="4"/>
  <c r="N33" i="4"/>
  <c r="O33" i="4"/>
  <c r="Q33" i="4"/>
  <c r="J34" i="4"/>
  <c r="K34" i="4"/>
  <c r="L34" i="4"/>
  <c r="N34" i="4"/>
  <c r="O34" i="4"/>
  <c r="Q34" i="4"/>
  <c r="J35" i="4"/>
  <c r="K35" i="4"/>
  <c r="L35" i="4"/>
  <c r="N35" i="4"/>
  <c r="O35" i="4"/>
  <c r="Q35" i="4"/>
  <c r="J36" i="4"/>
  <c r="K36" i="4"/>
  <c r="L36" i="4"/>
  <c r="N36" i="4"/>
  <c r="O36" i="4"/>
  <c r="Q36" i="4"/>
  <c r="J37" i="4"/>
  <c r="K37" i="4"/>
  <c r="L37" i="4"/>
  <c r="N37" i="4"/>
  <c r="O37" i="4"/>
  <c r="Q37" i="4"/>
  <c r="J38" i="4"/>
  <c r="K38" i="4"/>
  <c r="L38" i="4"/>
  <c r="N38" i="4"/>
  <c r="O38" i="4"/>
  <c r="Q38" i="4"/>
  <c r="J39" i="4"/>
  <c r="K39" i="4"/>
  <c r="L39" i="4"/>
  <c r="N39" i="4"/>
  <c r="O39" i="4"/>
  <c r="Q39" i="4"/>
  <c r="J40" i="4"/>
  <c r="K40" i="4"/>
  <c r="L40" i="4"/>
  <c r="N40" i="4"/>
  <c r="O40" i="4"/>
  <c r="Q40" i="4"/>
  <c r="J41" i="4"/>
  <c r="K41" i="4"/>
  <c r="L41" i="4"/>
  <c r="N41" i="4"/>
  <c r="O41" i="4"/>
  <c r="Q41" i="4"/>
  <c r="J42" i="4"/>
  <c r="K42" i="4"/>
  <c r="L42" i="4"/>
  <c r="N42" i="4"/>
  <c r="O42" i="4"/>
  <c r="Q42" i="4"/>
  <c r="J43" i="4"/>
  <c r="K43" i="4"/>
  <c r="L43" i="4"/>
  <c r="N43" i="4"/>
  <c r="O43" i="4"/>
  <c r="Q43" i="4"/>
  <c r="J44" i="4"/>
  <c r="K44" i="4"/>
  <c r="L44" i="4"/>
  <c r="N44" i="4"/>
  <c r="O44" i="4"/>
  <c r="Q44" i="4"/>
  <c r="J45" i="4"/>
  <c r="K45" i="4"/>
  <c r="L45" i="4"/>
  <c r="N45" i="4"/>
  <c r="O45" i="4"/>
  <c r="Q45" i="4"/>
  <c r="J46" i="4"/>
  <c r="K46" i="4"/>
  <c r="L46" i="4"/>
  <c r="N46" i="4"/>
  <c r="O46" i="4"/>
  <c r="Q46" i="4"/>
  <c r="J47" i="4"/>
  <c r="K47" i="4"/>
  <c r="L47" i="4"/>
  <c r="N47" i="4"/>
  <c r="O47" i="4"/>
  <c r="Q47" i="4"/>
  <c r="J48" i="4"/>
  <c r="K48" i="4"/>
  <c r="L48" i="4"/>
  <c r="N48" i="4"/>
  <c r="O48" i="4"/>
  <c r="Q48" i="4"/>
  <c r="J49" i="4"/>
  <c r="K49" i="4"/>
  <c r="L49" i="4"/>
  <c r="N49" i="4"/>
  <c r="O49" i="4"/>
  <c r="Q49" i="4"/>
  <c r="J50" i="4"/>
  <c r="K50" i="4"/>
  <c r="L50" i="4"/>
  <c r="N50" i="4"/>
  <c r="O50" i="4"/>
  <c r="Q50" i="4"/>
  <c r="J51" i="4"/>
  <c r="K51" i="4"/>
  <c r="L51" i="4"/>
  <c r="N51" i="4"/>
  <c r="O51" i="4"/>
  <c r="Q51" i="4"/>
  <c r="J52" i="4"/>
  <c r="K52" i="4"/>
  <c r="L52" i="4"/>
  <c r="N52" i="4"/>
  <c r="O52" i="4"/>
  <c r="Q52" i="4"/>
  <c r="J53" i="4"/>
  <c r="K53" i="4"/>
  <c r="L53" i="4"/>
  <c r="N53" i="4"/>
  <c r="O53" i="4"/>
  <c r="Q53" i="4"/>
  <c r="J54" i="4"/>
  <c r="K54" i="4"/>
  <c r="L54" i="4"/>
  <c r="N54" i="4"/>
  <c r="O54" i="4"/>
  <c r="Q54" i="4"/>
  <c r="J55" i="4"/>
  <c r="K55" i="4"/>
  <c r="L55" i="4"/>
  <c r="N55" i="4"/>
  <c r="O55" i="4"/>
  <c r="Q55" i="4"/>
  <c r="J56" i="4"/>
  <c r="K56" i="4"/>
  <c r="L56" i="4"/>
  <c r="N56" i="4"/>
  <c r="O56" i="4"/>
  <c r="Q56" i="4"/>
  <c r="J57" i="4"/>
  <c r="K57" i="4"/>
  <c r="L57" i="4"/>
  <c r="N57" i="4"/>
  <c r="O57" i="4"/>
  <c r="Q57" i="4"/>
  <c r="J58" i="4"/>
  <c r="K58" i="4"/>
  <c r="L58" i="4"/>
  <c r="N58" i="4"/>
  <c r="O58" i="4"/>
  <c r="Q58" i="4"/>
  <c r="J59" i="4"/>
  <c r="K59" i="4"/>
  <c r="L59" i="4"/>
  <c r="N59" i="4"/>
  <c r="O59" i="4"/>
  <c r="Q59" i="4"/>
  <c r="J60" i="4"/>
  <c r="K60" i="4"/>
  <c r="L60" i="4"/>
  <c r="N60" i="4"/>
  <c r="O60" i="4"/>
  <c r="Q60" i="4"/>
  <c r="J61" i="4"/>
  <c r="K61" i="4"/>
  <c r="L61" i="4"/>
  <c r="N61" i="4"/>
  <c r="O61" i="4"/>
  <c r="Q61" i="4"/>
  <c r="J62" i="4"/>
  <c r="K62" i="4"/>
  <c r="L62" i="4"/>
  <c r="N62" i="4"/>
  <c r="O62" i="4"/>
  <c r="Q62" i="4"/>
  <c r="J63" i="4"/>
  <c r="K63" i="4"/>
  <c r="L63" i="4"/>
  <c r="N63" i="4"/>
  <c r="O63" i="4"/>
  <c r="Q63" i="4"/>
  <c r="J64" i="4"/>
  <c r="K64" i="4"/>
  <c r="L64" i="4"/>
  <c r="N64" i="4"/>
  <c r="O64" i="4"/>
  <c r="Q64" i="4"/>
  <c r="J65" i="4"/>
  <c r="K65" i="4"/>
  <c r="L65" i="4"/>
  <c r="N65" i="4"/>
  <c r="O65" i="4"/>
  <c r="Q65" i="4"/>
  <c r="L1" i="4"/>
  <c r="Q1" i="4"/>
  <c r="O1" i="4"/>
  <c r="K1" i="4"/>
  <c r="J1" i="4"/>
  <c r="R1" i="4"/>
  <c r="ET197" i="1"/>
  <c r="EQ197" i="1"/>
  <c r="EN197" i="1"/>
  <c r="EK197" i="1"/>
  <c r="BS197" i="1"/>
  <c r="AR197" i="1"/>
  <c r="ET196" i="1"/>
  <c r="EQ196" i="1"/>
  <c r="EN196" i="1"/>
  <c r="EK196" i="1"/>
  <c r="BS196" i="1"/>
  <c r="AR196" i="1"/>
  <c r="ET195" i="1"/>
  <c r="EQ195" i="1"/>
  <c r="EN195" i="1"/>
  <c r="EK195" i="1"/>
  <c r="BS195" i="1"/>
  <c r="AR195" i="1"/>
  <c r="ET194" i="1"/>
  <c r="EQ194" i="1"/>
  <c r="EN194" i="1"/>
  <c r="EK194" i="1"/>
  <c r="BS194" i="1"/>
  <c r="AR194" i="1"/>
  <c r="ET193" i="1"/>
  <c r="EQ193" i="1"/>
  <c r="EN193" i="1"/>
  <c r="EK193" i="1"/>
  <c r="BS193" i="1"/>
  <c r="AR193" i="1"/>
  <c r="ET192" i="1"/>
  <c r="EQ192" i="1"/>
  <c r="EN192" i="1"/>
  <c r="EK192" i="1"/>
  <c r="BS192" i="1"/>
  <c r="AR192" i="1"/>
  <c r="ET191" i="1"/>
  <c r="EQ191" i="1"/>
  <c r="EN191" i="1"/>
  <c r="EK191" i="1"/>
  <c r="BS191" i="1"/>
  <c r="AR191" i="1"/>
  <c r="ET190" i="1"/>
  <c r="EQ190" i="1"/>
  <c r="EN190" i="1"/>
  <c r="EK190" i="1"/>
  <c r="BS190" i="1"/>
  <c r="AR190" i="1"/>
  <c r="ET189" i="1"/>
  <c r="EQ189" i="1"/>
  <c r="EN189" i="1"/>
  <c r="EK189" i="1"/>
  <c r="BS189" i="1"/>
  <c r="AR189" i="1"/>
  <c r="ET188" i="1"/>
  <c r="EQ188" i="1"/>
  <c r="EN188" i="1"/>
  <c r="EK188" i="1"/>
  <c r="BS188" i="1"/>
  <c r="AR188" i="1"/>
  <c r="ET187" i="1"/>
  <c r="EQ187" i="1"/>
  <c r="EN187" i="1"/>
  <c r="EK187" i="1"/>
  <c r="BS187" i="1"/>
  <c r="AR187" i="1"/>
  <c r="ET186" i="1"/>
  <c r="EQ186" i="1"/>
  <c r="EN186" i="1"/>
  <c r="EK186" i="1"/>
  <c r="BS186" i="1"/>
  <c r="AR186" i="1"/>
  <c r="ET185" i="1"/>
  <c r="EQ185" i="1"/>
  <c r="EN185" i="1"/>
  <c r="EK185" i="1"/>
  <c r="BS185" i="1"/>
  <c r="AR185" i="1"/>
  <c r="ET184" i="1"/>
  <c r="EQ184" i="1"/>
  <c r="EN184" i="1"/>
  <c r="EK184" i="1"/>
  <c r="BS184" i="1"/>
  <c r="AR184" i="1"/>
  <c r="ET183" i="1"/>
  <c r="EQ183" i="1"/>
  <c r="EN183" i="1"/>
  <c r="EK183" i="1"/>
  <c r="BS183" i="1"/>
  <c r="AR183" i="1"/>
  <c r="ET182" i="1"/>
  <c r="EQ182" i="1"/>
  <c r="EN182" i="1"/>
  <c r="EK182" i="1"/>
  <c r="BS182" i="1"/>
  <c r="AR182" i="1"/>
  <c r="ET181" i="1"/>
  <c r="EQ181" i="1"/>
  <c r="EN181" i="1"/>
  <c r="EK181" i="1"/>
  <c r="BS181" i="1"/>
  <c r="AR181" i="1"/>
  <c r="ET180" i="1"/>
  <c r="EQ180" i="1"/>
  <c r="EN180" i="1"/>
  <c r="EK180" i="1"/>
  <c r="BS180" i="1"/>
  <c r="AR180" i="1"/>
  <c r="ET179" i="1"/>
  <c r="EQ179" i="1"/>
  <c r="EN179" i="1"/>
  <c r="EK179" i="1"/>
  <c r="BS179" i="1"/>
  <c r="AR179" i="1"/>
  <c r="ET178" i="1"/>
  <c r="EQ178" i="1"/>
  <c r="EN178" i="1"/>
  <c r="EK178" i="1"/>
  <c r="BS178" i="1"/>
  <c r="AR178" i="1"/>
  <c r="ET177" i="1"/>
  <c r="EQ177" i="1"/>
  <c r="EN177" i="1"/>
  <c r="EK177" i="1"/>
  <c r="BS177" i="1"/>
  <c r="AR177" i="1"/>
  <c r="ET176" i="1"/>
  <c r="EQ176" i="1"/>
  <c r="EN176" i="1"/>
  <c r="EK176" i="1"/>
  <c r="BS176" i="1"/>
  <c r="AR176" i="1"/>
  <c r="ET175" i="1"/>
  <c r="EQ175" i="1"/>
  <c r="EN175" i="1"/>
  <c r="EK175" i="1"/>
  <c r="BS175" i="1"/>
  <c r="AR175" i="1"/>
  <c r="ET174" i="1"/>
  <c r="EQ174" i="1"/>
  <c r="EN174" i="1"/>
  <c r="EK174" i="1"/>
  <c r="BS174" i="1"/>
  <c r="AR174" i="1"/>
  <c r="ET173" i="1"/>
  <c r="EQ173" i="1"/>
  <c r="EN173" i="1"/>
  <c r="EK173" i="1"/>
  <c r="BS173" i="1"/>
  <c r="AR173" i="1"/>
  <c r="ET172" i="1"/>
  <c r="EQ172" i="1"/>
  <c r="EN172" i="1"/>
  <c r="EK172" i="1"/>
  <c r="BS172" i="1"/>
  <c r="AR172" i="1"/>
  <c r="ET171" i="1"/>
  <c r="EQ171" i="1"/>
  <c r="EN171" i="1"/>
  <c r="EK171" i="1"/>
  <c r="BS171" i="1"/>
  <c r="AR171" i="1"/>
  <c r="ET170" i="1"/>
  <c r="EQ170" i="1"/>
  <c r="EN170" i="1"/>
  <c r="EK170" i="1"/>
  <c r="BS170" i="1"/>
  <c r="AR170" i="1"/>
  <c r="ET169" i="1"/>
  <c r="EQ169" i="1"/>
  <c r="EN169" i="1"/>
  <c r="EK169" i="1"/>
  <c r="BS169" i="1"/>
  <c r="AR169" i="1"/>
  <c r="ET168" i="1"/>
  <c r="EQ168" i="1"/>
  <c r="EN168" i="1"/>
  <c r="EK168" i="1"/>
  <c r="BS168" i="1"/>
  <c r="AR168" i="1"/>
  <c r="ET167" i="1"/>
  <c r="EQ167" i="1"/>
  <c r="EN167" i="1"/>
  <c r="EK167" i="1"/>
  <c r="BS167" i="1"/>
  <c r="AR167" i="1"/>
  <c r="ET166" i="1"/>
  <c r="EQ166" i="1"/>
  <c r="EN166" i="1"/>
  <c r="EK166" i="1"/>
  <c r="BS166" i="1"/>
  <c r="AR166" i="1"/>
  <c r="ET165" i="1"/>
  <c r="EQ165" i="1"/>
  <c r="EN165" i="1"/>
  <c r="EK165" i="1"/>
  <c r="BS165" i="1"/>
  <c r="AR165" i="1"/>
  <c r="ET164" i="1"/>
  <c r="EQ164" i="1"/>
  <c r="EN164" i="1"/>
  <c r="EK164" i="1"/>
  <c r="BS164" i="1"/>
  <c r="AR164" i="1"/>
  <c r="ET163" i="1"/>
  <c r="EQ163" i="1"/>
  <c r="EN163" i="1"/>
  <c r="EK163" i="1"/>
  <c r="BS163" i="1"/>
  <c r="AR163" i="1"/>
  <c r="ET162" i="1"/>
  <c r="EQ162" i="1"/>
  <c r="EN162" i="1"/>
  <c r="EK162" i="1"/>
  <c r="BS162" i="1"/>
  <c r="AR162" i="1"/>
  <c r="ET161" i="1"/>
  <c r="EQ161" i="1"/>
  <c r="EN161" i="1"/>
  <c r="EK161" i="1"/>
  <c r="BS161" i="1"/>
  <c r="AR161" i="1"/>
  <c r="ET160" i="1"/>
  <c r="EQ160" i="1"/>
  <c r="EN160" i="1"/>
  <c r="EK160" i="1"/>
  <c r="BS160" i="1"/>
  <c r="AR160" i="1"/>
  <c r="ET159" i="1"/>
  <c r="EQ159" i="1"/>
  <c r="EN159" i="1"/>
  <c r="EK159" i="1"/>
  <c r="BS159" i="1"/>
  <c r="AR159" i="1"/>
  <c r="ET158" i="1"/>
  <c r="EQ158" i="1"/>
  <c r="EN158" i="1"/>
  <c r="EK158" i="1"/>
  <c r="BS158" i="1"/>
  <c r="AR158" i="1"/>
  <c r="ET157" i="1"/>
  <c r="EQ157" i="1"/>
  <c r="EN157" i="1"/>
  <c r="EK157" i="1"/>
  <c r="BS157" i="1"/>
  <c r="AR157" i="1"/>
  <c r="ET156" i="1"/>
  <c r="EQ156" i="1"/>
  <c r="EN156" i="1"/>
  <c r="EK156" i="1"/>
  <c r="BS156" i="1"/>
  <c r="AR156" i="1"/>
  <c r="ET155" i="1"/>
  <c r="EQ155" i="1"/>
  <c r="EN155" i="1"/>
  <c r="EK155" i="1"/>
  <c r="BS155" i="1"/>
  <c r="AR155" i="1"/>
  <c r="ET154" i="1"/>
  <c r="EQ154" i="1"/>
  <c r="EN154" i="1"/>
  <c r="EK154" i="1"/>
  <c r="BS154" i="1"/>
  <c r="AR154" i="1"/>
  <c r="ET153" i="1"/>
  <c r="EQ153" i="1"/>
  <c r="EN153" i="1"/>
  <c r="EK153" i="1"/>
  <c r="BS153" i="1"/>
  <c r="AR153" i="1"/>
  <c r="ET152" i="1"/>
  <c r="EQ152" i="1"/>
  <c r="EN152" i="1"/>
  <c r="EK152" i="1"/>
  <c r="BS152" i="1"/>
  <c r="AR152" i="1"/>
  <c r="ET151" i="1"/>
  <c r="EQ151" i="1"/>
  <c r="EN151" i="1"/>
  <c r="EK151" i="1"/>
  <c r="BS151" i="1"/>
  <c r="AR151" i="1"/>
  <c r="ET150" i="1"/>
  <c r="EQ150" i="1"/>
  <c r="EN150" i="1"/>
  <c r="EK150" i="1"/>
  <c r="BS150" i="1"/>
  <c r="AR150" i="1"/>
  <c r="ET149" i="1"/>
  <c r="EQ149" i="1"/>
  <c r="EN149" i="1"/>
  <c r="EK149" i="1"/>
  <c r="BS149" i="1"/>
  <c r="AR149" i="1"/>
  <c r="ET148" i="1"/>
  <c r="EQ148" i="1"/>
  <c r="EN148" i="1"/>
  <c r="EK148" i="1"/>
  <c r="BS148" i="1"/>
  <c r="AR148" i="1"/>
  <c r="ET147" i="1"/>
  <c r="EQ147" i="1"/>
  <c r="EN147" i="1"/>
  <c r="EK147" i="1"/>
  <c r="BS147" i="1"/>
  <c r="AR147" i="1"/>
  <c r="ET146" i="1"/>
  <c r="EQ146" i="1"/>
  <c r="EN146" i="1"/>
  <c r="EK146" i="1"/>
  <c r="BS146" i="1"/>
  <c r="AR146" i="1"/>
  <c r="ET145" i="1"/>
  <c r="EQ145" i="1"/>
  <c r="EN145" i="1"/>
  <c r="EK145" i="1"/>
  <c r="BS145" i="1"/>
  <c r="AR145" i="1"/>
  <c r="ET144" i="1"/>
  <c r="EQ144" i="1"/>
  <c r="EN144" i="1"/>
  <c r="EK144" i="1"/>
  <c r="BS144" i="1"/>
  <c r="AR144" i="1"/>
  <c r="ET143" i="1"/>
  <c r="EQ143" i="1"/>
  <c r="EN143" i="1"/>
  <c r="EK143" i="1"/>
  <c r="BS143" i="1"/>
  <c r="AR143" i="1"/>
  <c r="ET142" i="1"/>
  <c r="EQ142" i="1"/>
  <c r="EN142" i="1"/>
  <c r="EK142" i="1"/>
  <c r="BS142" i="1"/>
  <c r="AR142" i="1"/>
  <c r="ET141" i="1"/>
  <c r="EQ141" i="1"/>
  <c r="EN141" i="1"/>
  <c r="EK141" i="1"/>
  <c r="BS141" i="1"/>
  <c r="AR141" i="1"/>
  <c r="ET140" i="1"/>
  <c r="EQ140" i="1"/>
  <c r="EN140" i="1"/>
  <c r="EK140" i="1"/>
  <c r="BS140" i="1"/>
  <c r="AR140" i="1"/>
  <c r="ET139" i="1"/>
  <c r="EQ139" i="1"/>
  <c r="EN139" i="1"/>
  <c r="EK139" i="1"/>
  <c r="BS139" i="1"/>
  <c r="AR139" i="1"/>
  <c r="ET138" i="1"/>
  <c r="EQ138" i="1"/>
  <c r="EN138" i="1"/>
  <c r="EK138" i="1"/>
  <c r="BS138" i="1"/>
  <c r="AR138" i="1"/>
  <c r="ET137" i="1"/>
  <c r="EQ137" i="1"/>
  <c r="EN137" i="1"/>
  <c r="EK137" i="1"/>
  <c r="BS137" i="1"/>
  <c r="AR137" i="1"/>
  <c r="ET136" i="1"/>
  <c r="EQ136" i="1"/>
  <c r="EN136" i="1"/>
  <c r="EK136" i="1"/>
  <c r="BS136" i="1"/>
  <c r="AR136" i="1"/>
  <c r="ET135" i="1"/>
  <c r="EQ135" i="1"/>
  <c r="EN135" i="1"/>
  <c r="EK135" i="1"/>
  <c r="BS135" i="1"/>
  <c r="AR135" i="1"/>
  <c r="ET134" i="1"/>
  <c r="EQ134" i="1"/>
  <c r="EN134" i="1"/>
  <c r="EK134" i="1"/>
  <c r="BS134" i="1"/>
  <c r="AR134" i="1"/>
  <c r="ET133" i="1"/>
  <c r="EQ133" i="1"/>
  <c r="EN133" i="1"/>
  <c r="EK133" i="1"/>
  <c r="BS133" i="1"/>
  <c r="AR133" i="1"/>
  <c r="ET132" i="1"/>
  <c r="EQ132" i="1"/>
  <c r="EN132" i="1"/>
  <c r="EK132" i="1"/>
  <c r="BS132" i="1"/>
  <c r="AR132" i="1"/>
  <c r="ET131" i="1"/>
  <c r="EQ131" i="1"/>
  <c r="EN131" i="1"/>
  <c r="EK131" i="1"/>
  <c r="BS131" i="1"/>
  <c r="AR131" i="1"/>
  <c r="ET130" i="1"/>
  <c r="EQ130" i="1"/>
  <c r="EN130" i="1"/>
  <c r="EK130" i="1"/>
  <c r="BS130" i="1"/>
  <c r="AR130" i="1"/>
  <c r="ET129" i="1"/>
  <c r="EQ129" i="1"/>
  <c r="EN129" i="1"/>
  <c r="EK129" i="1"/>
  <c r="BS129" i="1"/>
  <c r="AR129" i="1"/>
  <c r="ET128" i="1"/>
  <c r="EQ128" i="1"/>
  <c r="EN128" i="1"/>
  <c r="EK128" i="1"/>
  <c r="BS128" i="1"/>
  <c r="AR128" i="1"/>
  <c r="ET127" i="1"/>
  <c r="EQ127" i="1"/>
  <c r="EN127" i="1"/>
  <c r="EK127" i="1"/>
  <c r="BS127" i="1"/>
  <c r="AR127" i="1"/>
  <c r="ET126" i="1"/>
  <c r="EQ126" i="1"/>
  <c r="EN126" i="1"/>
  <c r="EK126" i="1"/>
  <c r="BS126" i="1"/>
  <c r="AR126" i="1"/>
  <c r="ET125" i="1"/>
  <c r="EQ125" i="1"/>
  <c r="EN125" i="1"/>
  <c r="EK125" i="1"/>
  <c r="BS125" i="1"/>
  <c r="AR125" i="1"/>
  <c r="ET124" i="1"/>
  <c r="EQ124" i="1"/>
  <c r="EN124" i="1"/>
  <c r="EK124" i="1"/>
  <c r="BS124" i="1"/>
  <c r="AR124" i="1"/>
  <c r="ET123" i="1"/>
  <c r="EQ123" i="1"/>
  <c r="EN123" i="1"/>
  <c r="EK123" i="1"/>
  <c r="BS123" i="1"/>
  <c r="AR123" i="1"/>
  <c r="ET122" i="1"/>
  <c r="EQ122" i="1"/>
  <c r="EN122" i="1"/>
  <c r="EK122" i="1"/>
  <c r="BS122" i="1"/>
  <c r="AR122" i="1"/>
  <c r="ET121" i="1"/>
  <c r="EQ121" i="1"/>
  <c r="EN121" i="1"/>
  <c r="EK121" i="1"/>
  <c r="BS121" i="1"/>
  <c r="AR121" i="1"/>
  <c r="ET120" i="1"/>
  <c r="EQ120" i="1"/>
  <c r="EN120" i="1"/>
  <c r="EK120" i="1"/>
  <c r="BS120" i="1"/>
  <c r="AR120" i="1"/>
  <c r="ET119" i="1"/>
  <c r="EQ119" i="1"/>
  <c r="EN119" i="1"/>
  <c r="EK119" i="1"/>
  <c r="BS119" i="1"/>
  <c r="AR119" i="1"/>
  <c r="ET118" i="1"/>
  <c r="EQ118" i="1"/>
  <c r="EN118" i="1"/>
  <c r="EK118" i="1"/>
  <c r="BS118" i="1"/>
  <c r="AR118" i="1"/>
  <c r="ET117" i="1"/>
  <c r="EQ117" i="1"/>
  <c r="EN117" i="1"/>
  <c r="EK117" i="1"/>
  <c r="BS117" i="1"/>
  <c r="AR117" i="1"/>
  <c r="ET116" i="1"/>
  <c r="EQ116" i="1"/>
  <c r="EN116" i="1"/>
  <c r="EK116" i="1"/>
  <c r="BS116" i="1"/>
  <c r="AR116" i="1"/>
  <c r="ET115" i="1"/>
  <c r="EQ115" i="1"/>
  <c r="EN115" i="1"/>
  <c r="EK115" i="1"/>
  <c r="BS115" i="1"/>
  <c r="AR115" i="1"/>
  <c r="ET114" i="1"/>
  <c r="EQ114" i="1"/>
  <c r="EN114" i="1"/>
  <c r="EK114" i="1"/>
  <c r="BS114" i="1"/>
  <c r="AR114" i="1"/>
  <c r="ET113" i="1"/>
  <c r="EQ113" i="1"/>
  <c r="EN113" i="1"/>
  <c r="EK113" i="1"/>
  <c r="BS113" i="1"/>
  <c r="AR113" i="1"/>
  <c r="ET112" i="1"/>
  <c r="EQ112" i="1"/>
  <c r="EN112" i="1"/>
  <c r="EK112" i="1"/>
  <c r="BS112" i="1"/>
  <c r="AR112" i="1"/>
  <c r="ET111" i="1"/>
  <c r="EQ111" i="1"/>
  <c r="EN111" i="1"/>
  <c r="EK111" i="1"/>
  <c r="BS111" i="1"/>
  <c r="AR111" i="1"/>
  <c r="ET110" i="1"/>
  <c r="EQ110" i="1"/>
  <c r="EN110" i="1"/>
  <c r="EK110" i="1"/>
  <c r="BS110" i="1"/>
  <c r="AR110" i="1"/>
  <c r="ET109" i="1"/>
  <c r="EQ109" i="1"/>
  <c r="EN109" i="1"/>
  <c r="EK109" i="1"/>
  <c r="BS109" i="1"/>
  <c r="AR109" i="1"/>
  <c r="ET108" i="1"/>
  <c r="EQ108" i="1"/>
  <c r="EN108" i="1"/>
  <c r="EK108" i="1"/>
  <c r="BS108" i="1"/>
  <c r="AR108" i="1"/>
  <c r="ET107" i="1"/>
  <c r="EQ107" i="1"/>
  <c r="EN107" i="1"/>
  <c r="EK107" i="1"/>
  <c r="BS107" i="1"/>
  <c r="AR107" i="1"/>
  <c r="ET106" i="1"/>
  <c r="EQ106" i="1"/>
  <c r="EN106" i="1"/>
  <c r="EK106" i="1"/>
  <c r="BS106" i="1"/>
  <c r="AR106" i="1"/>
  <c r="ET105" i="1"/>
  <c r="EQ105" i="1"/>
  <c r="EN105" i="1"/>
  <c r="EK105" i="1"/>
  <c r="BS105" i="1"/>
  <c r="AR105" i="1"/>
  <c r="ET104" i="1"/>
  <c r="EQ104" i="1"/>
  <c r="EN104" i="1"/>
  <c r="EK104" i="1"/>
  <c r="BS104" i="1"/>
  <c r="AR104" i="1"/>
  <c r="ET103" i="1"/>
  <c r="EQ103" i="1"/>
  <c r="EN103" i="1"/>
  <c r="EK103" i="1"/>
  <c r="BS103" i="1"/>
  <c r="AR103" i="1"/>
  <c r="ET102" i="1"/>
  <c r="EQ102" i="1"/>
  <c r="EN102" i="1"/>
  <c r="EK102" i="1"/>
  <c r="BS102" i="1"/>
  <c r="AR102" i="1"/>
  <c r="ET101" i="1"/>
  <c r="EQ101" i="1"/>
  <c r="EN101" i="1"/>
  <c r="EK101" i="1"/>
  <c r="BS101" i="1"/>
  <c r="AR101" i="1"/>
  <c r="ET100" i="1"/>
  <c r="EQ100" i="1"/>
  <c r="EN100" i="1"/>
  <c r="EK100" i="1"/>
  <c r="BS100" i="1"/>
  <c r="AR100" i="1"/>
  <c r="ET99" i="1"/>
  <c r="EQ99" i="1"/>
  <c r="EN99" i="1"/>
  <c r="EK99" i="1"/>
  <c r="BS99" i="1"/>
  <c r="AR99" i="1"/>
  <c r="ET98" i="1"/>
  <c r="EQ98" i="1"/>
  <c r="EN98" i="1"/>
  <c r="EK98" i="1"/>
  <c r="BS98" i="1"/>
  <c r="AR98" i="1"/>
  <c r="ET97" i="1"/>
  <c r="EQ97" i="1"/>
  <c r="EN97" i="1"/>
  <c r="EK97" i="1"/>
  <c r="BS97" i="1"/>
  <c r="AR97" i="1"/>
  <c r="ET96" i="1"/>
  <c r="EQ96" i="1"/>
  <c r="EN96" i="1"/>
  <c r="EK96" i="1"/>
  <c r="BS96" i="1"/>
  <c r="AR96" i="1"/>
  <c r="ET95" i="1"/>
  <c r="EQ95" i="1"/>
  <c r="EN95" i="1"/>
  <c r="EK95" i="1"/>
  <c r="BS95" i="1"/>
  <c r="AR95" i="1"/>
  <c r="ET94" i="1"/>
  <c r="EQ94" i="1"/>
  <c r="EN94" i="1"/>
  <c r="EK94" i="1"/>
  <c r="BS94" i="1"/>
  <c r="AR94" i="1"/>
  <c r="ET93" i="1"/>
  <c r="EQ93" i="1"/>
  <c r="EN93" i="1"/>
  <c r="EK93" i="1"/>
  <c r="BS93" i="1"/>
  <c r="AR93" i="1"/>
  <c r="ET92" i="1"/>
  <c r="EQ92" i="1"/>
  <c r="EN92" i="1"/>
  <c r="EK92" i="1"/>
  <c r="BS92" i="1"/>
  <c r="AR92" i="1"/>
  <c r="ET91" i="1"/>
  <c r="EQ91" i="1"/>
  <c r="EN91" i="1"/>
  <c r="EK91" i="1"/>
  <c r="BS91" i="1"/>
  <c r="AR91" i="1"/>
  <c r="ET90" i="1"/>
  <c r="EQ90" i="1"/>
  <c r="EN90" i="1"/>
  <c r="EK90" i="1"/>
  <c r="BS90" i="1"/>
  <c r="AR90" i="1"/>
  <c r="ET89" i="1"/>
  <c r="EQ89" i="1"/>
  <c r="EN89" i="1"/>
  <c r="EK89" i="1"/>
  <c r="BS89" i="1"/>
  <c r="AR89" i="1"/>
  <c r="ET88" i="1"/>
  <c r="EQ88" i="1"/>
  <c r="EN88" i="1"/>
  <c r="EK88" i="1"/>
  <c r="BS88" i="1"/>
  <c r="AR88" i="1"/>
  <c r="ET87" i="1"/>
  <c r="EQ87" i="1"/>
  <c r="EN87" i="1"/>
  <c r="EK87" i="1"/>
  <c r="BS87" i="1"/>
  <c r="AR87" i="1"/>
  <c r="ET86" i="1"/>
  <c r="EQ86" i="1"/>
  <c r="EN86" i="1"/>
  <c r="EK86" i="1"/>
  <c r="BS86" i="1"/>
  <c r="AR86" i="1"/>
  <c r="ET85" i="1"/>
  <c r="EQ85" i="1"/>
  <c r="EN85" i="1"/>
  <c r="EK85" i="1"/>
  <c r="BS85" i="1"/>
  <c r="AR85" i="1"/>
  <c r="ET84" i="1"/>
  <c r="EQ84" i="1"/>
  <c r="EN84" i="1"/>
  <c r="EK84" i="1"/>
  <c r="BS84" i="1"/>
  <c r="AR84" i="1"/>
  <c r="ET83" i="1"/>
  <c r="EQ83" i="1"/>
  <c r="EN83" i="1"/>
  <c r="EK83" i="1"/>
  <c r="BS83" i="1"/>
  <c r="AR83" i="1"/>
  <c r="ET82" i="1"/>
  <c r="EQ82" i="1"/>
  <c r="EN82" i="1"/>
  <c r="EK82" i="1"/>
  <c r="BS82" i="1"/>
  <c r="AR82" i="1"/>
  <c r="ET81" i="1"/>
  <c r="EQ81" i="1"/>
  <c r="EN81" i="1"/>
  <c r="EK81" i="1"/>
  <c r="BS81" i="1"/>
  <c r="AR81" i="1"/>
  <c r="ET80" i="1"/>
  <c r="EQ80" i="1"/>
  <c r="EN80" i="1"/>
  <c r="EK80" i="1"/>
  <c r="BS80" i="1"/>
  <c r="AR80" i="1"/>
  <c r="ET79" i="1"/>
  <c r="EQ79" i="1"/>
  <c r="EN79" i="1"/>
  <c r="EK79" i="1"/>
  <c r="BS79" i="1"/>
  <c r="AR79" i="1"/>
  <c r="ET78" i="1"/>
  <c r="EQ78" i="1"/>
  <c r="EN78" i="1"/>
  <c r="EK78" i="1"/>
  <c r="BS78" i="1"/>
  <c r="AR78" i="1"/>
  <c r="ET77" i="1"/>
  <c r="EQ77" i="1"/>
  <c r="EN77" i="1"/>
  <c r="EK77" i="1"/>
  <c r="BS77" i="1"/>
  <c r="AR77" i="1"/>
  <c r="ET76" i="1"/>
  <c r="EQ76" i="1"/>
  <c r="EN76" i="1"/>
  <c r="EK76" i="1"/>
  <c r="BS76" i="1"/>
  <c r="AR76" i="1"/>
  <c r="ET75" i="1"/>
  <c r="EQ75" i="1"/>
  <c r="EN75" i="1"/>
  <c r="EK75" i="1"/>
  <c r="BS75" i="1"/>
  <c r="AR75" i="1"/>
  <c r="ET74" i="1"/>
  <c r="EQ74" i="1"/>
  <c r="EN74" i="1"/>
  <c r="EK74" i="1"/>
  <c r="BS74" i="1"/>
  <c r="AR74" i="1"/>
  <c r="ET73" i="1"/>
  <c r="EQ73" i="1"/>
  <c r="EN73" i="1"/>
  <c r="EK73" i="1"/>
  <c r="BS73" i="1"/>
  <c r="AR73" i="1"/>
  <c r="ET72" i="1"/>
  <c r="EQ72" i="1"/>
  <c r="EN72" i="1"/>
  <c r="EK72" i="1"/>
  <c r="BS72" i="1"/>
  <c r="AR72" i="1"/>
  <c r="ET71" i="1"/>
  <c r="EQ71" i="1"/>
  <c r="EN71" i="1"/>
  <c r="EK71" i="1"/>
  <c r="BS71" i="1"/>
  <c r="AR71" i="1"/>
  <c r="ET70" i="1"/>
  <c r="EQ70" i="1"/>
  <c r="EN70" i="1"/>
  <c r="EK70" i="1"/>
  <c r="BS70" i="1"/>
  <c r="AR70" i="1"/>
  <c r="ET69" i="1"/>
  <c r="EQ69" i="1"/>
  <c r="EN69" i="1"/>
  <c r="EK69" i="1"/>
  <c r="BS69" i="1"/>
  <c r="AR69" i="1"/>
  <c r="ET68" i="1"/>
  <c r="EQ68" i="1"/>
  <c r="EN68" i="1"/>
  <c r="EK68" i="1"/>
  <c r="BS68" i="1"/>
  <c r="AR68" i="1"/>
  <c r="ET67" i="1"/>
  <c r="EQ67" i="1"/>
  <c r="EN67" i="1"/>
  <c r="EK67" i="1"/>
  <c r="BS67" i="1"/>
  <c r="AR67" i="1"/>
  <c r="ET66" i="1"/>
  <c r="EQ66" i="1"/>
  <c r="EN66" i="1"/>
  <c r="EK66" i="1"/>
  <c r="BS66" i="1"/>
  <c r="AR66" i="1"/>
  <c r="ET65" i="1"/>
  <c r="EQ65" i="1"/>
  <c r="EN65" i="1"/>
  <c r="EK65" i="1"/>
  <c r="BS65" i="1"/>
  <c r="AR65" i="1"/>
  <c r="ET64" i="1"/>
  <c r="EQ64" i="1"/>
  <c r="EN64" i="1"/>
  <c r="EK64" i="1"/>
  <c r="BS64" i="1"/>
  <c r="AR64" i="1"/>
  <c r="ET63" i="1"/>
  <c r="EQ63" i="1"/>
  <c r="EN63" i="1"/>
  <c r="EK63" i="1"/>
  <c r="BS63" i="1"/>
  <c r="AR63" i="1"/>
  <c r="ET62" i="1"/>
  <c r="EQ62" i="1"/>
  <c r="EN62" i="1"/>
  <c r="EK62" i="1"/>
  <c r="BS62" i="1"/>
  <c r="AR62" i="1"/>
  <c r="ET61" i="1"/>
  <c r="EQ61" i="1"/>
  <c r="EN61" i="1"/>
  <c r="EK61" i="1"/>
  <c r="BS61" i="1"/>
  <c r="AR61" i="1"/>
  <c r="ET60" i="1"/>
  <c r="EQ60" i="1"/>
  <c r="EN60" i="1"/>
  <c r="EK60" i="1"/>
  <c r="BS60" i="1"/>
  <c r="AR60" i="1"/>
  <c r="ET59" i="1"/>
  <c r="EQ59" i="1"/>
  <c r="EN59" i="1"/>
  <c r="EK59" i="1"/>
  <c r="BS59" i="1"/>
  <c r="AR59" i="1"/>
  <c r="ET58" i="1"/>
  <c r="EQ58" i="1"/>
  <c r="EN58" i="1"/>
  <c r="EK58" i="1"/>
  <c r="BS58" i="1"/>
  <c r="AR58" i="1"/>
  <c r="ET57" i="1"/>
  <c r="EQ57" i="1"/>
  <c r="EN57" i="1"/>
  <c r="EK57" i="1"/>
  <c r="BS57" i="1"/>
  <c r="AR57" i="1"/>
  <c r="ET56" i="1"/>
  <c r="EQ56" i="1"/>
  <c r="EN56" i="1"/>
  <c r="EK56" i="1"/>
  <c r="BS56" i="1"/>
  <c r="AR56" i="1"/>
  <c r="ET55" i="1"/>
  <c r="EQ55" i="1"/>
  <c r="EN55" i="1"/>
  <c r="EK55" i="1"/>
  <c r="BS55" i="1"/>
  <c r="AR55" i="1"/>
  <c r="ET54" i="1"/>
  <c r="EQ54" i="1"/>
  <c r="EN54" i="1"/>
  <c r="EK54" i="1"/>
  <c r="BS54" i="1"/>
  <c r="AR54" i="1"/>
  <c r="ET53" i="1"/>
  <c r="EQ53" i="1"/>
  <c r="EN53" i="1"/>
  <c r="EK53" i="1"/>
  <c r="BS53" i="1"/>
  <c r="AR53" i="1"/>
  <c r="ET52" i="1"/>
  <c r="EQ52" i="1"/>
  <c r="EN52" i="1"/>
  <c r="EK52" i="1"/>
  <c r="BS52" i="1"/>
  <c r="AR52" i="1"/>
  <c r="ET51" i="1"/>
  <c r="EQ51" i="1"/>
  <c r="EN51" i="1"/>
  <c r="EK51" i="1"/>
  <c r="BS51" i="1"/>
  <c r="AR51" i="1"/>
  <c r="ET50" i="1"/>
  <c r="EQ50" i="1"/>
  <c r="EN50" i="1"/>
  <c r="EK50" i="1"/>
  <c r="BS50" i="1"/>
  <c r="AR50" i="1"/>
  <c r="ET49" i="1"/>
  <c r="EQ49" i="1"/>
  <c r="EN49" i="1"/>
  <c r="EK49" i="1"/>
  <c r="BS49" i="1"/>
  <c r="AR49" i="1"/>
  <c r="ET48" i="1"/>
  <c r="EQ48" i="1"/>
  <c r="EN48" i="1"/>
  <c r="EK48" i="1"/>
  <c r="BS48" i="1"/>
  <c r="AR48" i="1"/>
  <c r="ET47" i="1"/>
  <c r="EQ47" i="1"/>
  <c r="EN47" i="1"/>
  <c r="EK47" i="1"/>
  <c r="BS47" i="1"/>
  <c r="AR47" i="1"/>
  <c r="ET46" i="1"/>
  <c r="EQ46" i="1"/>
  <c r="EN46" i="1"/>
  <c r="EK46" i="1"/>
  <c r="BS46" i="1"/>
  <c r="AR46" i="1"/>
  <c r="ET45" i="1"/>
  <c r="EQ45" i="1"/>
  <c r="EN45" i="1"/>
  <c r="EK45" i="1"/>
  <c r="BS45" i="1"/>
  <c r="AR45" i="1"/>
  <c r="ET44" i="1"/>
  <c r="EQ44" i="1"/>
  <c r="EN44" i="1"/>
  <c r="EK44" i="1"/>
  <c r="BS44" i="1"/>
  <c r="AR44" i="1"/>
  <c r="ET43" i="1"/>
  <c r="EQ43" i="1"/>
  <c r="EN43" i="1"/>
  <c r="EK43" i="1"/>
  <c r="BS43" i="1"/>
  <c r="AR43" i="1"/>
  <c r="ET42" i="1"/>
  <c r="EQ42" i="1"/>
  <c r="EN42" i="1"/>
  <c r="EK42" i="1"/>
  <c r="BS42" i="1"/>
  <c r="AR42" i="1"/>
  <c r="ET41" i="1"/>
  <c r="EQ41" i="1"/>
  <c r="EN41" i="1"/>
  <c r="EK41" i="1"/>
  <c r="BS41" i="1"/>
  <c r="AR41" i="1"/>
  <c r="ET40" i="1"/>
  <c r="EQ40" i="1"/>
  <c r="EN40" i="1"/>
  <c r="EK40" i="1"/>
  <c r="BS40" i="1"/>
  <c r="AR40" i="1"/>
  <c r="ET39" i="1"/>
  <c r="EQ39" i="1"/>
  <c r="EN39" i="1"/>
  <c r="EK39" i="1"/>
  <c r="BS39" i="1"/>
  <c r="AR39" i="1"/>
  <c r="ET38" i="1"/>
  <c r="EQ38" i="1"/>
  <c r="EN38" i="1"/>
  <c r="EK38" i="1"/>
  <c r="BS38" i="1"/>
  <c r="AR38" i="1"/>
  <c r="ET37" i="1"/>
  <c r="EQ37" i="1"/>
  <c r="EN37" i="1"/>
  <c r="EK37" i="1"/>
  <c r="BS37" i="1"/>
  <c r="AR37" i="1"/>
  <c r="ET36" i="1"/>
  <c r="EQ36" i="1"/>
  <c r="EN36" i="1"/>
  <c r="EK36" i="1"/>
  <c r="BS36" i="1"/>
  <c r="AR36" i="1"/>
  <c r="ET35" i="1"/>
  <c r="EQ35" i="1"/>
  <c r="EN35" i="1"/>
  <c r="EK35" i="1"/>
  <c r="BS35" i="1"/>
  <c r="AR35" i="1"/>
  <c r="ET34" i="1"/>
  <c r="EQ34" i="1"/>
  <c r="EN34" i="1"/>
  <c r="EK34" i="1"/>
  <c r="BS34" i="1"/>
  <c r="AR34" i="1"/>
  <c r="ET33" i="1"/>
  <c r="EQ33" i="1"/>
  <c r="EN33" i="1"/>
  <c r="EK33" i="1"/>
  <c r="BS33" i="1"/>
  <c r="AR33" i="1"/>
  <c r="ET32" i="1"/>
  <c r="EQ32" i="1"/>
  <c r="EN32" i="1"/>
  <c r="EK32" i="1"/>
  <c r="BS32" i="1"/>
  <c r="AR32" i="1"/>
  <c r="ET31" i="1"/>
  <c r="EQ31" i="1"/>
  <c r="EN31" i="1"/>
  <c r="EK31" i="1"/>
  <c r="BS31" i="1"/>
  <c r="AR31" i="1"/>
  <c r="ET30" i="1"/>
  <c r="EQ30" i="1"/>
  <c r="EN30" i="1"/>
  <c r="EK30" i="1"/>
  <c r="BS30" i="1"/>
  <c r="AR30" i="1"/>
  <c r="ET29" i="1"/>
  <c r="EQ29" i="1"/>
  <c r="EN29" i="1"/>
  <c r="EK29" i="1"/>
  <c r="BS29" i="1"/>
  <c r="AR29" i="1"/>
  <c r="ET28" i="1"/>
  <c r="EQ28" i="1"/>
  <c r="EN28" i="1"/>
  <c r="EK28" i="1"/>
  <c r="BS28" i="1"/>
  <c r="AR28" i="1"/>
  <c r="ET27" i="1"/>
  <c r="EQ27" i="1"/>
  <c r="EN27" i="1"/>
  <c r="EK27" i="1"/>
  <c r="BS27" i="1"/>
  <c r="AR27" i="1"/>
  <c r="ET26" i="1"/>
  <c r="EQ26" i="1"/>
  <c r="EN26" i="1"/>
  <c r="EK26" i="1"/>
  <c r="BS26" i="1"/>
  <c r="AR26" i="1"/>
  <c r="ET25" i="1"/>
  <c r="EQ25" i="1"/>
  <c r="EN25" i="1"/>
  <c r="EK25" i="1"/>
  <c r="BS25" i="1"/>
  <c r="AR25" i="1"/>
  <c r="ET24" i="1"/>
  <c r="EQ24" i="1"/>
  <c r="EN24" i="1"/>
  <c r="EK24" i="1"/>
  <c r="BS24" i="1"/>
  <c r="AR24" i="1"/>
  <c r="ET23" i="1"/>
  <c r="EQ23" i="1"/>
  <c r="EN23" i="1"/>
  <c r="EK23" i="1"/>
  <c r="BS23" i="1"/>
  <c r="AR23" i="1"/>
  <c r="ET22" i="1"/>
  <c r="EQ22" i="1"/>
  <c r="EN22" i="1"/>
  <c r="EK22" i="1"/>
  <c r="BS22" i="1"/>
  <c r="AR22" i="1"/>
  <c r="ET21" i="1"/>
  <c r="EQ21" i="1"/>
  <c r="EN21" i="1"/>
  <c r="EK21" i="1"/>
  <c r="BS21" i="1"/>
  <c r="AR21" i="1"/>
  <c r="ET20" i="1"/>
  <c r="EQ20" i="1"/>
  <c r="EN20" i="1"/>
  <c r="EK20" i="1"/>
  <c r="BS20" i="1"/>
  <c r="AR20" i="1"/>
  <c r="ET19" i="1"/>
  <c r="EQ19" i="1"/>
  <c r="EN19" i="1"/>
  <c r="EK19" i="1"/>
  <c r="BS19" i="1"/>
  <c r="AR19" i="1"/>
  <c r="ET18" i="1"/>
  <c r="EQ18" i="1"/>
  <c r="EN18" i="1"/>
  <c r="EK18" i="1"/>
  <c r="BS18" i="1"/>
  <c r="AR18" i="1"/>
  <c r="ET17" i="1"/>
  <c r="EQ17" i="1"/>
  <c r="EN17" i="1"/>
  <c r="EK17" i="1"/>
  <c r="BS17" i="1"/>
  <c r="AR17" i="1"/>
  <c r="ET16" i="1"/>
  <c r="EQ16" i="1"/>
  <c r="EN16" i="1"/>
  <c r="EK16" i="1"/>
  <c r="BS16" i="1"/>
  <c r="AR16" i="1"/>
  <c r="ET15" i="1"/>
  <c r="EQ15" i="1"/>
  <c r="EN15" i="1"/>
  <c r="EK15" i="1"/>
  <c r="BS15" i="1"/>
  <c r="AR15" i="1"/>
  <c r="ET14" i="1"/>
  <c r="EQ14" i="1"/>
  <c r="EN14" i="1"/>
  <c r="EK14" i="1"/>
  <c r="BS14" i="1"/>
  <c r="AR14" i="1"/>
  <c r="ET13" i="1"/>
  <c r="EQ13" i="1"/>
  <c r="EN13" i="1"/>
  <c r="EK13" i="1"/>
  <c r="BS13" i="1"/>
  <c r="AR13" i="1"/>
  <c r="ET12" i="1"/>
  <c r="EQ12" i="1"/>
  <c r="EN12" i="1"/>
  <c r="EK12" i="1"/>
  <c r="BS12" i="1"/>
  <c r="AR12" i="1"/>
  <c r="ET11" i="1"/>
  <c r="EQ11" i="1"/>
  <c r="EN11" i="1"/>
  <c r="EK11" i="1"/>
  <c r="BS11" i="1"/>
  <c r="AR11" i="1"/>
  <c r="ET10" i="1"/>
  <c r="EQ10" i="1"/>
  <c r="EN10" i="1"/>
  <c r="EK10" i="1"/>
  <c r="BS10" i="1"/>
  <c r="AR10" i="1"/>
  <c r="ET9" i="1"/>
  <c r="EQ9" i="1"/>
  <c r="EN9" i="1"/>
  <c r="EK9" i="1"/>
  <c r="BS9" i="1"/>
  <c r="AR9" i="1"/>
  <c r="ET8" i="1"/>
  <c r="EQ8" i="1"/>
  <c r="EN8" i="1"/>
  <c r="EK8" i="1"/>
  <c r="BS8" i="1"/>
  <c r="AR8" i="1"/>
  <c r="ET7" i="1"/>
  <c r="EQ7" i="1"/>
  <c r="EN7" i="1"/>
  <c r="EK7" i="1"/>
  <c r="BS7" i="1"/>
  <c r="AR7" i="1"/>
  <c r="ET6" i="1"/>
  <c r="EQ6" i="1"/>
  <c r="EN6" i="1"/>
  <c r="EK6" i="1"/>
  <c r="BS6" i="1"/>
  <c r="AR6" i="1"/>
  <c r="ET5" i="1"/>
  <c r="EQ5" i="1"/>
  <c r="EN5" i="1"/>
  <c r="EK5" i="1"/>
  <c r="BS5" i="1"/>
  <c r="AR5" i="1"/>
  <c r="ET4" i="1"/>
  <c r="EQ4" i="1"/>
  <c r="EN4" i="1"/>
  <c r="EK4" i="1"/>
  <c r="BS4" i="1"/>
  <c r="AR4" i="1"/>
  <c r="ET3" i="1"/>
  <c r="EQ3" i="1"/>
  <c r="EN3" i="1"/>
  <c r="EK3" i="1"/>
  <c r="EU188" i="1" l="1"/>
  <c r="EU146" i="1"/>
  <c r="EU139" i="1"/>
  <c r="EU60" i="1"/>
  <c r="EU12" i="1"/>
  <c r="EU24" i="1"/>
  <c r="EU28" i="1"/>
  <c r="EU32" i="1"/>
  <c r="EU36" i="1"/>
  <c r="EU52" i="1"/>
  <c r="EU73" i="1"/>
  <c r="EU97" i="1"/>
  <c r="EU143" i="1"/>
  <c r="EU54" i="1"/>
  <c r="EU67" i="1"/>
  <c r="EU68" i="1"/>
  <c r="EU103" i="1"/>
  <c r="EU124" i="1"/>
  <c r="EU10" i="1"/>
  <c r="EU33" i="1"/>
  <c r="EU173" i="1"/>
  <c r="EU19" i="1"/>
  <c r="EU84" i="1"/>
  <c r="EU39" i="1"/>
  <c r="EU71" i="1"/>
  <c r="EU79" i="1"/>
  <c r="EU148" i="1"/>
  <c r="EU172" i="1"/>
  <c r="EU22" i="1"/>
  <c r="EU51" i="1"/>
  <c r="EU62" i="1"/>
  <c r="EU99" i="1"/>
  <c r="EU132" i="1"/>
  <c r="EU18" i="1"/>
  <c r="EU37" i="1"/>
  <c r="EU42" i="1"/>
  <c r="EU45" i="1"/>
  <c r="EU126" i="1"/>
  <c r="EU159" i="1"/>
  <c r="EU183" i="1"/>
  <c r="EU186" i="1"/>
  <c r="EU196" i="1"/>
  <c r="EU82" i="1"/>
  <c r="EU101" i="1"/>
  <c r="EU106" i="1"/>
  <c r="EU109" i="1"/>
  <c r="EU150" i="1"/>
  <c r="EU155" i="1"/>
  <c r="EU174" i="1"/>
  <c r="EU190" i="1"/>
  <c r="EU165" i="1"/>
  <c r="EU20" i="1"/>
  <c r="EU44" i="1"/>
  <c r="EU76" i="1"/>
  <c r="EU88" i="1"/>
  <c r="EU92" i="1"/>
  <c r="EU96" i="1"/>
  <c r="EU100" i="1"/>
  <c r="EU116" i="1"/>
  <c r="EU137" i="1"/>
  <c r="EU161" i="1"/>
  <c r="EU11" i="1"/>
  <c r="EU108" i="1"/>
  <c r="EU140" i="1"/>
  <c r="EU152" i="1"/>
  <c r="EU156" i="1"/>
  <c r="EU160" i="1"/>
  <c r="EU164" i="1"/>
  <c r="EU180" i="1"/>
  <c r="EU7" i="1"/>
  <c r="EU41" i="1"/>
  <c r="EU105" i="1"/>
  <c r="EU114" i="1"/>
  <c r="EU118" i="1"/>
  <c r="EU135" i="1"/>
  <c r="EU169" i="1"/>
  <c r="EU182" i="1"/>
  <c r="EU23" i="1"/>
  <c r="EU40" i="1"/>
  <c r="EU49" i="1"/>
  <c r="EU53" i="1"/>
  <c r="EU58" i="1"/>
  <c r="EU70" i="1"/>
  <c r="EU87" i="1"/>
  <c r="EU91" i="1"/>
  <c r="EU104" i="1"/>
  <c r="EU113" i="1"/>
  <c r="EU117" i="1"/>
  <c r="EU122" i="1"/>
  <c r="EU151" i="1"/>
  <c r="EU168" i="1"/>
  <c r="EU177" i="1"/>
  <c r="EU181" i="1"/>
  <c r="EU195" i="1"/>
  <c r="EU50" i="1"/>
  <c r="EU75" i="1"/>
  <c r="EU14" i="1"/>
  <c r="EU15" i="1"/>
  <c r="EU31" i="1"/>
  <c r="EU48" i="1"/>
  <c r="EU57" i="1"/>
  <c r="EU61" i="1"/>
  <c r="EU66" i="1"/>
  <c r="EU78" i="1"/>
  <c r="EU95" i="1"/>
  <c r="EU112" i="1"/>
  <c r="EU121" i="1"/>
  <c r="EU125" i="1"/>
  <c r="EU130" i="1"/>
  <c r="EU134" i="1"/>
  <c r="EU142" i="1"/>
  <c r="EU147" i="1"/>
  <c r="EU163" i="1"/>
  <c r="EU176" i="1"/>
  <c r="EU185" i="1"/>
  <c r="EU189" i="1"/>
  <c r="EU194" i="1"/>
  <c r="EU8" i="1"/>
  <c r="EU27" i="1"/>
  <c r="EU56" i="1"/>
  <c r="EU65" i="1"/>
  <c r="EU69" i="1"/>
  <c r="EU74" i="1"/>
  <c r="EU83" i="1"/>
  <c r="EU86" i="1"/>
  <c r="EU107" i="1"/>
  <c r="EU120" i="1"/>
  <c r="EU129" i="1"/>
  <c r="EU133" i="1"/>
  <c r="EU138" i="1"/>
  <c r="EU171" i="1"/>
  <c r="EU184" i="1"/>
  <c r="EU193" i="1"/>
  <c r="EU197" i="1"/>
  <c r="EU192" i="1"/>
  <c r="EU30" i="1"/>
  <c r="EU47" i="1"/>
  <c r="EU64" i="1"/>
  <c r="EU94" i="1"/>
  <c r="EU115" i="1"/>
  <c r="EU128" i="1"/>
  <c r="EU162" i="1"/>
  <c r="EU9" i="1"/>
  <c r="EU35" i="1"/>
  <c r="EU38" i="1"/>
  <c r="EU90" i="1"/>
  <c r="EU102" i="1"/>
  <c r="EU111" i="1"/>
  <c r="EU119" i="1"/>
  <c r="EU123" i="1"/>
  <c r="EU136" i="1"/>
  <c r="EU145" i="1"/>
  <c r="EU149" i="1"/>
  <c r="EU154" i="1"/>
  <c r="EU158" i="1"/>
  <c r="EU167" i="1"/>
  <c r="EU170" i="1"/>
  <c r="EU187" i="1"/>
  <c r="EU13" i="1"/>
  <c r="EU77" i="1"/>
  <c r="EU141" i="1"/>
  <c r="EU179" i="1"/>
  <c r="EU17" i="1"/>
  <c r="EU21" i="1"/>
  <c r="EU26" i="1"/>
  <c r="EU55" i="1"/>
  <c r="EU72" i="1"/>
  <c r="EU81" i="1"/>
  <c r="EU85" i="1"/>
  <c r="EU16" i="1"/>
  <c r="EU25" i="1"/>
  <c r="EU29" i="1"/>
  <c r="EU34" i="1"/>
  <c r="EU43" i="1"/>
  <c r="EU46" i="1"/>
  <c r="EU59" i="1"/>
  <c r="EU63" i="1"/>
  <c r="EU80" i="1"/>
  <c r="EU89" i="1"/>
  <c r="EU93" i="1"/>
  <c r="EU98" i="1"/>
  <c r="EU110" i="1"/>
  <c r="EU127" i="1"/>
  <c r="EU131" i="1"/>
  <c r="EU144" i="1"/>
  <c r="EU153" i="1"/>
  <c r="EU157" i="1"/>
  <c r="EU166" i="1"/>
  <c r="EU175" i="1"/>
  <c r="EU178" i="1"/>
  <c r="EU191" i="1"/>
  <c r="EU6" i="1"/>
  <c r="EU5" i="1"/>
  <c r="EU4" i="1"/>
  <c r="EU3" i="1"/>
  <c r="BS3" i="1" l="1"/>
  <c r="AR3" i="1"/>
  <c r="H65" i="4"/>
  <c r="H64" i="4"/>
  <c r="H51" i="4"/>
  <c r="A1" i="2"/>
  <c r="H63" i="4"/>
  <c r="H62" i="4"/>
  <c r="H61" i="4"/>
  <c r="H60" i="4"/>
  <c r="H59" i="4"/>
  <c r="H58" i="4"/>
  <c r="H57" i="4"/>
  <c r="H56" i="4"/>
  <c r="H55" i="4"/>
  <c r="H54" i="4"/>
  <c r="H53" i="4"/>
  <c r="H52" i="4"/>
  <c r="H50" i="4"/>
  <c r="H49" i="4"/>
  <c r="H48" i="4"/>
  <c r="H47" i="4"/>
  <c r="H46" i="4"/>
  <c r="H45" i="4"/>
  <c r="H44" i="4"/>
  <c r="H43" i="4"/>
  <c r="H42" i="4"/>
  <c r="H41" i="4"/>
  <c r="H40" i="4"/>
  <c r="H39" i="4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H4" i="4"/>
  <c r="H3" i="4"/>
  <c r="H2" i="4"/>
  <c r="H1" i="4"/>
  <c r="EZ2" i="2" l="1"/>
  <c r="ER2" i="2"/>
  <c r="EJ2" i="2"/>
  <c r="EB2" i="2"/>
  <c r="EY2" i="2"/>
  <c r="EQ2" i="2"/>
  <c r="EI2" i="2"/>
  <c r="EA2" i="2"/>
  <c r="B2" i="2"/>
  <c r="EX2" i="2"/>
  <c r="EP2" i="2"/>
  <c r="EH2" i="2"/>
  <c r="DZ2" i="2"/>
  <c r="EW2" i="2"/>
  <c r="EO2" i="2"/>
  <c r="EG2" i="2"/>
  <c r="DY2" i="2"/>
  <c r="EV2" i="2"/>
  <c r="EN2" i="2"/>
  <c r="EF2" i="2"/>
  <c r="EU2" i="2"/>
  <c r="EM2" i="2"/>
  <c r="EE2" i="2"/>
  <c r="ET2" i="2"/>
  <c r="EL2" i="2"/>
  <c r="ED2" i="2"/>
  <c r="FA2" i="2"/>
  <c r="ES2" i="2"/>
  <c r="EK2" i="2"/>
  <c r="EC2" i="2"/>
  <c r="DT2" i="2"/>
  <c r="DL2" i="2"/>
  <c r="DD2" i="2"/>
  <c r="CV2" i="2"/>
  <c r="CN2" i="2"/>
  <c r="CW2" i="2"/>
  <c r="DS2" i="2"/>
  <c r="DK2" i="2"/>
  <c r="DC2" i="2"/>
  <c r="CU2" i="2"/>
  <c r="CM2" i="2"/>
  <c r="DG2" i="2"/>
  <c r="DF2" i="2"/>
  <c r="DM2" i="2"/>
  <c r="CO2" i="2"/>
  <c r="CG2" i="2"/>
  <c r="DR2" i="2"/>
  <c r="DJ2" i="2"/>
  <c r="DB2" i="2"/>
  <c r="CT2" i="2"/>
  <c r="CL2" i="2"/>
  <c r="DP2" i="2"/>
  <c r="CZ2" i="2"/>
  <c r="CJ2" i="2"/>
  <c r="DO2" i="2"/>
  <c r="CY2" i="2"/>
  <c r="CI2" i="2"/>
  <c r="DN2" i="2"/>
  <c r="CX2" i="2"/>
  <c r="CH2" i="2"/>
  <c r="DU2" i="2"/>
  <c r="DQ2" i="2"/>
  <c r="DI2" i="2"/>
  <c r="DA2" i="2"/>
  <c r="CS2" i="2"/>
  <c r="CK2" i="2"/>
  <c r="DX2" i="2"/>
  <c r="DH2" i="2"/>
  <c r="CR2" i="2"/>
  <c r="DW2" i="2"/>
  <c r="CQ2" i="2"/>
  <c r="DV2" i="2"/>
  <c r="CP2" i="2"/>
  <c r="DE2" i="2"/>
  <c r="CA2" i="2"/>
  <c r="BS2" i="2"/>
  <c r="BK2" i="2"/>
  <c r="BC2" i="2"/>
  <c r="AU2" i="2"/>
  <c r="AM2" i="2"/>
  <c r="AE2" i="2"/>
  <c r="W2" i="2"/>
  <c r="O2" i="2"/>
  <c r="G2" i="2"/>
  <c r="AH2" i="2"/>
  <c r="R2" i="2"/>
  <c r="BZ2" i="2"/>
  <c r="BR2" i="2"/>
  <c r="BJ2" i="2"/>
  <c r="BB2" i="2"/>
  <c r="AT2" i="2"/>
  <c r="AL2" i="2"/>
  <c r="AD2" i="2"/>
  <c r="V2" i="2"/>
  <c r="N2" i="2"/>
  <c r="F2" i="2"/>
  <c r="BU2" i="2"/>
  <c r="BM2" i="2"/>
  <c r="AW2" i="2"/>
  <c r="AO2" i="2"/>
  <c r="Y2" i="2"/>
  <c r="BY2" i="2"/>
  <c r="BQ2" i="2"/>
  <c r="BI2" i="2"/>
  <c r="BA2" i="2"/>
  <c r="AS2" i="2"/>
  <c r="AK2" i="2"/>
  <c r="AC2" i="2"/>
  <c r="U2" i="2"/>
  <c r="M2" i="2"/>
  <c r="E2" i="2"/>
  <c r="CF2" i="2"/>
  <c r="BX2" i="2"/>
  <c r="BP2" i="2"/>
  <c r="BH2" i="2"/>
  <c r="AZ2" i="2"/>
  <c r="AR2" i="2"/>
  <c r="AJ2" i="2"/>
  <c r="AB2" i="2"/>
  <c r="T2" i="2"/>
  <c r="L2" i="2"/>
  <c r="D2" i="2"/>
  <c r="AX2" i="2"/>
  <c r="J2" i="2"/>
  <c r="I2" i="2"/>
  <c r="CE2" i="2"/>
  <c r="BW2" i="2"/>
  <c r="BO2" i="2"/>
  <c r="BG2" i="2"/>
  <c r="AY2" i="2"/>
  <c r="AQ2" i="2"/>
  <c r="AI2" i="2"/>
  <c r="AA2" i="2"/>
  <c r="S2" i="2"/>
  <c r="K2" i="2"/>
  <c r="C2" i="2"/>
  <c r="BV2" i="2"/>
  <c r="BN2" i="2"/>
  <c r="BF2" i="2"/>
  <c r="AP2" i="2"/>
  <c r="Z2" i="2"/>
  <c r="CC2" i="2"/>
  <c r="CB2" i="2"/>
  <c r="BT2" i="2"/>
  <c r="BL2" i="2"/>
  <c r="BD2" i="2"/>
  <c r="AV2" i="2"/>
  <c r="AN2" i="2"/>
  <c r="AF2" i="2"/>
  <c r="X2" i="2"/>
  <c r="P2" i="2"/>
  <c r="H2" i="2"/>
  <c r="CD2" i="2"/>
  <c r="BE2" i="2"/>
  <c r="AG2" i="2"/>
  <c r="Q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G</author>
  </authors>
  <commentList>
    <comment ref="A66" authorId="0" shapeId="0" xr:uid="{D75A6D2B-7364-43BA-93E8-4AB87229CE0E}">
      <text>
        <r>
          <rPr>
            <b/>
            <sz val="9"/>
            <color indexed="81"/>
            <rFont val="Tahoma"/>
            <charset val="1"/>
          </rPr>
          <t>Luis G:</t>
        </r>
        <r>
          <rPr>
            <sz val="9"/>
            <color indexed="81"/>
            <rFont val="Tahoma"/>
            <charset val="1"/>
          </rPr>
          <t xml:space="preserve">
Largo 140</t>
        </r>
      </text>
    </comment>
    <comment ref="A67" authorId="0" shapeId="0" xr:uid="{655C6526-9202-4A46-9408-4C51CD77F6CC}">
      <text>
        <r>
          <rPr>
            <b/>
            <sz val="9"/>
            <color indexed="81"/>
            <rFont val="Tahoma"/>
            <charset val="1"/>
          </rPr>
          <t>Luis G:</t>
        </r>
        <r>
          <rPr>
            <sz val="9"/>
            <color indexed="81"/>
            <rFont val="Tahoma"/>
            <charset val="1"/>
          </rPr>
          <t xml:space="preserve">
alto 200, largo 160</t>
        </r>
      </text>
    </comment>
    <comment ref="A68" authorId="0" shapeId="0" xr:uid="{F77024E5-108E-45A3-B401-02E18EFB931D}">
      <text>
        <r>
          <rPr>
            <b/>
            <sz val="9"/>
            <color indexed="81"/>
            <rFont val="Tahoma"/>
            <charset val="1"/>
          </rPr>
          <t>Luis G:</t>
        </r>
        <r>
          <rPr>
            <sz val="9"/>
            <color indexed="81"/>
            <rFont val="Tahoma"/>
            <charset val="1"/>
          </rPr>
          <t xml:space="preserve">
alto 60</t>
        </r>
      </text>
    </comment>
    <comment ref="A69" authorId="0" shapeId="0" xr:uid="{B39D76E5-B4EC-40A4-A492-3B6A5C425914}">
      <text>
        <r>
          <rPr>
            <b/>
            <sz val="9"/>
            <color indexed="81"/>
            <rFont val="Tahoma"/>
            <charset val="1"/>
          </rPr>
          <t>Luis G:</t>
        </r>
        <r>
          <rPr>
            <sz val="9"/>
            <color indexed="81"/>
            <rFont val="Tahoma"/>
            <charset val="1"/>
          </rPr>
          <t xml:space="preserve">
alto 60</t>
        </r>
      </text>
    </comment>
    <comment ref="A70" authorId="0" shapeId="0" xr:uid="{F0169482-201F-4EBE-9CC2-D5BAC08F91A7}">
      <text>
        <r>
          <rPr>
            <b/>
            <sz val="9"/>
            <color indexed="81"/>
            <rFont val="Tahoma"/>
            <charset val="1"/>
          </rPr>
          <t>Luis G:</t>
        </r>
        <r>
          <rPr>
            <sz val="9"/>
            <color indexed="81"/>
            <rFont val="Tahoma"/>
            <charset val="1"/>
          </rPr>
          <t xml:space="preserve">
alto 60</t>
        </r>
      </text>
    </comment>
    <comment ref="A71" authorId="0" shapeId="0" xr:uid="{A4E33876-BAB3-4416-9D36-04000180E1C2}">
      <text>
        <r>
          <rPr>
            <b/>
            <sz val="9"/>
            <color indexed="81"/>
            <rFont val="Tahoma"/>
            <charset val="1"/>
          </rPr>
          <t>Luis G:</t>
        </r>
        <r>
          <rPr>
            <sz val="9"/>
            <color indexed="81"/>
            <rFont val="Tahoma"/>
            <charset val="1"/>
          </rPr>
          <t xml:space="preserve">
alto 60</t>
        </r>
      </text>
    </comment>
    <comment ref="A72" authorId="0" shapeId="0" xr:uid="{FFF89B80-0EC4-4941-AAB4-EA85BC18ABE1}">
      <text>
        <r>
          <rPr>
            <b/>
            <sz val="9"/>
            <color indexed="81"/>
            <rFont val="Tahoma"/>
            <charset val="1"/>
          </rPr>
          <t>Luis G:</t>
        </r>
        <r>
          <rPr>
            <sz val="9"/>
            <color indexed="81"/>
            <rFont val="Tahoma"/>
            <charset val="1"/>
          </rPr>
          <t xml:space="preserve">
Alto 60</t>
        </r>
      </text>
    </comment>
    <comment ref="A73" authorId="0" shapeId="0" xr:uid="{C9BC3C22-856C-4C4B-8445-E85CBDCE8A24}">
      <text>
        <r>
          <rPr>
            <b/>
            <sz val="9"/>
            <color indexed="81"/>
            <rFont val="Tahoma"/>
            <charset val="1"/>
          </rPr>
          <t>Luis G:</t>
        </r>
        <r>
          <rPr>
            <sz val="9"/>
            <color indexed="81"/>
            <rFont val="Tahoma"/>
            <charset val="1"/>
          </rPr>
          <t xml:space="preserve">
Alto 60</t>
        </r>
      </text>
    </comment>
    <comment ref="A74" authorId="0" shapeId="0" xr:uid="{EF6E6CA1-902E-44C5-A4E1-5D517BF8C3C0}">
      <text>
        <r>
          <rPr>
            <b/>
            <sz val="9"/>
            <color indexed="81"/>
            <rFont val="Tahoma"/>
            <charset val="1"/>
          </rPr>
          <t>Luis G:</t>
        </r>
        <r>
          <rPr>
            <sz val="9"/>
            <color indexed="81"/>
            <rFont val="Tahoma"/>
            <charset val="1"/>
          </rPr>
          <t xml:space="preserve">
alto 190
ancho 150</t>
        </r>
      </text>
    </comment>
    <comment ref="A78" authorId="0" shapeId="0" xr:uid="{733E70D1-98D2-4246-AFA3-A8F0F23DC8ED}">
      <text>
        <r>
          <rPr>
            <b/>
            <sz val="9"/>
            <color indexed="81"/>
            <rFont val="Tahoma"/>
            <charset val="1"/>
          </rPr>
          <t>Luis G:</t>
        </r>
        <r>
          <rPr>
            <sz val="9"/>
            <color indexed="81"/>
            <rFont val="Tahoma"/>
            <charset val="1"/>
          </rPr>
          <t xml:space="preserve">
Alto 95</t>
        </r>
      </text>
    </comment>
  </commentList>
</comments>
</file>

<file path=xl/sharedStrings.xml><?xml version="1.0" encoding="utf-8"?>
<sst xmlns="http://schemas.openxmlformats.org/spreadsheetml/2006/main" count="1638" uniqueCount="756">
  <si>
    <t>dia</t>
  </si>
  <si>
    <t>mes</t>
  </si>
  <si>
    <t>anio</t>
  </si>
  <si>
    <t>detectores_humo</t>
  </si>
  <si>
    <t>ubicación_dh</t>
  </si>
  <si>
    <t>escaleras</t>
  </si>
  <si>
    <t>sismo_incendio</t>
  </si>
  <si>
    <t>tipo_alarma</t>
  </si>
  <si>
    <t>ubicacion_alarma</t>
  </si>
  <si>
    <t>apague_motor</t>
  </si>
  <si>
    <t>no_celular</t>
  </si>
  <si>
    <t>no_gorra_lentes</t>
  </si>
  <si>
    <t>uso_epp</t>
  </si>
  <si>
    <t>detectores_mov</t>
  </si>
  <si>
    <t>site</t>
  </si>
  <si>
    <t>hidrantes</t>
  </si>
  <si>
    <t>aspersores</t>
  </si>
  <si>
    <t>bomberos</t>
  </si>
  <si>
    <t>detector_gas</t>
  </si>
  <si>
    <t>equipo_brigada</t>
  </si>
  <si>
    <t>lampara</t>
  </si>
  <si>
    <t>planta</t>
  </si>
  <si>
    <t>baterias</t>
  </si>
  <si>
    <t>tambo_arena</t>
  </si>
  <si>
    <t>fachada</t>
  </si>
  <si>
    <t>logo1</t>
  </si>
  <si>
    <t>logo2</t>
  </si>
  <si>
    <t>mapa</t>
  </si>
  <si>
    <t>mueble1</t>
  </si>
  <si>
    <t>mueble2</t>
  </si>
  <si>
    <t>electrico</t>
  </si>
  <si>
    <t>banio</t>
  </si>
  <si>
    <t>sismo</t>
  </si>
  <si>
    <t>inundacion</t>
  </si>
  <si>
    <t>torm_elect</t>
  </si>
  <si>
    <t>incendio</t>
  </si>
  <si>
    <t>influenza</t>
  </si>
  <si>
    <t>radiacion</t>
  </si>
  <si>
    <t>ext1</t>
  </si>
  <si>
    <t>ext2</t>
  </si>
  <si>
    <t>ext3</t>
  </si>
  <si>
    <t>ext4</t>
  </si>
  <si>
    <t>botiquin</t>
  </si>
  <si>
    <t>ruta1</t>
  </si>
  <si>
    <t>ruta2</t>
  </si>
  <si>
    <t>salida</t>
  </si>
  <si>
    <t>alarma</t>
  </si>
  <si>
    <t>prohib1</t>
  </si>
  <si>
    <t>prohib2</t>
  </si>
  <si>
    <t>prohib3</t>
  </si>
  <si>
    <t>prohib4</t>
  </si>
  <si>
    <t>layout</t>
  </si>
  <si>
    <t>cap1</t>
  </si>
  <si>
    <t>cap2</t>
  </si>
  <si>
    <t>cap3</t>
  </si>
  <si>
    <t>cap4</t>
  </si>
  <si>
    <t>cap5</t>
  </si>
  <si>
    <t>cap6</t>
  </si>
  <si>
    <t>cap7</t>
  </si>
  <si>
    <t>cap8</t>
  </si>
  <si>
    <t>cap9</t>
  </si>
  <si>
    <t>cap10</t>
  </si>
  <si>
    <t>cap11</t>
  </si>
  <si>
    <t>cap12</t>
  </si>
  <si>
    <t>sim1</t>
  </si>
  <si>
    <t>sim2</t>
  </si>
  <si>
    <t>sim3</t>
  </si>
  <si>
    <t>sim4</t>
  </si>
  <si>
    <t>sim5</t>
  </si>
  <si>
    <t>sim6</t>
  </si>
  <si>
    <t>techo</t>
  </si>
  <si>
    <t>pisos</t>
  </si>
  <si>
    <t>puerta</t>
  </si>
  <si>
    <t>estantes</t>
  </si>
  <si>
    <t>dh</t>
  </si>
  <si>
    <t>ventanas</t>
  </si>
  <si>
    <t>compresor</t>
  </si>
  <si>
    <t>quimicos</t>
  </si>
  <si>
    <t>tanques_gaso</t>
  </si>
  <si>
    <t>paro</t>
  </si>
  <si>
    <t>trampa_grasa</t>
  </si>
  <si>
    <t>logo1.jpg</t>
  </si>
  <si>
    <t>logo2.jpg</t>
  </si>
  <si>
    <t>fachada.jpg</t>
  </si>
  <si>
    <t>mapa.jpg</t>
  </si>
  <si>
    <t>mueble (1).jpg</t>
  </si>
  <si>
    <t>mueble (2).jpg</t>
  </si>
  <si>
    <t>electrico.jpg</t>
  </si>
  <si>
    <t>banio.jpg</t>
  </si>
  <si>
    <t>sismo.jpg</t>
  </si>
  <si>
    <t>inundacion.jpg</t>
  </si>
  <si>
    <t>torm_elect.jpg</t>
  </si>
  <si>
    <t>incendio.jpg</t>
  </si>
  <si>
    <t>influenza.jpg</t>
  </si>
  <si>
    <t>radiacion.jpg</t>
  </si>
  <si>
    <t>ext (1).jpg</t>
  </si>
  <si>
    <t>ext (2).jpg</t>
  </si>
  <si>
    <t>ext (3).jpg</t>
  </si>
  <si>
    <t>ext (4).jpg</t>
  </si>
  <si>
    <t>botiquin.jpg</t>
  </si>
  <si>
    <t>ruta (1).jpg</t>
  </si>
  <si>
    <t>ruta (2).jpg</t>
  </si>
  <si>
    <t>ruta (3).jpg</t>
  </si>
  <si>
    <t>salida.jpg</t>
  </si>
  <si>
    <t>alarma.jpg</t>
  </si>
  <si>
    <t>prohib (1).jpg</t>
  </si>
  <si>
    <t>prohib (2).jpg</t>
  </si>
  <si>
    <t>prohib (3).jpg</t>
  </si>
  <si>
    <t>prohib (4).jpg</t>
  </si>
  <si>
    <t>layout.jpg</t>
  </si>
  <si>
    <t>cap (1).jpg</t>
  </si>
  <si>
    <t>cap (2).jpg</t>
  </si>
  <si>
    <t>cap (3).jpg</t>
  </si>
  <si>
    <t>cap (4).jpg</t>
  </si>
  <si>
    <t>cap (5).jpg</t>
  </si>
  <si>
    <t>cap (6).jpg</t>
  </si>
  <si>
    <t>cap (7).jpg</t>
  </si>
  <si>
    <t>cap (8).jpg</t>
  </si>
  <si>
    <t>cap (9).jpg</t>
  </si>
  <si>
    <t>cap (10).jpg</t>
  </si>
  <si>
    <t>cap (11).jpg</t>
  </si>
  <si>
    <t>cap (12).jpg</t>
  </si>
  <si>
    <t>sim (1).jpg</t>
  </si>
  <si>
    <t>sim (2).jpg</t>
  </si>
  <si>
    <t>sim (3).jpg</t>
  </si>
  <si>
    <t>sim (4).jpg</t>
  </si>
  <si>
    <t>sim (5).jpg</t>
  </si>
  <si>
    <t>sim (6).jpg</t>
  </si>
  <si>
    <t>techo.jpg</t>
  </si>
  <si>
    <t>pisos.jpg</t>
  </si>
  <si>
    <t>puerta.jpg</t>
  </si>
  <si>
    <t>estantes.jpg</t>
  </si>
  <si>
    <t>site.jpg</t>
  </si>
  <si>
    <t>dh.jpg</t>
  </si>
  <si>
    <t>ventanas.jpg</t>
  </si>
  <si>
    <t>compresor.jpg</t>
  </si>
  <si>
    <t>quimicos.jpg</t>
  </si>
  <si>
    <t>tanques_gaso.jpg</t>
  </si>
  <si>
    <t>paro.jpg</t>
  </si>
  <si>
    <t>trampa_grasa.jpg</t>
  </si>
  <si>
    <t>id</t>
  </si>
  <si>
    <t>pipc</t>
  </si>
  <si>
    <t>razon_social</t>
  </si>
  <si>
    <t>nombre_comercial</t>
  </si>
  <si>
    <t>rfc</t>
  </si>
  <si>
    <t>codigo_gasolinera</t>
  </si>
  <si>
    <t>giro_comercial</t>
  </si>
  <si>
    <t>descripcion_actividades</t>
  </si>
  <si>
    <t>calle</t>
  </si>
  <si>
    <t>no_exterior</t>
  </si>
  <si>
    <t>no_interior</t>
  </si>
  <si>
    <t>colonia_barrio</t>
  </si>
  <si>
    <t>municipio</t>
  </si>
  <si>
    <t>estado</t>
  </si>
  <si>
    <t>codigo_postal</t>
  </si>
  <si>
    <t>telefono</t>
  </si>
  <si>
    <t>email</t>
  </si>
  <si>
    <t>antiguedad_inmueble</t>
  </si>
  <si>
    <t>inicio_operaciones</t>
  </si>
  <si>
    <t>mod_estructurales</t>
  </si>
  <si>
    <t>mod_arquitect</t>
  </si>
  <si>
    <t>terreno_m2</t>
  </si>
  <si>
    <t>construccion_m2</t>
  </si>
  <si>
    <t>edificios</t>
  </si>
  <si>
    <t>niveles</t>
  </si>
  <si>
    <t>accesos</t>
  </si>
  <si>
    <t>salidas_emergencia</t>
  </si>
  <si>
    <t>escaleras_emergencia</t>
  </si>
  <si>
    <t>estacionamiento</t>
  </si>
  <si>
    <t>representante_legal</t>
  </si>
  <si>
    <t>responsable_pipc</t>
  </si>
  <si>
    <t>trabajadores</t>
  </si>
  <si>
    <t>poblacion_discapacidad</t>
  </si>
  <si>
    <t>hombres</t>
  </si>
  <si>
    <t>mujeres</t>
  </si>
  <si>
    <t>hombre_dicapacidad</t>
  </si>
  <si>
    <t>mujeres_discapacidad</t>
  </si>
  <si>
    <t>turnos</t>
  </si>
  <si>
    <t>visitantes</t>
  </si>
  <si>
    <t>proveedores</t>
  </si>
  <si>
    <t>dias</t>
  </si>
  <si>
    <t>horario</t>
  </si>
  <si>
    <t>senial_informacion</t>
  </si>
  <si>
    <t>ubicación_bot</t>
  </si>
  <si>
    <t>extintor</t>
  </si>
  <si>
    <t>ubicación_ext</t>
  </si>
  <si>
    <t>paros_emergencia</t>
  </si>
  <si>
    <t>ubicación_pe</t>
  </si>
  <si>
    <t>venteo</t>
  </si>
  <si>
    <t>ubicación_vent</t>
  </si>
  <si>
    <t>ubicación_plant</t>
  </si>
  <si>
    <t>ruta_evac</t>
  </si>
  <si>
    <t>salida_emerg</t>
  </si>
  <si>
    <t>zona_menor_rg</t>
  </si>
  <si>
    <t>punto_reunion</t>
  </si>
  <si>
    <t>riesgo_electrico</t>
  </si>
  <si>
    <t>senial_prohibicion</t>
  </si>
  <si>
    <t>no_fumar</t>
  </si>
  <si>
    <t>tanques</t>
  </si>
  <si>
    <t>tanque_1</t>
  </si>
  <si>
    <t>tanque_2</t>
  </si>
  <si>
    <t>tanque_3</t>
  </si>
  <si>
    <t>coordenadas</t>
  </si>
  <si>
    <t>norte</t>
  </si>
  <si>
    <t>sur</t>
  </si>
  <si>
    <t>este</t>
  </si>
  <si>
    <t>oeste</t>
  </si>
  <si>
    <t>ley</t>
  </si>
  <si>
    <t>reglamento</t>
  </si>
  <si>
    <t>coord_suplente</t>
  </si>
  <si>
    <t>evacuacion</t>
  </si>
  <si>
    <t>evac_suplente</t>
  </si>
  <si>
    <t>incendios</t>
  </si>
  <si>
    <t>inc_suplente</t>
  </si>
  <si>
    <t>primeros_auxilios</t>
  </si>
  <si>
    <t>aux_suplente</t>
  </si>
  <si>
    <t>busqueda</t>
  </si>
  <si>
    <t>busq_suplente</t>
  </si>
  <si>
    <t>descrip_gi</t>
  </si>
  <si>
    <t>gas_inflamable</t>
  </si>
  <si>
    <t>valor_gi</t>
  </si>
  <si>
    <t>descrp_li</t>
  </si>
  <si>
    <t>liquido_inflamable</t>
  </si>
  <si>
    <t>valor_li</t>
  </si>
  <si>
    <t>descrip_lc</t>
  </si>
  <si>
    <t>liquido_combustible</t>
  </si>
  <si>
    <t>valor_lc</t>
  </si>
  <si>
    <t>descrip_sc</t>
  </si>
  <si>
    <t>solido_combusible</t>
  </si>
  <si>
    <t>valor_sc</t>
  </si>
  <si>
    <t>tipo_riesgo</t>
  </si>
  <si>
    <t>{{ razon_social }}</t>
  </si>
  <si>
    <t>{{ nombre_comercial }}</t>
  </si>
  <si>
    <t>{{ rfc }}</t>
  </si>
  <si>
    <t>{{ codigo_gasolinera }}</t>
  </si>
  <si>
    <t>{{ giro_comercial }}</t>
  </si>
  <si>
    <t>{{ descripcion_actividades }}</t>
  </si>
  <si>
    <t>{{ calle }}</t>
  </si>
  <si>
    <t>{{ no_exterior }}</t>
  </si>
  <si>
    <t>{{ no_interior }}</t>
  </si>
  <si>
    <t>{{ colonia_barrio }}</t>
  </si>
  <si>
    <t>{{ municipio }}</t>
  </si>
  <si>
    <t>{{ estado }}</t>
  </si>
  <si>
    <t>{{ codigo_postal }}</t>
  </si>
  <si>
    <t>{{ telefono }}</t>
  </si>
  <si>
    <t>{{ email }}</t>
  </si>
  <si>
    <t>{{ antiguedad_inmueble }}</t>
  </si>
  <si>
    <t>{{ inicio_operaciones }}</t>
  </si>
  <si>
    <t>{{ mod_estructurales }}</t>
  </si>
  <si>
    <t>{{ mod_arquitect }}</t>
  </si>
  <si>
    <t>{{ terreno_m2 }}</t>
  </si>
  <si>
    <t>{{ construccion_m2 }}</t>
  </si>
  <si>
    <t>{{ edificios }}</t>
  </si>
  <si>
    <t>{{ niveles }}</t>
  </si>
  <si>
    <t>{{ accesos }}</t>
  </si>
  <si>
    <t>{{ salidas_emergencia }}</t>
  </si>
  <si>
    <t>{{ escaleras }}</t>
  </si>
  <si>
    <t>{{ escaleras_emergencia }}</t>
  </si>
  <si>
    <t>{{ estacionamiento }}</t>
  </si>
  <si>
    <t>{{ representante_legal }}</t>
  </si>
  <si>
    <t>{{ responsable_pipc }}</t>
  </si>
  <si>
    <t>{{ trabajadores }}</t>
  </si>
  <si>
    <t>{{ poblacion_discapacidad }}</t>
  </si>
  <si>
    <t>{{ hombres }}</t>
  </si>
  <si>
    <t>{{ mujeres }}</t>
  </si>
  <si>
    <t>{{ hombre_dicapacidad }}</t>
  </si>
  <si>
    <t>{{ mujeres_discapacidad }}</t>
  </si>
  <si>
    <t>{{ turnos }}</t>
  </si>
  <si>
    <t>{{ visitantes }}</t>
  </si>
  <si>
    <t>{{ proveedores }}</t>
  </si>
  <si>
    <t>{{ dias }}</t>
  </si>
  <si>
    <t>{{ horario }}</t>
  </si>
  <si>
    <t>{{ senial_informacion }}</t>
  </si>
  <si>
    <t>{{ botiquin }}</t>
  </si>
  <si>
    <t>{{ ubicación_bot }}</t>
  </si>
  <si>
    <t>{{ extintor }}</t>
  </si>
  <si>
    <t>{{ ubicación_ext }}</t>
  </si>
  <si>
    <t>{{ paros_emergencia }}</t>
  </si>
  <si>
    <t>{{ ubicación_pe }}</t>
  </si>
  <si>
    <t>{{ venteo }}</t>
  </si>
  <si>
    <t>{{ ubicación_vent }}</t>
  </si>
  <si>
    <t>{{ planta }}</t>
  </si>
  <si>
    <t>{{ ubicación_plant }}</t>
  </si>
  <si>
    <t>{{ alarma }}</t>
  </si>
  <si>
    <t>{{ tipo_alarma }}</t>
  </si>
  <si>
    <t>{{ ubicacion_alarma }}</t>
  </si>
  <si>
    <t>{{ detectores_humo }}</t>
  </si>
  <si>
    <t>{{ ubicación_dh }}</t>
  </si>
  <si>
    <t>{{ ruta_evac }}</t>
  </si>
  <si>
    <t>{{ salida_emerg }}</t>
  </si>
  <si>
    <t>{{ zona_menor_rg }}</t>
  </si>
  <si>
    <t>{{ punto_reunion }}</t>
  </si>
  <si>
    <t>{{ sismo_incendio }}</t>
  </si>
  <si>
    <t>{{ riesgo_electrico }}</t>
  </si>
  <si>
    <t>{{ senial_prohibicion }}</t>
  </si>
  <si>
    <t>{{ no_fumar }}</t>
  </si>
  <si>
    <t>{{ apague_motor }}</t>
  </si>
  <si>
    <t>{{ no_celular }}</t>
  </si>
  <si>
    <t>{{ no_gorra_lentes }}</t>
  </si>
  <si>
    <t>{{ uso_epp }}</t>
  </si>
  <si>
    <t>{{ detectores_mov }}</t>
  </si>
  <si>
    <t>{{ site }}</t>
  </si>
  <si>
    <t>{{ hidrantes }}</t>
  </si>
  <si>
    <t>{{ aspersores }}</t>
  </si>
  <si>
    <t>{{ bomberos }}</t>
  </si>
  <si>
    <t>{{ detector_gas }}</t>
  </si>
  <si>
    <t>{{ equipo_brigada }}</t>
  </si>
  <si>
    <t>{{ lampara }}</t>
  </si>
  <si>
    <t>{{ baterias }}</t>
  </si>
  <si>
    <t>{{ tambo_arena }}</t>
  </si>
  <si>
    <t>{{ tanques }}</t>
  </si>
  <si>
    <t>{{ tanque_1 }}</t>
  </si>
  <si>
    <t>{{ tanque_2 }}</t>
  </si>
  <si>
    <t>{{ tanque_3 }}</t>
  </si>
  <si>
    <t>{{ dia }}</t>
  </si>
  <si>
    <t>{{ mes }}</t>
  </si>
  <si>
    <t>{{ anio }}</t>
  </si>
  <si>
    <t>{{ coordenadas }}</t>
  </si>
  <si>
    <t>{{ norte }}</t>
  </si>
  <si>
    <t>{{ sur }}</t>
  </si>
  <si>
    <t>{{ este }}</t>
  </si>
  <si>
    <t>{{ oeste }}</t>
  </si>
  <si>
    <t>{{ ley }}</t>
  </si>
  <si>
    <t>{{ reglamento }}</t>
  </si>
  <si>
    <t>{{ coord_suplente }}</t>
  </si>
  <si>
    <t>{{ evacuacion }}</t>
  </si>
  <si>
    <t>{{ evac_suplente }}</t>
  </si>
  <si>
    <t>{{ incendios }}</t>
  </si>
  <si>
    <t>{{ inc_suplente }}</t>
  </si>
  <si>
    <t>{{ primeros_auxilios }}</t>
  </si>
  <si>
    <t>{{ aux_suplente }}</t>
  </si>
  <si>
    <t>{{ busqueda }}</t>
  </si>
  <si>
    <t>{{ busq_suplente }}</t>
  </si>
  <si>
    <t>{{ descrip_gi }}</t>
  </si>
  <si>
    <t>{{ gas_inflamable }}</t>
  </si>
  <si>
    <t>{{ valor_gi }}</t>
  </si>
  <si>
    <t>{{ descrp_li }}</t>
  </si>
  <si>
    <t>{{ liquido_inflamable }}</t>
  </si>
  <si>
    <t>{{ valor_li }}</t>
  </si>
  <si>
    <t>{{ descrip_lc }}</t>
  </si>
  <si>
    <t>{{ liquido_combustible }}</t>
  </si>
  <si>
    <t>{{ valor_lc }}</t>
  </si>
  <si>
    <t>{{ descrip_sc }}</t>
  </si>
  <si>
    <t>{{ solido_combusible }}</t>
  </si>
  <si>
    <t>{{ valor_sc }}</t>
  </si>
  <si>
    <t>{{ tipo_riesgo }}</t>
  </si>
  <si>
    <t>ruta3</t>
  </si>
  <si>
    <t>{{ logo1 }}</t>
  </si>
  <si>
    <t>{{ logo2 }}</t>
  </si>
  <si>
    <t>{{ fachada }}</t>
  </si>
  <si>
    <t>{{ mapa }}</t>
  </si>
  <si>
    <t>{{ mueble1 }}</t>
  </si>
  <si>
    <t>{{ mueble2 }}</t>
  </si>
  <si>
    <t>{{ electrico }}</t>
  </si>
  <si>
    <t>{{ banio }}</t>
  </si>
  <si>
    <t>{{ sismo }}</t>
  </si>
  <si>
    <t>{{ inundacion }}</t>
  </si>
  <si>
    <t>{{ torm_elect }}</t>
  </si>
  <si>
    <t>{{ incendio }}</t>
  </si>
  <si>
    <t>{{ influenza }}</t>
  </si>
  <si>
    <t>{{ radiacion }}</t>
  </si>
  <si>
    <t>{{ ext1 }}</t>
  </si>
  <si>
    <t>{{ ext2 }}</t>
  </si>
  <si>
    <t>{{ ext3 }}</t>
  </si>
  <si>
    <t>{{ ext4 }}</t>
  </si>
  <si>
    <t>{{ ruta1 }}</t>
  </si>
  <si>
    <t>{{ ruta2 }}</t>
  </si>
  <si>
    <t>{{ ruta3 }}</t>
  </si>
  <si>
    <t>{{ salida }}</t>
  </si>
  <si>
    <t>{{ prohib1 }}</t>
  </si>
  <si>
    <t>{{ prohib2 }}</t>
  </si>
  <si>
    <t>{{ prohib3 }}</t>
  </si>
  <si>
    <t>{{ prohib4 }}</t>
  </si>
  <si>
    <t>{{ layout }}</t>
  </si>
  <si>
    <t>{{ cap1 }}</t>
  </si>
  <si>
    <t>{{ cap2 }}</t>
  </si>
  <si>
    <t>{{ cap3 }}</t>
  </si>
  <si>
    <t>{{ cap4 }}</t>
  </si>
  <si>
    <t>{{ cap5 }}</t>
  </si>
  <si>
    <t>{{ cap6 }}</t>
  </si>
  <si>
    <t>{{ cap7 }}</t>
  </si>
  <si>
    <t>{{ cap8 }}</t>
  </si>
  <si>
    <t>{{ cap9 }}</t>
  </si>
  <si>
    <t>{{ cap10 }}</t>
  </si>
  <si>
    <t>{{ cap11 }}</t>
  </si>
  <si>
    <t>{{ cap12 }}</t>
  </si>
  <si>
    <t>{{ sim1 }}</t>
  </si>
  <si>
    <t>{{ sim2 }}</t>
  </si>
  <si>
    <t>{{ sim3 }}</t>
  </si>
  <si>
    <t>{{ sim4 }}</t>
  </si>
  <si>
    <t>{{ sim5 }}</t>
  </si>
  <si>
    <t>{{ sim6 }}</t>
  </si>
  <si>
    <t>{{ techo }}</t>
  </si>
  <si>
    <t>{{ pisos }}</t>
  </si>
  <si>
    <t>{{ puerta }}</t>
  </si>
  <si>
    <t>{{ estantes }}</t>
  </si>
  <si>
    <t>{{ dh }}</t>
  </si>
  <si>
    <t>{{ ventanas }}</t>
  </si>
  <si>
    <t>{{ compresor }}</t>
  </si>
  <si>
    <t>{{ quimicos }}</t>
  </si>
  <si>
    <t>{{ tanques_gaso }}</t>
  </si>
  <si>
    <t>{{ paro }}</t>
  </si>
  <si>
    <t>{{ trampa_grasa }}</t>
  </si>
  <si>
    <t>esc_emer</t>
  </si>
  <si>
    <t>esc_emer.jpg</t>
  </si>
  <si>
    <t>{{ esc_emer }}</t>
  </si>
  <si>
    <t>venteo_sist</t>
  </si>
  <si>
    <t>{{ venteo_sist }}</t>
  </si>
  <si>
    <t>venteo.jpg</t>
  </si>
  <si>
    <t>{{ maguera }}</t>
  </si>
  <si>
    <t>manguera</t>
  </si>
  <si>
    <t>manguera.jpg</t>
  </si>
  <si>
    <t>cisterna</t>
  </si>
  <si>
    <t>cisterna.jpg</t>
  </si>
  <si>
    <t>{{ cisterna }}</t>
  </si>
  <si>
    <t>met_alarma</t>
  </si>
  <si>
    <t>{{ met_alarma }}</t>
  </si>
  <si>
    <t>botiquin_emer</t>
  </si>
  <si>
    <t>planta_emer</t>
  </si>
  <si>
    <t>{{ planta_emer }}</t>
  </si>
  <si>
    <t>planta.jpg</t>
  </si>
  <si>
    <t>deposito</t>
  </si>
  <si>
    <t>deposito.jpg</t>
  </si>
  <si>
    <t>{{ deposito }}</t>
  </si>
  <si>
    <t>GDL</t>
  </si>
  <si>
    <t>FARMACIA GUADALAJARA S.A. DE C.V.</t>
  </si>
  <si>
    <t>FGU830930PD3</t>
  </si>
  <si>
    <t>DISPENSACIÓN DE MEDICAMENTOS, ATENCIÓN AL CLIENTE, VENTA DE PRODUCTOS DE SALUD, BELLEZA Y ABARROTES</t>
  </si>
  <si>
    <t>AV. LIBERTAD NORTE</t>
  </si>
  <si>
    <t>CENTRO</t>
  </si>
  <si>
    <t>SAN MARTIN TEXMELUCAN</t>
  </si>
  <si>
    <t>PUEBLA</t>
  </si>
  <si>
    <t>ismaeldominguezr@yahoo.com</t>
  </si>
  <si>
    <t>7 DE SEPTIEMBRE DE 2015</t>
  </si>
  <si>
    <t>6 CAJONES</t>
  </si>
  <si>
    <t>PABLO SAUL FLORIO VALADEZ</t>
  </si>
  <si>
    <t>ISMAEL DOMINGUEZ R</t>
  </si>
  <si>
    <t>LUNES - DOMINGO</t>
  </si>
  <si>
    <t>24 HORAS</t>
  </si>
  <si>
    <t>AREA INTERNA</t>
  </si>
  <si>
    <t>EN TODA LA FARMACIA</t>
  </si>
  <si>
    <t>ULTIMO NIVEL</t>
  </si>
  <si>
    <t>AREA INTERNA Y EXTERNA</t>
  </si>
  <si>
    <t>ENERO</t>
  </si>
  <si>
    <t>19.285579598674722, -98.43843423120165</t>
  </si>
  <si>
    <t>CASA HABITACIÓN</t>
  </si>
  <si>
    <t>AVENIDA MÉXICO</t>
  </si>
  <si>
    <t>LOCALES COMERCIALES</t>
  </si>
  <si>
    <t>REFACCIONARIA CALIFORNIA</t>
  </si>
  <si>
    <t>Ley del Sistema Estatal de Protección Civil del Estado de Puebla última reforma publicada en el periódico oficial el 08 de abril de 2022.</t>
  </si>
  <si>
    <t>Reglamento de la Ley del Sistema Estatal de Protección Civil para el Estado Libre y Soberano de Puebla, publicado el 1 de julio de 1998.</t>
  </si>
  <si>
    <t>JUAN VICTOR AGUILAR IBARRA</t>
  </si>
  <si>
    <t>MAYTE VILLANUEVA DE LA CRUZ</t>
  </si>
  <si>
    <t>ERNESTO CARLOS GUZMAN</t>
  </si>
  <si>
    <t>ARELI LOPEZ LEYVA</t>
  </si>
  <si>
    <t>MARIA CANDELARIA BRAVO LIRA</t>
  </si>
  <si>
    <t>PAULO ACOSTA</t>
  </si>
  <si>
    <t>YARA PAOLA SANCHEZ R</t>
  </si>
  <si>
    <t>MARIA ARELI VARGAS ZEPEDA</t>
  </si>
  <si>
    <t>JUAN CARLOS TORRES ITURBIDE</t>
  </si>
  <si>
    <t>ALCOHOL</t>
  </si>
  <si>
    <t>GASOLINA</t>
  </si>
  <si>
    <t>MOBILIARIO</t>
  </si>
  <si>
    <t>MINI SUPER CON VENTA DE VINOS Y LICORES EN BOTELLA CERRADA</t>
  </si>
  <si>
    <t>FARMACIA Y TIENDA DE AUTOSERVICIO CON VENTA DE BEBIDAS ALCOHOLICAS EN BOTELLA CERRADA</t>
  </si>
  <si>
    <t>AVENIDA MEXICO - PUEBLA</t>
  </si>
  <si>
    <t>102 - 104</t>
  </si>
  <si>
    <t>LOS ANGELES</t>
  </si>
  <si>
    <t>jemg_5935@hotmail.com</t>
  </si>
  <si>
    <t>DICIEMBRE DE 2012</t>
  </si>
  <si>
    <t>5 CAJONES</t>
  </si>
  <si>
    <t>NORMA ANGELICA TEPOX ROMERO</t>
  </si>
  <si>
    <t>MEGAFONO Y CHICHARRA</t>
  </si>
  <si>
    <t>AREA INTERNA Y FARMACIA</t>
  </si>
  <si>
    <t>19.27632, -98.43108</t>
  </si>
  <si>
    <t>CALLE GUADALAJARA</t>
  </si>
  <si>
    <t>CARRETERA 190</t>
  </si>
  <si>
    <t>JUAN DE LA BARRERA PONIENTE</t>
  </si>
  <si>
    <t>CARRETERA 117</t>
  </si>
  <si>
    <t>ROSA MARIA RAMIREZ SEVILLA</t>
  </si>
  <si>
    <t>JOSE ARMANDO REYES GARCIA</t>
  </si>
  <si>
    <t>ANGEL MINOR HERNANDEZ</t>
  </si>
  <si>
    <t>ERIKA ATENCO MORALES</t>
  </si>
  <si>
    <t>ELOISA HERNANDEZ MORALES</t>
  </si>
  <si>
    <t>MARIA ESTHER PEREZ PEREZ</t>
  </si>
  <si>
    <t>BEATRIZ JIMENEZ DOMINGUEZ</t>
  </si>
  <si>
    <t>CARLOS MIGUEL SOLIS GONZALEZ</t>
  </si>
  <si>
    <t>SOIRA MICHEL LEYVA CRUZ</t>
  </si>
  <si>
    <t>BLVD. XICOTENCATL</t>
  </si>
  <si>
    <t>fsca34@hotmail.com</t>
  </si>
  <si>
    <t>7 DE SEPTIEMBRE DE 2016</t>
  </si>
  <si>
    <t>FRANCISCA CAMACHO SEGURA</t>
  </si>
  <si>
    <t>19.285018758433026, -98.43067887876668</t>
  </si>
  <si>
    <t>CALLE RAFAEL RODRÍGUEZ</t>
  </si>
  <si>
    <t>FRANCISCO I. MADERO NORTE</t>
  </si>
  <si>
    <t>J.O. DE DOMINGUEZ NORTE</t>
  </si>
  <si>
    <t>YESSICA MUNOZ SANCHEZ</t>
  </si>
  <si>
    <t>MARLEM CONTRERAS HERNANDEZ</t>
  </si>
  <si>
    <t>OLIVIA VILLANUEVA DE LA CRUZ</t>
  </si>
  <si>
    <t>ANAHI ROBLES LIMON</t>
  </si>
  <si>
    <t>NANCY LOZADA JUAREZ</t>
  </si>
  <si>
    <t>MARIAN RUBIO HERNANDEZ</t>
  </si>
  <si>
    <t>ALAN LOPEZ LEYVA</t>
  </si>
  <si>
    <t>IHULEMA FLORES ELIZALDE</t>
  </si>
  <si>
    <t>JUAN NAVA BANOS</t>
  </si>
  <si>
    <t xml:space="preserve">TIENDA DE AUTO SERVICIO CON APERTURA DE 24 HORAS CON VENTA DE ALCOHOL </t>
  </si>
  <si>
    <t>CAMINO A TLANALAPAN</t>
  </si>
  <si>
    <t>SAN RAFAEL TLANALAPAN</t>
  </si>
  <si>
    <t>SUC. 368 LA LIBERTAD</t>
  </si>
  <si>
    <t>SUC. 953 AV. MEXICO</t>
  </si>
  <si>
    <t>SUC. 1079 XICOTENCATL</t>
  </si>
  <si>
    <t>tete221942@hotmail.com</t>
  </si>
  <si>
    <t>ENERO DE 2019</t>
  </si>
  <si>
    <t>20 CAJONES</t>
  </si>
  <si>
    <t>MARIA ESTHER REYES RODRIGUEZ</t>
  </si>
  <si>
    <t>19.29138, -98.45449</t>
  </si>
  <si>
    <t>AVENIDA ALVARO OBREGON</t>
  </si>
  <si>
    <t>LLANO GRANDE</t>
  </si>
  <si>
    <t>CENTRAL SAN RAFAEL</t>
  </si>
  <si>
    <t>CALLE SATURNO</t>
  </si>
  <si>
    <t>SANDRA NAYELY LEYVA NAMBO</t>
  </si>
  <si>
    <t>CECILIA RUIZ BOFE</t>
  </si>
  <si>
    <t>VERONICA RUIZ VOFE</t>
  </si>
  <si>
    <t>CLAUDIA DAISY MARIN DE AQUINO</t>
  </si>
  <si>
    <t>MARIANA ESTELA RAMIREZ MUNOZ</t>
  </si>
  <si>
    <t>LUZ ADRIANA HERNANDEZ GUTIERREZ</t>
  </si>
  <si>
    <t>YURAI ARANA SANCHEZ</t>
  </si>
  <si>
    <t>GUSTAVO BENITEZ R</t>
  </si>
  <si>
    <t>DULCE MARIA ROMERO VARGAS</t>
  </si>
  <si>
    <t>CENTROS ESCOLARES FUNDACION GEU</t>
  </si>
  <si>
    <t>CENTRO EDUCATIVO TEPEACA</t>
  </si>
  <si>
    <t>CEG110503IN2</t>
  </si>
  <si>
    <t>ESCUELA PRIVADA NIVEL PRIMARIA</t>
  </si>
  <si>
    <t>ENSEÑANZA DE MATERIAS BÁSICAS (MATEMÁTICAS, CIENCIAS, LENGUA), EDUCACIÓN FÍSICA, ACTIVIDADES ARTÍSTICAS Y CULTURALES, ASÍ COMO ORIENTACIÓN Y APOYO EMOCIONAL A LOS ESTUDIANTES</t>
  </si>
  <si>
    <t>CALLE 11 SUR</t>
  </si>
  <si>
    <t>HERMOSA PROVINCIA</t>
  </si>
  <si>
    <t>TEPEACA</t>
  </si>
  <si>
    <t>sramirez@cegeu.org.mx</t>
  </si>
  <si>
    <t>30 DE AGOSTO DE 2011</t>
  </si>
  <si>
    <t>9 CAJONES</t>
  </si>
  <si>
    <t>SIMONA ARACELI RAMIREZ SOLAR</t>
  </si>
  <si>
    <t>LUNES - VIERNES</t>
  </si>
  <si>
    <t>8:00 - 19:00 HORAS</t>
  </si>
  <si>
    <t>SALON PRIMARIA</t>
  </si>
  <si>
    <t>EN TODA LA ESCUELA</t>
  </si>
  <si>
    <t>DIRECCION</t>
  </si>
  <si>
    <t>DIRECCION, BIBLIOTECA Y COMPUTACION</t>
  </si>
  <si>
    <t xml:space="preserve">area_restrig </t>
  </si>
  <si>
    <t>{{ area_restrig  }}</t>
  </si>
  <si>
    <t>MARZO</t>
  </si>
  <si>
    <t>TERESA FERNANDA CARMONA HERNANDEZ</t>
  </si>
  <si>
    <t>MARISOL MARTINEZ CRUZ</t>
  </si>
  <si>
    <t>BLANCA IBERIA ROSAS MARTINEZ</t>
  </si>
  <si>
    <t>ALEJANDRA LOPEZ VERA</t>
  </si>
  <si>
    <t>VERONICA PONCE SILXA</t>
  </si>
  <si>
    <t>ERICK MANUEL AGUILAR</t>
  </si>
  <si>
    <t>MARIA DOLORES MARTINEZ GONZALEZ</t>
  </si>
  <si>
    <t>JAVIER BAEZ BEJARANO</t>
  </si>
  <si>
    <t>LIZBETH A. CERON GUARNEROS</t>
  </si>
  <si>
    <t>GENERAL</t>
  </si>
  <si>
    <t>18.95889731820051, -97.91335927278011</t>
  </si>
  <si>
    <t>JARDIN DE NINOS MANUEL CENTENO</t>
  </si>
  <si>
    <t>TERRENO</t>
  </si>
  <si>
    <t>ROTONDA</t>
  </si>
  <si>
    <t>ESCUELA TECNICA</t>
  </si>
  <si>
    <t>try:</t>
  </si>
  <si>
    <t>except Exception as e:</t>
  </si>
  <si>
    <t>else:</t>
  </si>
  <si>
    <t>{{ ubicacion_lampara }}</t>
  </si>
  <si>
    <t>ubicacion_lampara</t>
  </si>
  <si>
    <t>{{ ubicacion_tambo }}</t>
  </si>
  <si>
    <t>ubicacion_tambo</t>
  </si>
  <si>
    <t>{{ ubicacion_bombero }}</t>
  </si>
  <si>
    <t>ubicacion_bombero</t>
  </si>
  <si>
    <t>{{ ubicación_mov }}</t>
  </si>
  <si>
    <t>ubicación_mov</t>
  </si>
  <si>
    <t>{{ ubicación_gas }}</t>
  </si>
  <si>
    <t>ubicación_gas</t>
  </si>
  <si>
    <t>{{ ubiacion_baterias }}</t>
  </si>
  <si>
    <t>ubiacion_baterias</t>
  </si>
  <si>
    <t>{{ ubicacion_site }}</t>
  </si>
  <si>
    <t>ubicacion_site</t>
  </si>
  <si>
    <t>site_emer</t>
  </si>
  <si>
    <t>{{ site_emer }}</t>
  </si>
  <si>
    <t>{{ ubicacion_brigada }}</t>
  </si>
  <si>
    <t>ubicacion_brigada</t>
  </si>
  <si>
    <t>BANCO</t>
  </si>
  <si>
    <t>GASOLINERA</t>
  </si>
  <si>
    <t>BBVA</t>
  </si>
  <si>
    <t>SUC. 2027 TLANALAPAN</t>
  </si>
  <si>
    <t>evac_puesto</t>
  </si>
  <si>
    <t>supl_evac_pue</t>
  </si>
  <si>
    <t>incen_puesto</t>
  </si>
  <si>
    <t>supl_inc_puesto</t>
  </si>
  <si>
    <t>prim_aux_puesto</t>
  </si>
  <si>
    <t>supl_prim_aux_puesto</t>
  </si>
  <si>
    <t>busq_puesto</t>
  </si>
  <si>
    <t>supl_busq_puesto</t>
  </si>
  <si>
    <t>{{ evac_puesto }}</t>
  </si>
  <si>
    <t>{{ supl_evac_pue }}</t>
  </si>
  <si>
    <t>{{ incen_puesto }}</t>
  </si>
  <si>
    <t>{{ supl_inc_puesto }}</t>
  </si>
  <si>
    <t>{{ prim_aux_puesto }}</t>
  </si>
  <si>
    <t>{{ supl_prim_aux_puesto }}</t>
  </si>
  <si>
    <t>{{ busq_puesto }}</t>
  </si>
  <si>
    <t>{{ supl_busq_puesto }}</t>
  </si>
  <si>
    <t>ref_llegar</t>
  </si>
  <si>
    <t>{{ ref_llegar }}</t>
  </si>
  <si>
    <t>{{ mapa_satel }}</t>
  </si>
  <si>
    <t>mapa_satel</t>
  </si>
  <si>
    <t>mapa_satel.png</t>
  </si>
  <si>
    <t>plano</t>
  </si>
  <si>
    <t>plano.jpg</t>
  </si>
  <si>
    <t>{{ plano }}</t>
  </si>
  <si>
    <t>inmueble1</t>
  </si>
  <si>
    <t>inmueble (1).jpg</t>
  </si>
  <si>
    <t>{{ inmueble1 }}</t>
  </si>
  <si>
    <t>inmueble2</t>
  </si>
  <si>
    <t>inmueble (2).jpg</t>
  </si>
  <si>
    <t>{{ inmueble2 }}</t>
  </si>
  <si>
    <t>banio1</t>
  </si>
  <si>
    <t>banio1.jpg</t>
  </si>
  <si>
    <t>{{ banio1 }}</t>
  </si>
  <si>
    <t>electrico1</t>
  </si>
  <si>
    <t>electrico1.jpg</t>
  </si>
  <si>
    <t>{{ electrico1 }}</t>
  </si>
  <si>
    <t>nombre1</t>
  </si>
  <si>
    <t>nombre2</t>
  </si>
  <si>
    <t>puesto1</t>
  </si>
  <si>
    <t>puesto2</t>
  </si>
  <si>
    <t>nombre3</t>
  </si>
  <si>
    <t>puesto3</t>
  </si>
  <si>
    <t>nombre4</t>
  </si>
  <si>
    <t>puesto4</t>
  </si>
  <si>
    <t>nombre5</t>
  </si>
  <si>
    <t>puesto5</t>
  </si>
  <si>
    <t>nombre6</t>
  </si>
  <si>
    <t>puesto6</t>
  </si>
  <si>
    <t>nombre7</t>
  </si>
  <si>
    <t>puesto7</t>
  </si>
  <si>
    <t>nombre8</t>
  </si>
  <si>
    <t>puesto8</t>
  </si>
  <si>
    <t>nombre9</t>
  </si>
  <si>
    <t>puesto9</t>
  </si>
  <si>
    <t>nombre10</t>
  </si>
  <si>
    <t>puesto10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</si>
  <si>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</si>
  <si>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</si>
  <si>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</si>
  <si>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</si>
  <si>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</si>
  <si>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</si>
  <si>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</si>
  <si>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</si>
  <si>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</si>
  <si>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</si>
  <si>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m_dir</t>
  </si>
  <si>
    <t>m_jef_caj</t>
  </si>
  <si>
    <t>m_evac</t>
  </si>
  <si>
    <t>m_supl_evac</t>
  </si>
  <si>
    <t>m_inc</t>
  </si>
  <si>
    <t>m_supl_inc</t>
  </si>
  <si>
    <t>m_prim_aux</t>
  </si>
  <si>
    <t>m_supl_paux</t>
  </si>
  <si>
    <t>m_busq</t>
  </si>
  <si>
    <t>m_supl_busq</t>
  </si>
  <si>
    <t>{{ nombre1 }}</t>
  </si>
  <si>
    <t>{{ puesto1 }}</t>
  </si>
  <si>
    <t>{{ m1 }}</t>
  </si>
  <si>
    <t>{{ nombre2 }}</t>
  </si>
  <si>
    <t>{{ puesto2 }}</t>
  </si>
  <si>
    <t>{{ m2 }}</t>
  </si>
  <si>
    <t>{{ nombre3 }}</t>
  </si>
  <si>
    <t>{{ puesto3 }}</t>
  </si>
  <si>
    <t>{{ m3 }}</t>
  </si>
  <si>
    <t>{{ nombre4 }}</t>
  </si>
  <si>
    <t>{{ puesto4 }}</t>
  </si>
  <si>
    <t>{{ m4 }}</t>
  </si>
  <si>
    <t>{{ nombre5 }}</t>
  </si>
  <si>
    <t>{{ puesto5 }}</t>
  </si>
  <si>
    <t>{{ m5 }}</t>
  </si>
  <si>
    <t>{{ nombre6 }}</t>
  </si>
  <si>
    <t>{{ puesto6 }}</t>
  </si>
  <si>
    <t>{{ m6 }}</t>
  </si>
  <si>
    <t>{{ nombre7 }}</t>
  </si>
  <si>
    <t>{{ puesto7 }}</t>
  </si>
  <si>
    <t>{{ m7 }}</t>
  </si>
  <si>
    <t>{{ nombre8 }}</t>
  </si>
  <si>
    <t>{{ puesto8 }}</t>
  </si>
  <si>
    <t>{{ m8 }}</t>
  </si>
  <si>
    <t>{{ nombre9 }}</t>
  </si>
  <si>
    <t>{{ puesto9 }}</t>
  </si>
  <si>
    <t>{{ m9 }}</t>
  </si>
  <si>
    <t>{{ nombre10 }}</t>
  </si>
  <si>
    <t>{{ puesto10 }}</t>
  </si>
  <si>
    <t>{{ m10 }}</t>
  </si>
  <si>
    <t>{{ m_dir }}</t>
  </si>
  <si>
    <t>{{ m_jef_caj }}</t>
  </si>
  <si>
    <t>{{ m_evac }}</t>
  </si>
  <si>
    <t>{{ m_supl_evac }}</t>
  </si>
  <si>
    <t>{{ m_inc }}</t>
  </si>
  <si>
    <t>{{ m_supl_inc }}</t>
  </si>
  <si>
    <t>{{ m_prim_aux }}</t>
  </si>
  <si>
    <t>{{ m_supl_paux }}</t>
  </si>
  <si>
    <t>{{ m_busq }}</t>
  </si>
  <si>
    <t>{{ m_supl_busq }}</t>
  </si>
  <si>
    <t>ext_pqs</t>
  </si>
  <si>
    <t>ext_co2</t>
  </si>
  <si>
    <t>{{ ext_pqs }}</t>
  </si>
  <si>
    <t>{{ ext_co2 }}</t>
  </si>
  <si>
    <t>silbato</t>
  </si>
  <si>
    <t>{{ silbato }}</t>
  </si>
  <si>
    <t>estrobo</t>
  </si>
  <si>
    <t>{{ estrobo }}</t>
  </si>
  <si>
    <t>fachada1</t>
  </si>
  <si>
    <t>fachada1.jpg</t>
  </si>
  <si>
    <t>{{ fachada1 }}</t>
  </si>
  <si>
    <t>ubiacion_brigadas</t>
  </si>
  <si>
    <t>{{ ubiacion_brigadas }}</t>
  </si>
  <si>
    <t>bateria</t>
  </si>
  <si>
    <t>bateria.jpg</t>
  </si>
  <si>
    <t>{{ bateria }}</t>
  </si>
  <si>
    <t>acta1</t>
  </si>
  <si>
    <t>acta2</t>
  </si>
  <si>
    <t>crono_anual</t>
  </si>
  <si>
    <t>mantto</t>
  </si>
  <si>
    <t>simulacro</t>
  </si>
  <si>
    <t>capacitacion</t>
  </si>
  <si>
    <t>inv_quim</t>
  </si>
  <si>
    <t>inv_emer</t>
  </si>
  <si>
    <t>bit_emer</t>
  </si>
  <si>
    <t>insp_bot</t>
  </si>
  <si>
    <t>insp_ext</t>
  </si>
  <si>
    <t>ev_sim1</t>
  </si>
  <si>
    <t>ev_sim2</t>
  </si>
  <si>
    <t>visitas</t>
  </si>
  <si>
    <t>insp_dh</t>
  </si>
  <si>
    <t>insp_lamp</t>
  </si>
  <si>
    <t>insp_alarm</t>
  </si>
  <si>
    <t>acta1.png</t>
  </si>
  <si>
    <t>acta2.png</t>
  </si>
  <si>
    <t>crono_anual.png</t>
  </si>
  <si>
    <t>mantto.png</t>
  </si>
  <si>
    <t>simulacro.png</t>
  </si>
  <si>
    <t>capacitacion.png</t>
  </si>
  <si>
    <t>inv_quim.png</t>
  </si>
  <si>
    <t>inv_emer.png</t>
  </si>
  <si>
    <t>bit_emer.png</t>
  </si>
  <si>
    <t>insp_bot.png</t>
  </si>
  <si>
    <t>insp_ext.png</t>
  </si>
  <si>
    <t>insp_dh.png</t>
  </si>
  <si>
    <t>insp_lamp.png</t>
  </si>
  <si>
    <t>insp_alarm.png</t>
  </si>
  <si>
    <t>ev_sim1.png</t>
  </si>
  <si>
    <t>ev_sim2.png</t>
  </si>
  <si>
    <t>visitas.png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</si>
</sst>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3" fillId="0" borderId="0" xfId="1"/>
    <xf numFmtId="0" fontId="0" fillId="3" borderId="0" xfId="0" applyFill="1"/>
    <xf numFmtId="164" fontId="0" fillId="0" borderId="0" xfId="0" applyNumberFormat="1"/>
  </cellXfs>
  <cellStyles count="2">
    <cellStyle name="Hipervínculo" xfId="1" builtinId="8"/>
    <cellStyle name="Normal" xfId="0" builtinId="0"/>
  </cellStyles>
  <dxfs count="7">
    <dxf>
      <font>
        <b/>
        <i val="0"/>
      </font>
      <fill>
        <patternFill>
          <bgColor rgb="FFFFFFCC"/>
        </patternFill>
      </fill>
    </dxf>
    <dxf>
      <font>
        <b/>
        <i val="0"/>
      </font>
      <fill>
        <patternFill>
          <bgColor rgb="FFFFFFCC"/>
        </patternFill>
      </fill>
    </dxf>
    <dxf>
      <font>
        <b/>
        <i val="0"/>
      </font>
      <fill>
        <patternFill>
          <bgColor rgb="FFFFFFCC"/>
        </patternFill>
      </fill>
    </dxf>
    <dxf>
      <font>
        <b/>
        <i val="0"/>
      </font>
      <fill>
        <patternFill>
          <bgColor rgb="FFFFFFCC"/>
        </patternFill>
      </fill>
    </dxf>
    <dxf>
      <font>
        <b/>
        <i val="0"/>
      </font>
      <fill>
        <patternFill>
          <bgColor rgb="FFFFFFCC"/>
        </patternFill>
      </fill>
    </dxf>
    <dxf>
      <font>
        <b/>
        <i val="0"/>
      </font>
      <fill>
        <patternFill>
          <bgColor rgb="FFFFFFCC"/>
        </patternFill>
      </fill>
    </dxf>
    <dxf>
      <font>
        <b/>
        <i val="0"/>
      </font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Spin" dx="26" fmlaLink="$A$1" max="30000" min="1" page="10" val="4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281940</xdr:colOff>
          <xdr:row>0</xdr:row>
          <xdr:rowOff>15240</xdr:rowOff>
        </xdr:from>
        <xdr:to>
          <xdr:col>1</xdr:col>
          <xdr:colOff>601980</xdr:colOff>
          <xdr:row>0</xdr:row>
          <xdr:rowOff>350520</xdr:rowOff>
        </xdr:to>
        <xdr:sp macro="" textlink="">
          <xdr:nvSpPr>
            <xdr:cNvPr id="1025" name="Spinner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.xml"/><Relationship Id="rId3" Type="http://schemas.openxmlformats.org/officeDocument/2006/relationships/hyperlink" Target="mailto:fsca34@hotmail.com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jemg_5935@hotmail.com" TargetMode="External"/><Relationship Id="rId1" Type="http://schemas.openxmlformats.org/officeDocument/2006/relationships/hyperlink" Target="mailto:ismaeldominguezr@yahoo.com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mailto:sramirez@cegeu.org.mx" TargetMode="External"/><Relationship Id="rId4" Type="http://schemas.openxmlformats.org/officeDocument/2006/relationships/hyperlink" Target="mailto:tete221942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A0106-4EDF-4D58-B8A9-1C9CC54D9FE0}">
  <dimension ref="A1:HN200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B197" sqref="B197"/>
    </sheetView>
  </sheetViews>
  <sheetFormatPr baseColWidth="10" defaultRowHeight="14.4" x14ac:dyDescent="0.3"/>
  <sheetData>
    <row r="1" spans="1:222" ht="28.95" customHeight="1" x14ac:dyDescent="0.3">
      <c r="A1" s="2">
        <v>4</v>
      </c>
    </row>
    <row r="2" spans="1:222" x14ac:dyDescent="0.3">
      <c r="A2" t="s">
        <v>140</v>
      </c>
      <c r="B2" t="s">
        <v>141</v>
      </c>
      <c r="C2" t="s">
        <v>142</v>
      </c>
      <c r="D2" t="s">
        <v>143</v>
      </c>
      <c r="E2" t="s">
        <v>144</v>
      </c>
      <c r="F2" t="s">
        <v>145</v>
      </c>
      <c r="G2" t="s">
        <v>146</v>
      </c>
      <c r="H2" t="s">
        <v>147</v>
      </c>
      <c r="I2" t="s">
        <v>148</v>
      </c>
      <c r="J2" t="s">
        <v>149</v>
      </c>
      <c r="K2" t="s">
        <v>150</v>
      </c>
      <c r="L2" t="s">
        <v>151</v>
      </c>
      <c r="M2" t="s">
        <v>152</v>
      </c>
      <c r="N2" t="s">
        <v>153</v>
      </c>
      <c r="O2" t="s">
        <v>154</v>
      </c>
      <c r="P2" t="s">
        <v>155</v>
      </c>
      <c r="Q2" t="s">
        <v>156</v>
      </c>
      <c r="R2" t="s">
        <v>157</v>
      </c>
      <c r="S2" t="s">
        <v>158</v>
      </c>
      <c r="T2" t="s">
        <v>159</v>
      </c>
      <c r="U2" t="s">
        <v>160</v>
      </c>
      <c r="V2" t="s">
        <v>161</v>
      </c>
      <c r="W2" t="s">
        <v>162</v>
      </c>
      <c r="X2" t="s">
        <v>163</v>
      </c>
      <c r="Y2" t="s">
        <v>164</v>
      </c>
      <c r="Z2" t="s">
        <v>165</v>
      </c>
      <c r="AA2" t="s">
        <v>166</v>
      </c>
      <c r="AB2" t="s">
        <v>5</v>
      </c>
      <c r="AC2" t="s">
        <v>167</v>
      </c>
      <c r="AD2" t="s">
        <v>168</v>
      </c>
      <c r="AE2" t="s">
        <v>169</v>
      </c>
      <c r="AF2" t="s">
        <v>170</v>
      </c>
      <c r="AG2" t="s">
        <v>171</v>
      </c>
      <c r="AH2" t="s">
        <v>172</v>
      </c>
      <c r="AI2" t="s">
        <v>173</v>
      </c>
      <c r="AJ2" t="s">
        <v>174</v>
      </c>
      <c r="AK2" t="s">
        <v>175</v>
      </c>
      <c r="AL2" t="s">
        <v>176</v>
      </c>
      <c r="AM2" t="s">
        <v>177</v>
      </c>
      <c r="AN2" t="s">
        <v>178</v>
      </c>
      <c r="AO2" t="s">
        <v>179</v>
      </c>
      <c r="AP2" t="s">
        <v>180</v>
      </c>
      <c r="AQ2" t="s">
        <v>181</v>
      </c>
      <c r="AR2" t="s">
        <v>182</v>
      </c>
      <c r="AS2" t="s">
        <v>417</v>
      </c>
      <c r="AT2" t="s">
        <v>183</v>
      </c>
      <c r="AU2" t="s">
        <v>184</v>
      </c>
      <c r="AV2" t="s">
        <v>185</v>
      </c>
      <c r="AW2" t="s">
        <v>706</v>
      </c>
      <c r="AX2" t="s">
        <v>707</v>
      </c>
      <c r="AY2" t="s">
        <v>186</v>
      </c>
      <c r="AZ2" t="s">
        <v>187</v>
      </c>
      <c r="BA2" t="s">
        <v>406</v>
      </c>
      <c r="BB2" t="s">
        <v>189</v>
      </c>
      <c r="BC2" t="s">
        <v>418</v>
      </c>
      <c r="BD2" t="s">
        <v>190</v>
      </c>
      <c r="BE2" t="s">
        <v>415</v>
      </c>
      <c r="BF2" t="s">
        <v>7</v>
      </c>
      <c r="BG2" t="s">
        <v>710</v>
      </c>
      <c r="BH2" t="s">
        <v>712</v>
      </c>
      <c r="BI2" t="s">
        <v>8</v>
      </c>
      <c r="BJ2" t="s">
        <v>3</v>
      </c>
      <c r="BK2" t="s">
        <v>4</v>
      </c>
      <c r="BL2" t="s">
        <v>191</v>
      </c>
      <c r="BM2" t="s">
        <v>5</v>
      </c>
      <c r="BN2" t="s">
        <v>192</v>
      </c>
      <c r="BO2" t="s">
        <v>193</v>
      </c>
      <c r="BP2" t="s">
        <v>194</v>
      </c>
      <c r="BQ2" t="s">
        <v>6</v>
      </c>
      <c r="BR2" t="s">
        <v>195</v>
      </c>
      <c r="BS2" t="s">
        <v>196</v>
      </c>
      <c r="BT2" t="s">
        <v>197</v>
      </c>
      <c r="BU2" t="s">
        <v>547</v>
      </c>
      <c r="BV2" t="s">
        <v>9</v>
      </c>
      <c r="BW2" t="s">
        <v>10</v>
      </c>
      <c r="BX2" t="s">
        <v>11</v>
      </c>
      <c r="BY2" t="s">
        <v>12</v>
      </c>
      <c r="BZ2" t="s">
        <v>13</v>
      </c>
      <c r="CA2" t="s">
        <v>575</v>
      </c>
      <c r="CB2" t="s">
        <v>582</v>
      </c>
      <c r="CC2" t="s">
        <v>581</v>
      </c>
      <c r="CD2" t="s">
        <v>15</v>
      </c>
      <c r="CE2" t="s">
        <v>16</v>
      </c>
      <c r="CF2" t="s">
        <v>17</v>
      </c>
      <c r="CG2" t="s">
        <v>573</v>
      </c>
      <c r="CH2" t="s">
        <v>18</v>
      </c>
      <c r="CI2" t="s">
        <v>577</v>
      </c>
      <c r="CJ2" t="s">
        <v>19</v>
      </c>
      <c r="CK2" t="s">
        <v>585</v>
      </c>
      <c r="CL2" t="s">
        <v>717</v>
      </c>
      <c r="CM2" t="s">
        <v>20</v>
      </c>
      <c r="CN2" t="s">
        <v>569</v>
      </c>
      <c r="CO2" t="s">
        <v>22</v>
      </c>
      <c r="CP2" t="s">
        <v>579</v>
      </c>
      <c r="CQ2" t="s">
        <v>23</v>
      </c>
      <c r="CR2" t="s">
        <v>571</v>
      </c>
      <c r="CS2" t="s">
        <v>198</v>
      </c>
      <c r="CT2" t="s">
        <v>199</v>
      </c>
      <c r="CU2" t="s">
        <v>200</v>
      </c>
      <c r="CV2" t="s">
        <v>201</v>
      </c>
      <c r="CW2" t="s">
        <v>0</v>
      </c>
      <c r="CX2" t="s">
        <v>1</v>
      </c>
      <c r="CY2" t="s">
        <v>2</v>
      </c>
      <c r="CZ2" t="s">
        <v>202</v>
      </c>
      <c r="DA2" t="s">
        <v>203</v>
      </c>
      <c r="DB2" t="s">
        <v>204</v>
      </c>
      <c r="DC2" t="s">
        <v>205</v>
      </c>
      <c r="DD2" t="s">
        <v>206</v>
      </c>
      <c r="DE2" t="s">
        <v>606</v>
      </c>
      <c r="DF2" t="s">
        <v>207</v>
      </c>
      <c r="DG2" t="s">
        <v>208</v>
      </c>
      <c r="DH2" t="s">
        <v>656</v>
      </c>
      <c r="DI2" t="s">
        <v>209</v>
      </c>
      <c r="DJ2" t="s">
        <v>657</v>
      </c>
      <c r="DK2" t="s">
        <v>210</v>
      </c>
      <c r="DL2" t="s">
        <v>590</v>
      </c>
      <c r="DM2" t="s">
        <v>658</v>
      </c>
      <c r="DN2" t="s">
        <v>211</v>
      </c>
      <c r="DO2" t="s">
        <v>591</v>
      </c>
      <c r="DP2" t="s">
        <v>659</v>
      </c>
      <c r="DQ2" t="s">
        <v>212</v>
      </c>
      <c r="DR2" t="s">
        <v>592</v>
      </c>
      <c r="DS2" t="s">
        <v>660</v>
      </c>
      <c r="DT2" t="s">
        <v>213</v>
      </c>
      <c r="DU2" t="s">
        <v>593</v>
      </c>
      <c r="DV2" t="s">
        <v>661</v>
      </c>
      <c r="DW2" t="s">
        <v>214</v>
      </c>
      <c r="DX2" t="s">
        <v>594</v>
      </c>
      <c r="DY2" t="s">
        <v>662</v>
      </c>
      <c r="DZ2" t="s">
        <v>215</v>
      </c>
      <c r="EA2" t="s">
        <v>595</v>
      </c>
      <c r="EB2" t="s">
        <v>663</v>
      </c>
      <c r="EC2" t="s">
        <v>216</v>
      </c>
      <c r="ED2" t="s">
        <v>596</v>
      </c>
      <c r="EE2" t="s">
        <v>664</v>
      </c>
      <c r="EF2" t="s">
        <v>217</v>
      </c>
      <c r="EG2" t="s">
        <v>597</v>
      </c>
      <c r="EH2" t="s">
        <v>665</v>
      </c>
      <c r="EI2" t="s">
        <v>218</v>
      </c>
      <c r="EJ2" t="s">
        <v>219</v>
      </c>
      <c r="EK2" t="s">
        <v>220</v>
      </c>
      <c r="EL2" t="s">
        <v>221</v>
      </c>
      <c r="EM2" t="s">
        <v>222</v>
      </c>
      <c r="EN2" t="s">
        <v>223</v>
      </c>
      <c r="EO2" t="s">
        <v>224</v>
      </c>
      <c r="EP2" t="s">
        <v>225</v>
      </c>
      <c r="EQ2" t="s">
        <v>226</v>
      </c>
      <c r="ER2" t="s">
        <v>227</v>
      </c>
      <c r="ES2" t="s">
        <v>228</v>
      </c>
      <c r="ET2" t="s">
        <v>229</v>
      </c>
      <c r="EU2" t="s">
        <v>230</v>
      </c>
      <c r="EV2" t="s">
        <v>626</v>
      </c>
      <c r="EW2" t="s">
        <v>628</v>
      </c>
      <c r="EX2" t="s">
        <v>646</v>
      </c>
      <c r="EY2" t="s">
        <v>627</v>
      </c>
      <c r="EZ2" t="s">
        <v>629</v>
      </c>
      <c r="FA2" t="s">
        <v>647</v>
      </c>
      <c r="FB2" s="1" t="s">
        <v>25</v>
      </c>
      <c r="FC2" t="s">
        <v>26</v>
      </c>
      <c r="FD2" t="s">
        <v>24</v>
      </c>
      <c r="FE2" t="s">
        <v>27</v>
      </c>
      <c r="FF2" t="s">
        <v>403</v>
      </c>
      <c r="FG2" t="s">
        <v>28</v>
      </c>
      <c r="FH2" t="s">
        <v>29</v>
      </c>
      <c r="FI2" t="s">
        <v>188</v>
      </c>
      <c r="FJ2" t="s">
        <v>410</v>
      </c>
      <c r="FK2" t="s">
        <v>30</v>
      </c>
      <c r="FL2" t="s">
        <v>31</v>
      </c>
      <c r="FM2" t="s">
        <v>412</v>
      </c>
      <c r="FN2" t="s">
        <v>32</v>
      </c>
      <c r="FO2" t="s">
        <v>33</v>
      </c>
      <c r="FP2" t="s">
        <v>34</v>
      </c>
      <c r="FQ2" t="s">
        <v>35</v>
      </c>
      <c r="FR2" t="s">
        <v>36</v>
      </c>
      <c r="FS2" t="s">
        <v>37</v>
      </c>
      <c r="FT2" t="s">
        <v>38</v>
      </c>
      <c r="FU2" t="s">
        <v>39</v>
      </c>
      <c r="FV2" t="s">
        <v>40</v>
      </c>
      <c r="FW2" t="s">
        <v>41</v>
      </c>
      <c r="FX2" t="s">
        <v>42</v>
      </c>
      <c r="FY2" t="s">
        <v>43</v>
      </c>
      <c r="FZ2" t="s">
        <v>44</v>
      </c>
      <c r="GA2" t="s">
        <v>346</v>
      </c>
      <c r="GB2" t="s">
        <v>45</v>
      </c>
      <c r="GC2" t="s">
        <v>46</v>
      </c>
      <c r="GD2" t="s">
        <v>47</v>
      </c>
      <c r="GE2" t="s">
        <v>48</v>
      </c>
      <c r="GF2" t="s">
        <v>49</v>
      </c>
      <c r="GG2" t="s">
        <v>50</v>
      </c>
      <c r="GH2" t="s">
        <v>51</v>
      </c>
      <c r="GI2" t="s">
        <v>52</v>
      </c>
      <c r="GJ2" t="s">
        <v>53</v>
      </c>
      <c r="GK2" t="s">
        <v>54</v>
      </c>
      <c r="GL2" t="s">
        <v>55</v>
      </c>
      <c r="GM2" t="s">
        <v>56</v>
      </c>
      <c r="GN2" t="s">
        <v>57</v>
      </c>
      <c r="GO2" t="s">
        <v>58</v>
      </c>
      <c r="GP2" t="s">
        <v>59</v>
      </c>
      <c r="GQ2" t="s">
        <v>60</v>
      </c>
      <c r="GR2" t="s">
        <v>61</v>
      </c>
      <c r="GS2" t="s">
        <v>62</v>
      </c>
      <c r="GT2" t="s">
        <v>63</v>
      </c>
      <c r="GU2" t="s">
        <v>64</v>
      </c>
      <c r="GV2" t="s">
        <v>65</v>
      </c>
      <c r="GW2" t="s">
        <v>66</v>
      </c>
      <c r="GX2" t="s">
        <v>67</v>
      </c>
      <c r="GY2" t="s">
        <v>68</v>
      </c>
      <c r="GZ2" t="s">
        <v>69</v>
      </c>
      <c r="HA2" t="s">
        <v>70</v>
      </c>
      <c r="HB2" t="s">
        <v>71</v>
      </c>
      <c r="HC2" t="s">
        <v>72</v>
      </c>
      <c r="HD2" t="s">
        <v>73</v>
      </c>
      <c r="HE2" t="s">
        <v>14</v>
      </c>
      <c r="HF2" t="s">
        <v>74</v>
      </c>
      <c r="HG2" t="s">
        <v>75</v>
      </c>
      <c r="HH2" t="s">
        <v>76</v>
      </c>
      <c r="HI2" t="s">
        <v>77</v>
      </c>
      <c r="HJ2" t="s">
        <v>78</v>
      </c>
      <c r="HK2" t="s">
        <v>79</v>
      </c>
      <c r="HL2" t="s">
        <v>80</v>
      </c>
      <c r="HM2" t="s">
        <v>21</v>
      </c>
      <c r="HN2" t="s">
        <v>421</v>
      </c>
    </row>
    <row r="3" spans="1:222" x14ac:dyDescent="0.3">
      <c r="A3">
        <v>1</v>
      </c>
      <c r="B3" t="s">
        <v>424</v>
      </c>
      <c r="C3" t="s">
        <v>425</v>
      </c>
      <c r="D3" t="s">
        <v>508</v>
      </c>
      <c r="E3" t="s">
        <v>426</v>
      </c>
      <c r="G3" t="s">
        <v>464</v>
      </c>
      <c r="H3" t="s">
        <v>427</v>
      </c>
      <c r="I3" t="s">
        <v>428</v>
      </c>
      <c r="J3">
        <v>298</v>
      </c>
      <c r="L3" t="s">
        <v>429</v>
      </c>
      <c r="M3" t="s">
        <v>430</v>
      </c>
      <c r="N3" t="s">
        <v>431</v>
      </c>
      <c r="O3">
        <v>74000</v>
      </c>
      <c r="P3">
        <v>2484877287</v>
      </c>
      <c r="Q3" s="3" t="s">
        <v>432</v>
      </c>
      <c r="R3">
        <v>9</v>
      </c>
      <c r="S3" t="s">
        <v>433</v>
      </c>
      <c r="V3">
        <v>384.25</v>
      </c>
      <c r="W3">
        <v>1228</v>
      </c>
      <c r="X3">
        <v>1</v>
      </c>
      <c r="Y3">
        <v>3</v>
      </c>
      <c r="Z3">
        <v>1</v>
      </c>
      <c r="AA3">
        <v>1</v>
      </c>
      <c r="AB3">
        <v>3</v>
      </c>
      <c r="AD3" t="s">
        <v>434</v>
      </c>
      <c r="AE3" t="s">
        <v>435</v>
      </c>
      <c r="AF3" t="s">
        <v>436</v>
      </c>
      <c r="AG3">
        <v>21</v>
      </c>
      <c r="AH3">
        <v>0</v>
      </c>
      <c r="AI3">
        <v>8</v>
      </c>
      <c r="AJ3">
        <v>13</v>
      </c>
      <c r="AK3">
        <v>0</v>
      </c>
      <c r="AL3">
        <v>0</v>
      </c>
      <c r="AM3">
        <v>3</v>
      </c>
      <c r="AN3">
        <v>300</v>
      </c>
      <c r="AO3">
        <v>6</v>
      </c>
      <c r="AP3" t="s">
        <v>437</v>
      </c>
      <c r="AQ3" t="s">
        <v>438</v>
      </c>
      <c r="AR3" s="4">
        <f t="shared" ref="AR3:AR33" si="0">+AS3+AU3+BE3+BL3+BM3+BN3+BO3+BP3+BQ3+CD3</f>
        <v>27</v>
      </c>
      <c r="AS3">
        <v>1</v>
      </c>
      <c r="AT3" t="s">
        <v>439</v>
      </c>
      <c r="AU3">
        <v>8</v>
      </c>
      <c r="AV3" t="s">
        <v>440</v>
      </c>
      <c r="BC3">
        <v>2</v>
      </c>
      <c r="BD3" t="s">
        <v>441</v>
      </c>
      <c r="BE3">
        <v>3</v>
      </c>
      <c r="BF3" t="s">
        <v>472</v>
      </c>
      <c r="BI3" t="s">
        <v>473</v>
      </c>
      <c r="BJ3">
        <v>5</v>
      </c>
      <c r="BK3" t="s">
        <v>442</v>
      </c>
      <c r="BL3">
        <v>7</v>
      </c>
      <c r="BM3">
        <v>3</v>
      </c>
      <c r="BN3">
        <v>2</v>
      </c>
      <c r="BP3">
        <v>1</v>
      </c>
      <c r="BQ3">
        <v>2</v>
      </c>
      <c r="BR3">
        <v>1</v>
      </c>
      <c r="BS3" s="4">
        <f>+BT3+BV3+BW3+BX3+BY3</f>
        <v>0</v>
      </c>
      <c r="CM3">
        <v>3</v>
      </c>
      <c r="CN3" t="s">
        <v>442</v>
      </c>
      <c r="CW3">
        <v>15</v>
      </c>
      <c r="CX3" t="s">
        <v>443</v>
      </c>
      <c r="CY3">
        <v>2024</v>
      </c>
      <c r="CZ3" t="s">
        <v>444</v>
      </c>
      <c r="DA3" t="s">
        <v>445</v>
      </c>
      <c r="DB3" t="s">
        <v>446</v>
      </c>
      <c r="DC3" t="s">
        <v>447</v>
      </c>
      <c r="DD3" t="s">
        <v>448</v>
      </c>
      <c r="DF3" t="s">
        <v>449</v>
      </c>
      <c r="DG3" t="s">
        <v>450</v>
      </c>
      <c r="DI3" t="s">
        <v>451</v>
      </c>
      <c r="DK3" t="s">
        <v>452</v>
      </c>
      <c r="DN3" t="s">
        <v>453</v>
      </c>
      <c r="DQ3" t="s">
        <v>454</v>
      </c>
      <c r="DT3" t="s">
        <v>455</v>
      </c>
      <c r="DW3" t="s">
        <v>456</v>
      </c>
      <c r="DZ3" t="s">
        <v>457</v>
      </c>
      <c r="EC3" t="s">
        <v>458</v>
      </c>
      <c r="EF3" t="s">
        <v>459</v>
      </c>
      <c r="EJ3">
        <v>0</v>
      </c>
      <c r="EK3" s="4">
        <f t="shared" ref="EK3" si="1">+EJ3/3000</f>
        <v>0</v>
      </c>
      <c r="EL3" t="s">
        <v>460</v>
      </c>
      <c r="EM3">
        <v>30</v>
      </c>
      <c r="EN3" s="4">
        <f t="shared" ref="EN3" si="2">+EM3/1400</f>
        <v>2.1428571428571429E-2</v>
      </c>
      <c r="EO3" t="s">
        <v>461</v>
      </c>
      <c r="EP3">
        <v>20</v>
      </c>
      <c r="EQ3" s="4">
        <f t="shared" ref="EQ3" si="3">+EP3/2000</f>
        <v>0.01</v>
      </c>
      <c r="ER3" t="s">
        <v>462</v>
      </c>
      <c r="ES3">
        <v>7000</v>
      </c>
      <c r="ET3" s="4">
        <f t="shared" ref="ET3" si="4">+ES3/15000</f>
        <v>0.46666666666666667</v>
      </c>
      <c r="EU3" s="4" t="str">
        <f t="shared" ref="EU3" si="5">+IF((EK3+EN3+EQ3+ET3)&gt;=1,"ALTO","ORDINARIO")</f>
        <v>ORDINARIO</v>
      </c>
    </row>
    <row r="4" spans="1:222" x14ac:dyDescent="0.3">
      <c r="A4">
        <v>2</v>
      </c>
      <c r="B4" t="s">
        <v>424</v>
      </c>
      <c r="C4" t="s">
        <v>425</v>
      </c>
      <c r="D4" t="s">
        <v>509</v>
      </c>
      <c r="E4" t="s">
        <v>426</v>
      </c>
      <c r="G4" t="s">
        <v>463</v>
      </c>
      <c r="H4" t="s">
        <v>427</v>
      </c>
      <c r="I4" t="s">
        <v>465</v>
      </c>
      <c r="J4" t="s">
        <v>466</v>
      </c>
      <c r="L4" t="s">
        <v>467</v>
      </c>
      <c r="M4" t="s">
        <v>430</v>
      </c>
      <c r="N4" t="s">
        <v>431</v>
      </c>
      <c r="O4">
        <v>74080</v>
      </c>
      <c r="P4">
        <v>2482407287</v>
      </c>
      <c r="Q4" s="3" t="s">
        <v>468</v>
      </c>
      <c r="R4">
        <v>12</v>
      </c>
      <c r="S4" t="s">
        <v>469</v>
      </c>
      <c r="V4">
        <v>358</v>
      </c>
      <c r="W4">
        <v>358</v>
      </c>
      <c r="X4">
        <v>1</v>
      </c>
      <c r="Y4">
        <v>1</v>
      </c>
      <c r="Z4">
        <v>1</v>
      </c>
      <c r="AA4">
        <v>1</v>
      </c>
      <c r="AB4">
        <v>0</v>
      </c>
      <c r="AC4">
        <v>0</v>
      </c>
      <c r="AD4" t="s">
        <v>470</v>
      </c>
      <c r="AE4" t="s">
        <v>435</v>
      </c>
      <c r="AF4" t="s">
        <v>471</v>
      </c>
      <c r="AG4">
        <v>14</v>
      </c>
      <c r="AH4">
        <v>0</v>
      </c>
      <c r="AI4">
        <v>4</v>
      </c>
      <c r="AJ4">
        <v>10</v>
      </c>
      <c r="AK4">
        <v>0</v>
      </c>
      <c r="AL4">
        <v>0</v>
      </c>
      <c r="AM4">
        <v>3</v>
      </c>
      <c r="AN4">
        <v>300</v>
      </c>
      <c r="AO4">
        <v>5</v>
      </c>
      <c r="AP4" t="s">
        <v>437</v>
      </c>
      <c r="AQ4" t="s">
        <v>438</v>
      </c>
      <c r="AR4" s="4">
        <f t="shared" si="0"/>
        <v>23</v>
      </c>
      <c r="AS4">
        <v>1</v>
      </c>
      <c r="AT4" t="s">
        <v>439</v>
      </c>
      <c r="AU4">
        <v>5</v>
      </c>
      <c r="AV4" t="s">
        <v>440</v>
      </c>
      <c r="BC4">
        <v>2</v>
      </c>
      <c r="BD4" t="s">
        <v>439</v>
      </c>
      <c r="BE4">
        <v>3</v>
      </c>
      <c r="BF4" t="s">
        <v>472</v>
      </c>
      <c r="BI4" t="s">
        <v>473</v>
      </c>
      <c r="BJ4">
        <v>4</v>
      </c>
      <c r="BK4" t="s">
        <v>442</v>
      </c>
      <c r="BL4">
        <v>9</v>
      </c>
      <c r="BN4">
        <v>2</v>
      </c>
      <c r="BP4">
        <v>1</v>
      </c>
      <c r="BQ4">
        <v>2</v>
      </c>
      <c r="BR4">
        <v>1</v>
      </c>
      <c r="BS4" s="4">
        <f t="shared" ref="BS4:BS64" si="6">+BT4+BV4+BW4+BX4+BY4</f>
        <v>0</v>
      </c>
      <c r="CM4">
        <v>6</v>
      </c>
      <c r="CN4" t="s">
        <v>442</v>
      </c>
      <c r="CW4">
        <v>15</v>
      </c>
      <c r="CX4" t="s">
        <v>443</v>
      </c>
      <c r="CY4">
        <v>2024</v>
      </c>
      <c r="CZ4" t="s">
        <v>474</v>
      </c>
      <c r="DA4" t="s">
        <v>475</v>
      </c>
      <c r="DB4" t="s">
        <v>476</v>
      </c>
      <c r="DC4" t="s">
        <v>477</v>
      </c>
      <c r="DD4" t="s">
        <v>478</v>
      </c>
      <c r="DF4" t="s">
        <v>449</v>
      </c>
      <c r="DG4" t="s">
        <v>450</v>
      </c>
      <c r="DI4" t="s">
        <v>479</v>
      </c>
      <c r="DK4" t="s">
        <v>480</v>
      </c>
      <c r="DN4" t="s">
        <v>481</v>
      </c>
      <c r="DQ4" t="s">
        <v>482</v>
      </c>
      <c r="DT4" t="s">
        <v>483</v>
      </c>
      <c r="DW4" t="s">
        <v>484</v>
      </c>
      <c r="DZ4" t="s">
        <v>485</v>
      </c>
      <c r="EC4" t="s">
        <v>486</v>
      </c>
      <c r="EF4" t="s">
        <v>487</v>
      </c>
      <c r="EJ4">
        <v>0</v>
      </c>
      <c r="EK4" s="4">
        <f t="shared" ref="EK4:EK64" si="7">+EJ4/3000</f>
        <v>0</v>
      </c>
      <c r="EM4">
        <v>0</v>
      </c>
      <c r="EN4" s="4">
        <f t="shared" ref="EN4:EN64" si="8">+EM4/1400</f>
        <v>0</v>
      </c>
      <c r="EP4">
        <v>0</v>
      </c>
      <c r="EQ4" s="4">
        <f t="shared" ref="EQ4:EQ64" si="9">+EP4/2000</f>
        <v>0</v>
      </c>
      <c r="ER4" t="s">
        <v>462</v>
      </c>
      <c r="ES4">
        <v>900</v>
      </c>
      <c r="ET4" s="4">
        <f t="shared" ref="ET4:ET64" si="10">+ES4/15000</f>
        <v>0.06</v>
      </c>
      <c r="EU4" s="4" t="str">
        <f t="shared" ref="EU4:EU64" si="11">+IF((EK4+EN4+EQ4+ET4)&gt;=1,"ALTO","ORDINARIO")</f>
        <v>ORDINARIO</v>
      </c>
    </row>
    <row r="5" spans="1:222" x14ac:dyDescent="0.3">
      <c r="A5">
        <v>3</v>
      </c>
      <c r="B5" t="s">
        <v>424</v>
      </c>
      <c r="C5" t="s">
        <v>425</v>
      </c>
      <c r="D5" t="s">
        <v>510</v>
      </c>
      <c r="E5" t="s">
        <v>426</v>
      </c>
      <c r="G5" t="s">
        <v>464</v>
      </c>
      <c r="H5" t="s">
        <v>427</v>
      </c>
      <c r="I5" t="s">
        <v>488</v>
      </c>
      <c r="J5">
        <v>207</v>
      </c>
      <c r="L5" t="s">
        <v>429</v>
      </c>
      <c r="M5" t="s">
        <v>430</v>
      </c>
      <c r="N5" t="s">
        <v>431</v>
      </c>
      <c r="O5">
        <v>74000</v>
      </c>
      <c r="P5">
        <v>2481122080</v>
      </c>
      <c r="Q5" s="3" t="s">
        <v>489</v>
      </c>
      <c r="R5">
        <v>8</v>
      </c>
      <c r="S5" t="s">
        <v>490</v>
      </c>
      <c r="V5">
        <v>1069</v>
      </c>
      <c r="W5">
        <v>1389</v>
      </c>
      <c r="X5">
        <v>1</v>
      </c>
      <c r="Y5">
        <v>1</v>
      </c>
      <c r="Z5">
        <v>1</v>
      </c>
      <c r="AA5">
        <v>1</v>
      </c>
      <c r="AB5">
        <v>1</v>
      </c>
      <c r="AD5" t="s">
        <v>470</v>
      </c>
      <c r="AE5" t="s">
        <v>435</v>
      </c>
      <c r="AF5" t="s">
        <v>491</v>
      </c>
      <c r="AG5">
        <v>17</v>
      </c>
      <c r="AH5">
        <v>0</v>
      </c>
      <c r="AI5">
        <v>5</v>
      </c>
      <c r="AJ5">
        <v>12</v>
      </c>
      <c r="AK5">
        <v>0</v>
      </c>
      <c r="AL5">
        <v>0</v>
      </c>
      <c r="AM5">
        <v>3</v>
      </c>
      <c r="AN5">
        <v>300</v>
      </c>
      <c r="AO5">
        <v>4</v>
      </c>
      <c r="AP5" t="s">
        <v>437</v>
      </c>
      <c r="AQ5" t="s">
        <v>438</v>
      </c>
      <c r="AR5" s="4">
        <f t="shared" si="0"/>
        <v>19</v>
      </c>
      <c r="AS5">
        <v>1</v>
      </c>
      <c r="AT5" t="s">
        <v>439</v>
      </c>
      <c r="AU5">
        <v>6</v>
      </c>
      <c r="AV5" t="s">
        <v>440</v>
      </c>
      <c r="BC5">
        <v>2</v>
      </c>
      <c r="BD5" t="s">
        <v>441</v>
      </c>
      <c r="BE5">
        <v>3</v>
      </c>
      <c r="BF5" t="s">
        <v>472</v>
      </c>
      <c r="BI5" t="s">
        <v>473</v>
      </c>
      <c r="BJ5">
        <v>4</v>
      </c>
      <c r="BK5" t="s">
        <v>442</v>
      </c>
      <c r="BL5">
        <v>4</v>
      </c>
      <c r="BM5">
        <v>1</v>
      </c>
      <c r="BN5">
        <v>1</v>
      </c>
      <c r="BP5">
        <v>1</v>
      </c>
      <c r="BQ5">
        <v>2</v>
      </c>
      <c r="BR5">
        <v>1</v>
      </c>
      <c r="BS5" s="4">
        <f t="shared" si="6"/>
        <v>0</v>
      </c>
      <c r="CM5">
        <v>4</v>
      </c>
      <c r="CN5" t="s">
        <v>442</v>
      </c>
      <c r="CW5">
        <v>16</v>
      </c>
      <c r="CX5" t="s">
        <v>443</v>
      </c>
      <c r="CY5">
        <v>2024</v>
      </c>
      <c r="CZ5" t="s">
        <v>492</v>
      </c>
      <c r="DA5" t="s">
        <v>493</v>
      </c>
      <c r="DB5" t="s">
        <v>488</v>
      </c>
      <c r="DC5" t="s">
        <v>494</v>
      </c>
      <c r="DD5" t="s">
        <v>495</v>
      </c>
      <c r="DF5" t="s">
        <v>449</v>
      </c>
      <c r="DG5" t="s">
        <v>450</v>
      </c>
      <c r="DI5" t="s">
        <v>496</v>
      </c>
      <c r="DK5" t="s">
        <v>497</v>
      </c>
      <c r="DN5" t="s">
        <v>498</v>
      </c>
      <c r="DQ5" t="s">
        <v>499</v>
      </c>
      <c r="DT5" t="s">
        <v>500</v>
      </c>
      <c r="DW5" t="s">
        <v>501</v>
      </c>
      <c r="DZ5" t="s">
        <v>502</v>
      </c>
      <c r="EC5" t="s">
        <v>503</v>
      </c>
      <c r="EF5" t="s">
        <v>504</v>
      </c>
      <c r="EJ5">
        <v>0</v>
      </c>
      <c r="EK5" s="4">
        <f t="shared" si="7"/>
        <v>0</v>
      </c>
      <c r="EL5" t="s">
        <v>460</v>
      </c>
      <c r="EM5">
        <v>30</v>
      </c>
      <c r="EN5" s="4">
        <f t="shared" si="8"/>
        <v>2.1428571428571429E-2</v>
      </c>
      <c r="EO5" t="s">
        <v>461</v>
      </c>
      <c r="EP5">
        <v>50</v>
      </c>
      <c r="EQ5" s="4">
        <f t="shared" si="9"/>
        <v>2.5000000000000001E-2</v>
      </c>
      <c r="ER5" t="s">
        <v>462</v>
      </c>
      <c r="ES5">
        <v>5000</v>
      </c>
      <c r="ET5" s="4">
        <f t="shared" si="10"/>
        <v>0.33333333333333331</v>
      </c>
      <c r="EU5" s="4" t="str">
        <f t="shared" si="11"/>
        <v>ORDINARIO</v>
      </c>
    </row>
    <row r="6" spans="1:222" x14ac:dyDescent="0.3">
      <c r="A6">
        <v>4</v>
      </c>
      <c r="B6" t="s">
        <v>424</v>
      </c>
      <c r="C6" t="s">
        <v>425</v>
      </c>
      <c r="D6" t="s">
        <v>589</v>
      </c>
      <c r="E6" t="s">
        <v>426</v>
      </c>
      <c r="G6" t="s">
        <v>505</v>
      </c>
      <c r="H6" t="s">
        <v>427</v>
      </c>
      <c r="I6" t="s">
        <v>506</v>
      </c>
      <c r="J6">
        <v>28</v>
      </c>
      <c r="L6" t="s">
        <v>507</v>
      </c>
      <c r="M6" t="s">
        <v>430</v>
      </c>
      <c r="N6" t="s">
        <v>431</v>
      </c>
      <c r="O6">
        <v>74122</v>
      </c>
      <c r="P6">
        <v>2481121470</v>
      </c>
      <c r="Q6" s="3" t="s">
        <v>511</v>
      </c>
      <c r="R6">
        <v>5</v>
      </c>
      <c r="S6" t="s">
        <v>512</v>
      </c>
      <c r="V6">
        <v>998.63</v>
      </c>
      <c r="W6">
        <v>998.63</v>
      </c>
      <c r="X6">
        <v>1</v>
      </c>
      <c r="Y6">
        <v>1</v>
      </c>
      <c r="Z6">
        <v>1</v>
      </c>
      <c r="AA6">
        <v>1</v>
      </c>
      <c r="AB6">
        <v>0</v>
      </c>
      <c r="AC6">
        <v>0</v>
      </c>
      <c r="AD6" t="s">
        <v>513</v>
      </c>
      <c r="AE6" t="s">
        <v>435</v>
      </c>
      <c r="AF6" t="s">
        <v>514</v>
      </c>
      <c r="AG6">
        <v>15</v>
      </c>
      <c r="AH6">
        <v>0</v>
      </c>
      <c r="AI6">
        <v>5</v>
      </c>
      <c r="AJ6">
        <v>10</v>
      </c>
      <c r="AK6">
        <v>0</v>
      </c>
      <c r="AL6">
        <v>0</v>
      </c>
      <c r="AM6">
        <v>3</v>
      </c>
      <c r="AN6">
        <v>300</v>
      </c>
      <c r="AO6">
        <v>4</v>
      </c>
      <c r="AP6" t="s">
        <v>437</v>
      </c>
      <c r="AQ6" t="s">
        <v>438</v>
      </c>
      <c r="AR6" s="4">
        <f t="shared" si="0"/>
        <v>20</v>
      </c>
      <c r="AS6">
        <v>1</v>
      </c>
      <c r="AT6" t="s">
        <v>439</v>
      </c>
      <c r="AU6">
        <v>6</v>
      </c>
      <c r="AV6" t="s">
        <v>440</v>
      </c>
      <c r="BC6">
        <v>2</v>
      </c>
      <c r="BD6" t="s">
        <v>439</v>
      </c>
      <c r="BE6">
        <v>3</v>
      </c>
      <c r="BF6" t="s">
        <v>472</v>
      </c>
      <c r="BI6" t="s">
        <v>473</v>
      </c>
      <c r="BJ6">
        <v>6</v>
      </c>
      <c r="BK6" t="s">
        <v>442</v>
      </c>
      <c r="BL6">
        <v>6</v>
      </c>
      <c r="BN6">
        <v>1</v>
      </c>
      <c r="BP6">
        <v>1</v>
      </c>
      <c r="BQ6">
        <v>2</v>
      </c>
      <c r="BR6">
        <v>1</v>
      </c>
      <c r="BS6" s="4">
        <f t="shared" si="6"/>
        <v>0</v>
      </c>
      <c r="CM6">
        <v>4</v>
      </c>
      <c r="CN6" t="s">
        <v>442</v>
      </c>
      <c r="CW6">
        <v>16</v>
      </c>
      <c r="CX6" t="s">
        <v>443</v>
      </c>
      <c r="CY6">
        <v>2024</v>
      </c>
      <c r="CZ6" t="s">
        <v>515</v>
      </c>
      <c r="DA6" t="s">
        <v>516</v>
      </c>
      <c r="DB6" t="s">
        <v>517</v>
      </c>
      <c r="DC6" t="s">
        <v>518</v>
      </c>
      <c r="DD6" t="s">
        <v>519</v>
      </c>
      <c r="DF6" t="s">
        <v>449</v>
      </c>
      <c r="DG6" t="s">
        <v>450</v>
      </c>
      <c r="DI6" t="s">
        <v>520</v>
      </c>
      <c r="DK6" t="s">
        <v>521</v>
      </c>
      <c r="DN6" t="s">
        <v>522</v>
      </c>
      <c r="DQ6" t="s">
        <v>523</v>
      </c>
      <c r="DT6" t="s">
        <v>524</v>
      </c>
      <c r="DW6" t="s">
        <v>525</v>
      </c>
      <c r="DZ6" t="s">
        <v>526</v>
      </c>
      <c r="EC6" t="s">
        <v>527</v>
      </c>
      <c r="EF6" t="s">
        <v>528</v>
      </c>
      <c r="EJ6">
        <v>0</v>
      </c>
      <c r="EK6" s="4">
        <f t="shared" si="7"/>
        <v>0</v>
      </c>
      <c r="EM6">
        <v>0</v>
      </c>
      <c r="EN6" s="4">
        <f t="shared" si="8"/>
        <v>0</v>
      </c>
      <c r="EP6">
        <v>0</v>
      </c>
      <c r="EQ6" s="4">
        <f t="shared" si="9"/>
        <v>0</v>
      </c>
      <c r="ER6" t="s">
        <v>462</v>
      </c>
      <c r="ES6">
        <v>900</v>
      </c>
      <c r="ET6" s="4">
        <f t="shared" si="10"/>
        <v>0.06</v>
      </c>
      <c r="EU6" s="4" t="str">
        <f t="shared" si="11"/>
        <v>ORDINARIO</v>
      </c>
    </row>
    <row r="7" spans="1:222" x14ac:dyDescent="0.3">
      <c r="A7">
        <v>5</v>
      </c>
      <c r="B7" t="s">
        <v>559</v>
      </c>
      <c r="C7" t="s">
        <v>529</v>
      </c>
      <c r="D7" t="s">
        <v>530</v>
      </c>
      <c r="E7" t="s">
        <v>531</v>
      </c>
      <c r="G7" t="s">
        <v>532</v>
      </c>
      <c r="H7" t="s">
        <v>533</v>
      </c>
      <c r="I7" t="s">
        <v>534</v>
      </c>
      <c r="J7">
        <v>508</v>
      </c>
      <c r="L7" t="s">
        <v>535</v>
      </c>
      <c r="M7" t="s">
        <v>536</v>
      </c>
      <c r="N7" t="s">
        <v>431</v>
      </c>
      <c r="O7">
        <v>75200</v>
      </c>
      <c r="P7">
        <v>3316001931</v>
      </c>
      <c r="Q7" s="3" t="s">
        <v>537</v>
      </c>
      <c r="R7">
        <v>12</v>
      </c>
      <c r="S7" t="s">
        <v>538</v>
      </c>
      <c r="V7">
        <v>3250</v>
      </c>
      <c r="W7">
        <v>254</v>
      </c>
      <c r="X7">
        <v>3</v>
      </c>
      <c r="Y7">
        <v>1</v>
      </c>
      <c r="Z7">
        <v>2</v>
      </c>
      <c r="AA7">
        <v>2</v>
      </c>
      <c r="AB7">
        <v>0</v>
      </c>
      <c r="AC7">
        <v>0</v>
      </c>
      <c r="AD7" t="s">
        <v>539</v>
      </c>
      <c r="AE7" t="s">
        <v>540</v>
      </c>
      <c r="AF7" t="s">
        <v>540</v>
      </c>
      <c r="AG7">
        <v>12</v>
      </c>
      <c r="AH7">
        <v>0</v>
      </c>
      <c r="AI7">
        <v>2</v>
      </c>
      <c r="AJ7">
        <v>10</v>
      </c>
      <c r="AK7">
        <v>0</v>
      </c>
      <c r="AL7">
        <v>0</v>
      </c>
      <c r="AM7">
        <v>2</v>
      </c>
      <c r="AN7">
        <v>100</v>
      </c>
      <c r="AO7">
        <v>2</v>
      </c>
      <c r="AP7" t="s">
        <v>541</v>
      </c>
      <c r="AQ7" t="s">
        <v>542</v>
      </c>
      <c r="AR7" s="4">
        <f t="shared" si="0"/>
        <v>55</v>
      </c>
      <c r="AS7">
        <v>1</v>
      </c>
      <c r="AT7" t="s">
        <v>543</v>
      </c>
      <c r="AU7">
        <v>12</v>
      </c>
      <c r="AV7" t="s">
        <v>544</v>
      </c>
      <c r="BE7">
        <v>2</v>
      </c>
      <c r="BF7" t="s">
        <v>472</v>
      </c>
      <c r="BI7" t="s">
        <v>545</v>
      </c>
      <c r="BJ7">
        <v>4</v>
      </c>
      <c r="BK7" t="s">
        <v>546</v>
      </c>
      <c r="BL7">
        <v>16</v>
      </c>
      <c r="BN7">
        <v>11</v>
      </c>
      <c r="BP7">
        <v>2</v>
      </c>
      <c r="BQ7">
        <v>11</v>
      </c>
      <c r="BR7">
        <v>2</v>
      </c>
      <c r="BS7" s="4">
        <f t="shared" si="6"/>
        <v>3</v>
      </c>
      <c r="BT7">
        <v>3</v>
      </c>
      <c r="BU7">
        <v>1</v>
      </c>
      <c r="CJ7">
        <v>6</v>
      </c>
      <c r="CW7">
        <v>15</v>
      </c>
      <c r="CX7" t="s">
        <v>549</v>
      </c>
      <c r="CY7">
        <v>2024</v>
      </c>
      <c r="CZ7" t="s">
        <v>560</v>
      </c>
      <c r="DA7" t="s">
        <v>561</v>
      </c>
      <c r="DB7" t="s">
        <v>562</v>
      </c>
      <c r="DC7" t="s">
        <v>563</v>
      </c>
      <c r="DD7" t="s">
        <v>564</v>
      </c>
      <c r="DF7" t="s">
        <v>449</v>
      </c>
      <c r="DG7" t="s">
        <v>450</v>
      </c>
      <c r="DI7" t="s">
        <v>550</v>
      </c>
      <c r="DK7" t="s">
        <v>551</v>
      </c>
      <c r="DN7" t="s">
        <v>552</v>
      </c>
      <c r="DQ7" t="s">
        <v>553</v>
      </c>
      <c r="DT7" t="s">
        <v>554</v>
      </c>
      <c r="DW7" t="s">
        <v>555</v>
      </c>
      <c r="DZ7" t="s">
        <v>556</v>
      </c>
      <c r="EC7" t="s">
        <v>557</v>
      </c>
      <c r="EF7" t="s">
        <v>558</v>
      </c>
      <c r="EJ7">
        <v>0</v>
      </c>
      <c r="EK7" s="4">
        <f t="shared" si="7"/>
        <v>0</v>
      </c>
      <c r="EM7">
        <v>0</v>
      </c>
      <c r="EN7" s="4">
        <f t="shared" si="8"/>
        <v>0</v>
      </c>
      <c r="EP7">
        <v>0</v>
      </c>
      <c r="EQ7" s="4">
        <f t="shared" si="9"/>
        <v>0</v>
      </c>
      <c r="ER7" t="s">
        <v>462</v>
      </c>
      <c r="ES7">
        <v>2500</v>
      </c>
      <c r="ET7" s="4">
        <f t="shared" si="10"/>
        <v>0.16666666666666666</v>
      </c>
      <c r="EU7" s="4" t="str">
        <f t="shared" si="11"/>
        <v>ORDINARIO</v>
      </c>
    </row>
    <row r="8" spans="1:222" x14ac:dyDescent="0.3">
      <c r="A8">
        <v>6</v>
      </c>
      <c r="B8" t="s">
        <v>586</v>
      </c>
      <c r="AR8" s="4">
        <f t="shared" si="0"/>
        <v>0</v>
      </c>
      <c r="BS8" s="4">
        <f t="shared" si="6"/>
        <v>0</v>
      </c>
      <c r="EK8" s="4">
        <f t="shared" si="7"/>
        <v>0</v>
      </c>
      <c r="EN8" s="4">
        <f t="shared" si="8"/>
        <v>0</v>
      </c>
      <c r="EQ8" s="4">
        <f t="shared" si="9"/>
        <v>0</v>
      </c>
      <c r="ET8" s="4">
        <f t="shared" si="10"/>
        <v>0</v>
      </c>
      <c r="EU8" s="4" t="str">
        <f t="shared" si="11"/>
        <v>ORDINARIO</v>
      </c>
    </row>
    <row r="9" spans="1:222" x14ac:dyDescent="0.3">
      <c r="A9">
        <v>7</v>
      </c>
      <c r="B9" t="s">
        <v>587</v>
      </c>
      <c r="AR9" s="4">
        <f t="shared" si="0"/>
        <v>0</v>
      </c>
      <c r="BS9" s="4">
        <f t="shared" si="6"/>
        <v>0</v>
      </c>
      <c r="EK9" s="4">
        <f t="shared" si="7"/>
        <v>0</v>
      </c>
      <c r="EN9" s="4">
        <f t="shared" si="8"/>
        <v>0</v>
      </c>
      <c r="EQ9" s="4">
        <f t="shared" si="9"/>
        <v>0</v>
      </c>
      <c r="ET9" s="4">
        <f t="shared" si="10"/>
        <v>0</v>
      </c>
      <c r="EU9" s="4" t="str">
        <f t="shared" si="11"/>
        <v>ORDINARIO</v>
      </c>
    </row>
    <row r="10" spans="1:222" x14ac:dyDescent="0.3">
      <c r="A10">
        <v>8</v>
      </c>
      <c r="B10" t="s">
        <v>588</v>
      </c>
      <c r="AR10" s="4">
        <f t="shared" si="0"/>
        <v>0</v>
      </c>
      <c r="BS10" s="4">
        <f t="shared" si="6"/>
        <v>0</v>
      </c>
      <c r="EK10" s="4">
        <f t="shared" si="7"/>
        <v>0</v>
      </c>
      <c r="EN10" s="4">
        <f t="shared" si="8"/>
        <v>0</v>
      </c>
      <c r="EQ10" s="4">
        <f t="shared" si="9"/>
        <v>0</v>
      </c>
      <c r="ET10" s="4">
        <f t="shared" si="10"/>
        <v>0</v>
      </c>
      <c r="EU10" s="4" t="str">
        <f t="shared" si="11"/>
        <v>ORDINARIO</v>
      </c>
    </row>
    <row r="11" spans="1:222" x14ac:dyDescent="0.3">
      <c r="A11">
        <v>9</v>
      </c>
      <c r="AR11" s="4">
        <f t="shared" si="0"/>
        <v>0</v>
      </c>
      <c r="BS11" s="4">
        <f t="shared" si="6"/>
        <v>0</v>
      </c>
      <c r="EK11" s="4">
        <f t="shared" si="7"/>
        <v>0</v>
      </c>
      <c r="EN11" s="4">
        <f t="shared" si="8"/>
        <v>0</v>
      </c>
      <c r="EQ11" s="4">
        <f t="shared" si="9"/>
        <v>0</v>
      </c>
      <c r="ET11" s="4">
        <f t="shared" si="10"/>
        <v>0</v>
      </c>
      <c r="EU11" s="4" t="str">
        <f t="shared" si="11"/>
        <v>ORDINARIO</v>
      </c>
    </row>
    <row r="12" spans="1:222" x14ac:dyDescent="0.3">
      <c r="A12">
        <v>10</v>
      </c>
      <c r="AR12" s="4">
        <f t="shared" si="0"/>
        <v>0</v>
      </c>
      <c r="BS12" s="4">
        <f t="shared" si="6"/>
        <v>0</v>
      </c>
      <c r="EK12" s="4">
        <f t="shared" si="7"/>
        <v>0</v>
      </c>
      <c r="EN12" s="4">
        <f t="shared" si="8"/>
        <v>0</v>
      </c>
      <c r="EQ12" s="4">
        <f t="shared" si="9"/>
        <v>0</v>
      </c>
      <c r="ET12" s="4">
        <f t="shared" si="10"/>
        <v>0</v>
      </c>
      <c r="EU12" s="4" t="str">
        <f t="shared" si="11"/>
        <v>ORDINARIO</v>
      </c>
    </row>
    <row r="13" spans="1:222" x14ac:dyDescent="0.3">
      <c r="A13">
        <v>11</v>
      </c>
      <c r="AR13" s="4">
        <f t="shared" si="0"/>
        <v>0</v>
      </c>
      <c r="BS13" s="4">
        <f t="shared" si="6"/>
        <v>0</v>
      </c>
      <c r="EK13" s="4">
        <f t="shared" si="7"/>
        <v>0</v>
      </c>
      <c r="EN13" s="4">
        <f t="shared" si="8"/>
        <v>0</v>
      </c>
      <c r="EQ13" s="4">
        <f t="shared" si="9"/>
        <v>0</v>
      </c>
      <c r="ET13" s="4">
        <f t="shared" si="10"/>
        <v>0</v>
      </c>
      <c r="EU13" s="4" t="str">
        <f t="shared" si="11"/>
        <v>ORDINARIO</v>
      </c>
    </row>
    <row r="14" spans="1:222" x14ac:dyDescent="0.3">
      <c r="A14">
        <v>12</v>
      </c>
      <c r="AR14" s="4">
        <f t="shared" si="0"/>
        <v>0</v>
      </c>
      <c r="BS14" s="4">
        <f t="shared" si="6"/>
        <v>0</v>
      </c>
      <c r="EK14" s="4">
        <f t="shared" si="7"/>
        <v>0</v>
      </c>
      <c r="EN14" s="4">
        <f t="shared" si="8"/>
        <v>0</v>
      </c>
      <c r="EQ14" s="4">
        <f t="shared" si="9"/>
        <v>0</v>
      </c>
      <c r="ET14" s="4">
        <f t="shared" si="10"/>
        <v>0</v>
      </c>
      <c r="EU14" s="4" t="str">
        <f t="shared" si="11"/>
        <v>ORDINARIO</v>
      </c>
    </row>
    <row r="15" spans="1:222" x14ac:dyDescent="0.3">
      <c r="A15">
        <v>13</v>
      </c>
      <c r="AR15" s="4">
        <f t="shared" si="0"/>
        <v>0</v>
      </c>
      <c r="BS15" s="4">
        <f t="shared" si="6"/>
        <v>0</v>
      </c>
      <c r="EK15" s="4">
        <f t="shared" si="7"/>
        <v>0</v>
      </c>
      <c r="EN15" s="4">
        <f t="shared" si="8"/>
        <v>0</v>
      </c>
      <c r="EQ15" s="4">
        <f t="shared" si="9"/>
        <v>0</v>
      </c>
      <c r="ET15" s="4">
        <f t="shared" si="10"/>
        <v>0</v>
      </c>
      <c r="EU15" s="4" t="str">
        <f t="shared" si="11"/>
        <v>ORDINARIO</v>
      </c>
    </row>
    <row r="16" spans="1:222" x14ac:dyDescent="0.3">
      <c r="A16">
        <v>14</v>
      </c>
      <c r="AR16" s="4">
        <f t="shared" si="0"/>
        <v>0</v>
      </c>
      <c r="BS16" s="4">
        <f t="shared" si="6"/>
        <v>0</v>
      </c>
      <c r="EK16" s="4">
        <f t="shared" si="7"/>
        <v>0</v>
      </c>
      <c r="EN16" s="4">
        <f t="shared" si="8"/>
        <v>0</v>
      </c>
      <c r="EQ16" s="4">
        <f t="shared" si="9"/>
        <v>0</v>
      </c>
      <c r="ET16" s="4">
        <f t="shared" si="10"/>
        <v>0</v>
      </c>
      <c r="EU16" s="4" t="str">
        <f t="shared" si="11"/>
        <v>ORDINARIO</v>
      </c>
    </row>
    <row r="17" spans="1:151" x14ac:dyDescent="0.3">
      <c r="A17">
        <v>15</v>
      </c>
      <c r="AR17" s="4">
        <f t="shared" si="0"/>
        <v>0</v>
      </c>
      <c r="BS17" s="4">
        <f t="shared" si="6"/>
        <v>0</v>
      </c>
      <c r="EK17" s="4">
        <f t="shared" si="7"/>
        <v>0</v>
      </c>
      <c r="EN17" s="4">
        <f t="shared" si="8"/>
        <v>0</v>
      </c>
      <c r="EQ17" s="4">
        <f t="shared" si="9"/>
        <v>0</v>
      </c>
      <c r="ET17" s="4">
        <f t="shared" si="10"/>
        <v>0</v>
      </c>
      <c r="EU17" s="4" t="str">
        <f t="shared" si="11"/>
        <v>ORDINARIO</v>
      </c>
    </row>
    <row r="18" spans="1:151" x14ac:dyDescent="0.3">
      <c r="A18">
        <v>16</v>
      </c>
      <c r="AR18" s="4">
        <f t="shared" si="0"/>
        <v>0</v>
      </c>
      <c r="BS18" s="4">
        <f t="shared" si="6"/>
        <v>0</v>
      </c>
      <c r="EK18" s="4">
        <f t="shared" si="7"/>
        <v>0</v>
      </c>
      <c r="EN18" s="4">
        <f t="shared" si="8"/>
        <v>0</v>
      </c>
      <c r="EQ18" s="4">
        <f t="shared" si="9"/>
        <v>0</v>
      </c>
      <c r="ET18" s="4">
        <f t="shared" si="10"/>
        <v>0</v>
      </c>
      <c r="EU18" s="4" t="str">
        <f t="shared" si="11"/>
        <v>ORDINARIO</v>
      </c>
    </row>
    <row r="19" spans="1:151" x14ac:dyDescent="0.3">
      <c r="A19">
        <v>17</v>
      </c>
      <c r="AR19" s="4">
        <f t="shared" si="0"/>
        <v>0</v>
      </c>
      <c r="BS19" s="4">
        <f t="shared" si="6"/>
        <v>0</v>
      </c>
      <c r="EK19" s="4">
        <f t="shared" si="7"/>
        <v>0</v>
      </c>
      <c r="EN19" s="4">
        <f t="shared" si="8"/>
        <v>0</v>
      </c>
      <c r="EQ19" s="4">
        <f t="shared" si="9"/>
        <v>0</v>
      </c>
      <c r="ET19" s="4">
        <f t="shared" si="10"/>
        <v>0</v>
      </c>
      <c r="EU19" s="4" t="str">
        <f t="shared" si="11"/>
        <v>ORDINARIO</v>
      </c>
    </row>
    <row r="20" spans="1:151" x14ac:dyDescent="0.3">
      <c r="A20">
        <v>18</v>
      </c>
      <c r="AR20" s="4">
        <f t="shared" si="0"/>
        <v>0</v>
      </c>
      <c r="BS20" s="4">
        <f t="shared" si="6"/>
        <v>0</v>
      </c>
      <c r="EK20" s="4">
        <f t="shared" si="7"/>
        <v>0</v>
      </c>
      <c r="EN20" s="4">
        <f t="shared" si="8"/>
        <v>0</v>
      </c>
      <c r="EQ20" s="4">
        <f t="shared" si="9"/>
        <v>0</v>
      </c>
      <c r="ET20" s="4">
        <f t="shared" si="10"/>
        <v>0</v>
      </c>
      <c r="EU20" s="4" t="str">
        <f t="shared" si="11"/>
        <v>ORDINARIO</v>
      </c>
    </row>
    <row r="21" spans="1:151" x14ac:dyDescent="0.3">
      <c r="A21">
        <v>19</v>
      </c>
      <c r="AR21" s="4">
        <f t="shared" si="0"/>
        <v>0</v>
      </c>
      <c r="BS21" s="4">
        <f t="shared" si="6"/>
        <v>0</v>
      </c>
      <c r="EK21" s="4">
        <f t="shared" si="7"/>
        <v>0</v>
      </c>
      <c r="EN21" s="4">
        <f t="shared" si="8"/>
        <v>0</v>
      </c>
      <c r="EQ21" s="4">
        <f t="shared" si="9"/>
        <v>0</v>
      </c>
      <c r="ET21" s="4">
        <f t="shared" si="10"/>
        <v>0</v>
      </c>
      <c r="EU21" s="4" t="str">
        <f t="shared" si="11"/>
        <v>ORDINARIO</v>
      </c>
    </row>
    <row r="22" spans="1:151" x14ac:dyDescent="0.3">
      <c r="A22">
        <v>20</v>
      </c>
      <c r="AR22" s="4">
        <f t="shared" si="0"/>
        <v>0</v>
      </c>
      <c r="BS22" s="4">
        <f t="shared" si="6"/>
        <v>0</v>
      </c>
      <c r="EK22" s="4">
        <f t="shared" si="7"/>
        <v>0</v>
      </c>
      <c r="EN22" s="4">
        <f t="shared" si="8"/>
        <v>0</v>
      </c>
      <c r="EQ22" s="4">
        <f t="shared" si="9"/>
        <v>0</v>
      </c>
      <c r="ET22" s="4">
        <f t="shared" si="10"/>
        <v>0</v>
      </c>
      <c r="EU22" s="4" t="str">
        <f t="shared" si="11"/>
        <v>ORDINARIO</v>
      </c>
    </row>
    <row r="23" spans="1:151" x14ac:dyDescent="0.3">
      <c r="A23">
        <v>21</v>
      </c>
      <c r="AR23" s="4">
        <f t="shared" si="0"/>
        <v>0</v>
      </c>
      <c r="BS23" s="4">
        <f t="shared" si="6"/>
        <v>0</v>
      </c>
      <c r="EK23" s="4">
        <f t="shared" si="7"/>
        <v>0</v>
      </c>
      <c r="EN23" s="4">
        <f t="shared" si="8"/>
        <v>0</v>
      </c>
      <c r="EQ23" s="4">
        <f t="shared" si="9"/>
        <v>0</v>
      </c>
      <c r="ET23" s="4">
        <f t="shared" si="10"/>
        <v>0</v>
      </c>
      <c r="EU23" s="4" t="str">
        <f t="shared" si="11"/>
        <v>ORDINARIO</v>
      </c>
    </row>
    <row r="24" spans="1:151" x14ac:dyDescent="0.3">
      <c r="A24">
        <v>22</v>
      </c>
      <c r="AR24" s="4">
        <f t="shared" si="0"/>
        <v>0</v>
      </c>
      <c r="BS24" s="4">
        <f t="shared" si="6"/>
        <v>0</v>
      </c>
      <c r="EK24" s="4">
        <f t="shared" si="7"/>
        <v>0</v>
      </c>
      <c r="EN24" s="4">
        <f t="shared" si="8"/>
        <v>0</v>
      </c>
      <c r="EQ24" s="4">
        <f t="shared" si="9"/>
        <v>0</v>
      </c>
      <c r="ET24" s="4">
        <f t="shared" si="10"/>
        <v>0</v>
      </c>
      <c r="EU24" s="4" t="str">
        <f t="shared" si="11"/>
        <v>ORDINARIO</v>
      </c>
    </row>
    <row r="25" spans="1:151" x14ac:dyDescent="0.3">
      <c r="A25">
        <v>23</v>
      </c>
      <c r="AR25" s="4">
        <f t="shared" si="0"/>
        <v>0</v>
      </c>
      <c r="BS25" s="4">
        <f t="shared" si="6"/>
        <v>0</v>
      </c>
      <c r="EK25" s="4">
        <f t="shared" si="7"/>
        <v>0</v>
      </c>
      <c r="EN25" s="4">
        <f t="shared" si="8"/>
        <v>0</v>
      </c>
      <c r="EQ25" s="4">
        <f t="shared" si="9"/>
        <v>0</v>
      </c>
      <c r="ET25" s="4">
        <f t="shared" si="10"/>
        <v>0</v>
      </c>
      <c r="EU25" s="4" t="str">
        <f t="shared" si="11"/>
        <v>ORDINARIO</v>
      </c>
    </row>
    <row r="26" spans="1:151" x14ac:dyDescent="0.3">
      <c r="A26">
        <v>24</v>
      </c>
      <c r="AR26" s="4">
        <f t="shared" si="0"/>
        <v>0</v>
      </c>
      <c r="BS26" s="4">
        <f t="shared" si="6"/>
        <v>0</v>
      </c>
      <c r="EK26" s="4">
        <f t="shared" si="7"/>
        <v>0</v>
      </c>
      <c r="EN26" s="4">
        <f t="shared" si="8"/>
        <v>0</v>
      </c>
      <c r="EQ26" s="4">
        <f t="shared" si="9"/>
        <v>0</v>
      </c>
      <c r="ET26" s="4">
        <f t="shared" si="10"/>
        <v>0</v>
      </c>
      <c r="EU26" s="4" t="str">
        <f t="shared" si="11"/>
        <v>ORDINARIO</v>
      </c>
    </row>
    <row r="27" spans="1:151" x14ac:dyDescent="0.3">
      <c r="A27">
        <v>25</v>
      </c>
      <c r="AR27" s="4">
        <f t="shared" si="0"/>
        <v>0</v>
      </c>
      <c r="BS27" s="4">
        <f t="shared" si="6"/>
        <v>0</v>
      </c>
      <c r="EK27" s="4">
        <f t="shared" si="7"/>
        <v>0</v>
      </c>
      <c r="EN27" s="4">
        <f t="shared" si="8"/>
        <v>0</v>
      </c>
      <c r="EQ27" s="4">
        <f t="shared" si="9"/>
        <v>0</v>
      </c>
      <c r="ET27" s="4">
        <f t="shared" si="10"/>
        <v>0</v>
      </c>
      <c r="EU27" s="4" t="str">
        <f t="shared" si="11"/>
        <v>ORDINARIO</v>
      </c>
    </row>
    <row r="28" spans="1:151" x14ac:dyDescent="0.3">
      <c r="A28">
        <v>26</v>
      </c>
      <c r="AR28" s="4">
        <f t="shared" si="0"/>
        <v>0</v>
      </c>
      <c r="BS28" s="4">
        <f t="shared" si="6"/>
        <v>0</v>
      </c>
      <c r="EK28" s="4">
        <f t="shared" si="7"/>
        <v>0</v>
      </c>
      <c r="EN28" s="4">
        <f t="shared" si="8"/>
        <v>0</v>
      </c>
      <c r="EQ28" s="4">
        <f t="shared" si="9"/>
        <v>0</v>
      </c>
      <c r="ET28" s="4">
        <f t="shared" si="10"/>
        <v>0</v>
      </c>
      <c r="EU28" s="4" t="str">
        <f t="shared" si="11"/>
        <v>ORDINARIO</v>
      </c>
    </row>
    <row r="29" spans="1:151" x14ac:dyDescent="0.3">
      <c r="A29">
        <v>27</v>
      </c>
      <c r="AR29" s="4">
        <f t="shared" si="0"/>
        <v>0</v>
      </c>
      <c r="BS29" s="4">
        <f t="shared" si="6"/>
        <v>0</v>
      </c>
      <c r="EK29" s="4">
        <f t="shared" si="7"/>
        <v>0</v>
      </c>
      <c r="EN29" s="4">
        <f t="shared" si="8"/>
        <v>0</v>
      </c>
      <c r="EQ29" s="4">
        <f t="shared" si="9"/>
        <v>0</v>
      </c>
      <c r="ET29" s="4">
        <f t="shared" si="10"/>
        <v>0</v>
      </c>
      <c r="EU29" s="4" t="str">
        <f t="shared" si="11"/>
        <v>ORDINARIO</v>
      </c>
    </row>
    <row r="30" spans="1:151" x14ac:dyDescent="0.3">
      <c r="A30">
        <v>28</v>
      </c>
      <c r="AR30" s="4">
        <f t="shared" si="0"/>
        <v>0</v>
      </c>
      <c r="BS30" s="4">
        <f t="shared" si="6"/>
        <v>0</v>
      </c>
      <c r="EK30" s="4">
        <f t="shared" si="7"/>
        <v>0</v>
      </c>
      <c r="EN30" s="4">
        <f t="shared" si="8"/>
        <v>0</v>
      </c>
      <c r="EQ30" s="4">
        <f t="shared" si="9"/>
        <v>0</v>
      </c>
      <c r="ET30" s="4">
        <f t="shared" si="10"/>
        <v>0</v>
      </c>
      <c r="EU30" s="4" t="str">
        <f t="shared" si="11"/>
        <v>ORDINARIO</v>
      </c>
    </row>
    <row r="31" spans="1:151" x14ac:dyDescent="0.3">
      <c r="A31">
        <v>29</v>
      </c>
      <c r="AR31" s="4">
        <f t="shared" si="0"/>
        <v>0</v>
      </c>
      <c r="BS31" s="4">
        <f t="shared" si="6"/>
        <v>0</v>
      </c>
      <c r="EK31" s="4">
        <f t="shared" si="7"/>
        <v>0</v>
      </c>
      <c r="EN31" s="4">
        <f t="shared" si="8"/>
        <v>0</v>
      </c>
      <c r="EQ31" s="4">
        <f t="shared" si="9"/>
        <v>0</v>
      </c>
      <c r="ET31" s="4">
        <f t="shared" si="10"/>
        <v>0</v>
      </c>
      <c r="EU31" s="4" t="str">
        <f t="shared" si="11"/>
        <v>ORDINARIO</v>
      </c>
    </row>
    <row r="32" spans="1:151" x14ac:dyDescent="0.3">
      <c r="A32">
        <v>30</v>
      </c>
      <c r="AR32" s="4">
        <f t="shared" si="0"/>
        <v>0</v>
      </c>
      <c r="BS32" s="4">
        <f t="shared" si="6"/>
        <v>0</v>
      </c>
      <c r="EK32" s="4">
        <f t="shared" si="7"/>
        <v>0</v>
      </c>
      <c r="EN32" s="4">
        <f t="shared" si="8"/>
        <v>0</v>
      </c>
      <c r="EQ32" s="4">
        <f t="shared" si="9"/>
        <v>0</v>
      </c>
      <c r="ET32" s="4">
        <f t="shared" si="10"/>
        <v>0</v>
      </c>
      <c r="EU32" s="4" t="str">
        <f t="shared" si="11"/>
        <v>ORDINARIO</v>
      </c>
    </row>
    <row r="33" spans="1:151" x14ac:dyDescent="0.3">
      <c r="A33">
        <v>31</v>
      </c>
      <c r="AR33" s="4">
        <f t="shared" si="0"/>
        <v>0</v>
      </c>
      <c r="BS33" s="4">
        <f t="shared" si="6"/>
        <v>0</v>
      </c>
      <c r="EK33" s="4">
        <f t="shared" si="7"/>
        <v>0</v>
      </c>
      <c r="EN33" s="4">
        <f t="shared" si="8"/>
        <v>0</v>
      </c>
      <c r="EQ33" s="4">
        <f t="shared" si="9"/>
        <v>0</v>
      </c>
      <c r="ET33" s="4">
        <f t="shared" si="10"/>
        <v>0</v>
      </c>
      <c r="EU33" s="4" t="str">
        <f t="shared" si="11"/>
        <v>ORDINARIO</v>
      </c>
    </row>
    <row r="34" spans="1:151" x14ac:dyDescent="0.3">
      <c r="A34">
        <v>32</v>
      </c>
      <c r="AR34" s="4">
        <f t="shared" ref="AR34:AR64" si="12">+AS34+AU34+BE34+BL34+BM34+BN34+BO34+BP34+BQ34+CD34</f>
        <v>0</v>
      </c>
      <c r="BS34" s="4">
        <f t="shared" si="6"/>
        <v>0</v>
      </c>
      <c r="EK34" s="4">
        <f t="shared" si="7"/>
        <v>0</v>
      </c>
      <c r="EN34" s="4">
        <f t="shared" si="8"/>
        <v>0</v>
      </c>
      <c r="EQ34" s="4">
        <f t="shared" si="9"/>
        <v>0</v>
      </c>
      <c r="ET34" s="4">
        <f t="shared" si="10"/>
        <v>0</v>
      </c>
      <c r="EU34" s="4" t="str">
        <f t="shared" si="11"/>
        <v>ORDINARIO</v>
      </c>
    </row>
    <row r="35" spans="1:151" x14ac:dyDescent="0.3">
      <c r="A35">
        <v>33</v>
      </c>
      <c r="AR35" s="4">
        <f t="shared" si="12"/>
        <v>0</v>
      </c>
      <c r="BS35" s="4">
        <f t="shared" si="6"/>
        <v>0</v>
      </c>
      <c r="EK35" s="4">
        <f t="shared" si="7"/>
        <v>0</v>
      </c>
      <c r="EN35" s="4">
        <f t="shared" si="8"/>
        <v>0</v>
      </c>
      <c r="EQ35" s="4">
        <f t="shared" si="9"/>
        <v>0</v>
      </c>
      <c r="ET35" s="4">
        <f t="shared" si="10"/>
        <v>0</v>
      </c>
      <c r="EU35" s="4" t="str">
        <f t="shared" si="11"/>
        <v>ORDINARIO</v>
      </c>
    </row>
    <row r="36" spans="1:151" x14ac:dyDescent="0.3">
      <c r="A36">
        <v>34</v>
      </c>
      <c r="AR36" s="4">
        <f t="shared" si="12"/>
        <v>0</v>
      </c>
      <c r="BS36" s="4">
        <f t="shared" si="6"/>
        <v>0</v>
      </c>
      <c r="EK36" s="4">
        <f t="shared" si="7"/>
        <v>0</v>
      </c>
      <c r="EN36" s="4">
        <f t="shared" si="8"/>
        <v>0</v>
      </c>
      <c r="EQ36" s="4">
        <f t="shared" si="9"/>
        <v>0</v>
      </c>
      <c r="ET36" s="4">
        <f t="shared" si="10"/>
        <v>0</v>
      </c>
      <c r="EU36" s="4" t="str">
        <f t="shared" si="11"/>
        <v>ORDINARIO</v>
      </c>
    </row>
    <row r="37" spans="1:151" x14ac:dyDescent="0.3">
      <c r="A37">
        <v>35</v>
      </c>
      <c r="AR37" s="4">
        <f t="shared" si="12"/>
        <v>0</v>
      </c>
      <c r="BS37" s="4">
        <f t="shared" si="6"/>
        <v>0</v>
      </c>
      <c r="EK37" s="4">
        <f t="shared" si="7"/>
        <v>0</v>
      </c>
      <c r="EN37" s="4">
        <f t="shared" si="8"/>
        <v>0</v>
      </c>
      <c r="EQ37" s="4">
        <f t="shared" si="9"/>
        <v>0</v>
      </c>
      <c r="ET37" s="4">
        <f t="shared" si="10"/>
        <v>0</v>
      </c>
      <c r="EU37" s="4" t="str">
        <f t="shared" si="11"/>
        <v>ORDINARIO</v>
      </c>
    </row>
    <row r="38" spans="1:151" x14ac:dyDescent="0.3">
      <c r="A38">
        <v>36</v>
      </c>
      <c r="AR38" s="4">
        <f t="shared" si="12"/>
        <v>0</v>
      </c>
      <c r="BS38" s="4">
        <f t="shared" si="6"/>
        <v>0</v>
      </c>
      <c r="EK38" s="4">
        <f t="shared" si="7"/>
        <v>0</v>
      </c>
      <c r="EN38" s="4">
        <f t="shared" si="8"/>
        <v>0</v>
      </c>
      <c r="EQ38" s="4">
        <f t="shared" si="9"/>
        <v>0</v>
      </c>
      <c r="ET38" s="4">
        <f t="shared" si="10"/>
        <v>0</v>
      </c>
      <c r="EU38" s="4" t="str">
        <f t="shared" si="11"/>
        <v>ORDINARIO</v>
      </c>
    </row>
    <row r="39" spans="1:151" x14ac:dyDescent="0.3">
      <c r="A39">
        <v>37</v>
      </c>
      <c r="AR39" s="4">
        <f t="shared" si="12"/>
        <v>0</v>
      </c>
      <c r="BS39" s="4">
        <f t="shared" si="6"/>
        <v>0</v>
      </c>
      <c r="EK39" s="4">
        <f t="shared" si="7"/>
        <v>0</v>
      </c>
      <c r="EN39" s="4">
        <f t="shared" si="8"/>
        <v>0</v>
      </c>
      <c r="EQ39" s="4">
        <f t="shared" si="9"/>
        <v>0</v>
      </c>
      <c r="ET39" s="4">
        <f t="shared" si="10"/>
        <v>0</v>
      </c>
      <c r="EU39" s="4" t="str">
        <f t="shared" si="11"/>
        <v>ORDINARIO</v>
      </c>
    </row>
    <row r="40" spans="1:151" x14ac:dyDescent="0.3">
      <c r="A40">
        <v>38</v>
      </c>
      <c r="AR40" s="4">
        <f t="shared" si="12"/>
        <v>0</v>
      </c>
      <c r="BS40" s="4">
        <f t="shared" si="6"/>
        <v>0</v>
      </c>
      <c r="EK40" s="4">
        <f t="shared" si="7"/>
        <v>0</v>
      </c>
      <c r="EN40" s="4">
        <f t="shared" si="8"/>
        <v>0</v>
      </c>
      <c r="EQ40" s="4">
        <f t="shared" si="9"/>
        <v>0</v>
      </c>
      <c r="ET40" s="4">
        <f t="shared" si="10"/>
        <v>0</v>
      </c>
      <c r="EU40" s="4" t="str">
        <f t="shared" si="11"/>
        <v>ORDINARIO</v>
      </c>
    </row>
    <row r="41" spans="1:151" x14ac:dyDescent="0.3">
      <c r="A41">
        <v>39</v>
      </c>
      <c r="AR41" s="4">
        <f t="shared" si="12"/>
        <v>0</v>
      </c>
      <c r="BS41" s="4">
        <f t="shared" si="6"/>
        <v>0</v>
      </c>
      <c r="EK41" s="4">
        <f t="shared" si="7"/>
        <v>0</v>
      </c>
      <c r="EN41" s="4">
        <f t="shared" si="8"/>
        <v>0</v>
      </c>
      <c r="EQ41" s="4">
        <f t="shared" si="9"/>
        <v>0</v>
      </c>
      <c r="ET41" s="4">
        <f t="shared" si="10"/>
        <v>0</v>
      </c>
      <c r="EU41" s="4" t="str">
        <f t="shared" si="11"/>
        <v>ORDINARIO</v>
      </c>
    </row>
    <row r="42" spans="1:151" x14ac:dyDescent="0.3">
      <c r="A42">
        <v>40</v>
      </c>
      <c r="AR42" s="4">
        <f t="shared" si="12"/>
        <v>0</v>
      </c>
      <c r="BS42" s="4">
        <f t="shared" si="6"/>
        <v>0</v>
      </c>
      <c r="EK42" s="4">
        <f t="shared" si="7"/>
        <v>0</v>
      </c>
      <c r="EN42" s="4">
        <f t="shared" si="8"/>
        <v>0</v>
      </c>
      <c r="EQ42" s="4">
        <f t="shared" si="9"/>
        <v>0</v>
      </c>
      <c r="ET42" s="4">
        <f t="shared" si="10"/>
        <v>0</v>
      </c>
      <c r="EU42" s="4" t="str">
        <f t="shared" si="11"/>
        <v>ORDINARIO</v>
      </c>
    </row>
    <row r="43" spans="1:151" x14ac:dyDescent="0.3">
      <c r="A43">
        <v>41</v>
      </c>
      <c r="AR43" s="4">
        <f t="shared" si="12"/>
        <v>0</v>
      </c>
      <c r="BS43" s="4">
        <f t="shared" si="6"/>
        <v>0</v>
      </c>
      <c r="EK43" s="4">
        <f t="shared" si="7"/>
        <v>0</v>
      </c>
      <c r="EN43" s="4">
        <f t="shared" si="8"/>
        <v>0</v>
      </c>
      <c r="EQ43" s="4">
        <f t="shared" si="9"/>
        <v>0</v>
      </c>
      <c r="ET43" s="4">
        <f t="shared" si="10"/>
        <v>0</v>
      </c>
      <c r="EU43" s="4" t="str">
        <f t="shared" si="11"/>
        <v>ORDINARIO</v>
      </c>
    </row>
    <row r="44" spans="1:151" x14ac:dyDescent="0.3">
      <c r="A44">
        <v>42</v>
      </c>
      <c r="AR44" s="4">
        <f t="shared" si="12"/>
        <v>0</v>
      </c>
      <c r="BS44" s="4">
        <f t="shared" si="6"/>
        <v>0</v>
      </c>
      <c r="EK44" s="4">
        <f t="shared" si="7"/>
        <v>0</v>
      </c>
      <c r="EN44" s="4">
        <f t="shared" si="8"/>
        <v>0</v>
      </c>
      <c r="EQ44" s="4">
        <f t="shared" si="9"/>
        <v>0</v>
      </c>
      <c r="ET44" s="4">
        <f t="shared" si="10"/>
        <v>0</v>
      </c>
      <c r="EU44" s="4" t="str">
        <f t="shared" si="11"/>
        <v>ORDINARIO</v>
      </c>
    </row>
    <row r="45" spans="1:151" x14ac:dyDescent="0.3">
      <c r="A45">
        <v>43</v>
      </c>
      <c r="AR45" s="4">
        <f t="shared" si="12"/>
        <v>0</v>
      </c>
      <c r="BS45" s="4">
        <f t="shared" si="6"/>
        <v>0</v>
      </c>
      <c r="EK45" s="4">
        <f t="shared" si="7"/>
        <v>0</v>
      </c>
      <c r="EN45" s="4">
        <f t="shared" si="8"/>
        <v>0</v>
      </c>
      <c r="EQ45" s="4">
        <f t="shared" si="9"/>
        <v>0</v>
      </c>
      <c r="ET45" s="4">
        <f t="shared" si="10"/>
        <v>0</v>
      </c>
      <c r="EU45" s="4" t="str">
        <f t="shared" si="11"/>
        <v>ORDINARIO</v>
      </c>
    </row>
    <row r="46" spans="1:151" x14ac:dyDescent="0.3">
      <c r="A46">
        <v>44</v>
      </c>
      <c r="AR46" s="4">
        <f t="shared" si="12"/>
        <v>0</v>
      </c>
      <c r="BS46" s="4">
        <f t="shared" si="6"/>
        <v>0</v>
      </c>
      <c r="EK46" s="4">
        <f t="shared" si="7"/>
        <v>0</v>
      </c>
      <c r="EN46" s="4">
        <f t="shared" si="8"/>
        <v>0</v>
      </c>
      <c r="EQ46" s="4">
        <f t="shared" si="9"/>
        <v>0</v>
      </c>
      <c r="ET46" s="4">
        <f t="shared" si="10"/>
        <v>0</v>
      </c>
      <c r="EU46" s="4" t="str">
        <f t="shared" si="11"/>
        <v>ORDINARIO</v>
      </c>
    </row>
    <row r="47" spans="1:151" x14ac:dyDescent="0.3">
      <c r="A47">
        <v>45</v>
      </c>
      <c r="AR47" s="4">
        <f t="shared" si="12"/>
        <v>0</v>
      </c>
      <c r="BS47" s="4">
        <f t="shared" si="6"/>
        <v>0</v>
      </c>
      <c r="EK47" s="4">
        <f t="shared" si="7"/>
        <v>0</v>
      </c>
      <c r="EN47" s="4">
        <f t="shared" si="8"/>
        <v>0</v>
      </c>
      <c r="EQ47" s="4">
        <f t="shared" si="9"/>
        <v>0</v>
      </c>
      <c r="ET47" s="4">
        <f t="shared" si="10"/>
        <v>0</v>
      </c>
      <c r="EU47" s="4" t="str">
        <f t="shared" si="11"/>
        <v>ORDINARIO</v>
      </c>
    </row>
    <row r="48" spans="1:151" x14ac:dyDescent="0.3">
      <c r="A48">
        <v>46</v>
      </c>
      <c r="AR48" s="4">
        <f t="shared" si="12"/>
        <v>0</v>
      </c>
      <c r="BS48" s="4">
        <f t="shared" si="6"/>
        <v>0</v>
      </c>
      <c r="EK48" s="4">
        <f t="shared" si="7"/>
        <v>0</v>
      </c>
      <c r="EN48" s="4">
        <f t="shared" si="8"/>
        <v>0</v>
      </c>
      <c r="EQ48" s="4">
        <f t="shared" si="9"/>
        <v>0</v>
      </c>
      <c r="ET48" s="4">
        <f t="shared" si="10"/>
        <v>0</v>
      </c>
      <c r="EU48" s="4" t="str">
        <f t="shared" si="11"/>
        <v>ORDINARIO</v>
      </c>
    </row>
    <row r="49" spans="1:151" x14ac:dyDescent="0.3">
      <c r="A49">
        <v>47</v>
      </c>
      <c r="AR49" s="4">
        <f t="shared" si="12"/>
        <v>0</v>
      </c>
      <c r="BS49" s="4">
        <f t="shared" si="6"/>
        <v>0</v>
      </c>
      <c r="EK49" s="4">
        <f t="shared" si="7"/>
        <v>0</v>
      </c>
      <c r="EN49" s="4">
        <f t="shared" si="8"/>
        <v>0</v>
      </c>
      <c r="EQ49" s="4">
        <f t="shared" si="9"/>
        <v>0</v>
      </c>
      <c r="ET49" s="4">
        <f t="shared" si="10"/>
        <v>0</v>
      </c>
      <c r="EU49" s="4" t="str">
        <f t="shared" si="11"/>
        <v>ORDINARIO</v>
      </c>
    </row>
    <row r="50" spans="1:151" x14ac:dyDescent="0.3">
      <c r="A50">
        <v>48</v>
      </c>
      <c r="AR50" s="4">
        <f t="shared" si="12"/>
        <v>0</v>
      </c>
      <c r="BS50" s="4">
        <f t="shared" si="6"/>
        <v>0</v>
      </c>
      <c r="EK50" s="4">
        <f t="shared" si="7"/>
        <v>0</v>
      </c>
      <c r="EN50" s="4">
        <f t="shared" si="8"/>
        <v>0</v>
      </c>
      <c r="EQ50" s="4">
        <f t="shared" si="9"/>
        <v>0</v>
      </c>
      <c r="ET50" s="4">
        <f t="shared" si="10"/>
        <v>0</v>
      </c>
      <c r="EU50" s="4" t="str">
        <f t="shared" si="11"/>
        <v>ORDINARIO</v>
      </c>
    </row>
    <row r="51" spans="1:151" x14ac:dyDescent="0.3">
      <c r="A51">
        <v>49</v>
      </c>
      <c r="AR51" s="4">
        <f t="shared" si="12"/>
        <v>0</v>
      </c>
      <c r="BS51" s="4">
        <f t="shared" si="6"/>
        <v>0</v>
      </c>
      <c r="EK51" s="4">
        <f t="shared" si="7"/>
        <v>0</v>
      </c>
      <c r="EN51" s="4">
        <f t="shared" si="8"/>
        <v>0</v>
      </c>
      <c r="EQ51" s="4">
        <f t="shared" si="9"/>
        <v>0</v>
      </c>
      <c r="ET51" s="4">
        <f t="shared" si="10"/>
        <v>0</v>
      </c>
      <c r="EU51" s="4" t="str">
        <f t="shared" si="11"/>
        <v>ORDINARIO</v>
      </c>
    </row>
    <row r="52" spans="1:151" x14ac:dyDescent="0.3">
      <c r="A52">
        <v>50</v>
      </c>
      <c r="AR52" s="4">
        <f t="shared" si="12"/>
        <v>0</v>
      </c>
      <c r="BS52" s="4">
        <f t="shared" si="6"/>
        <v>0</v>
      </c>
      <c r="EK52" s="4">
        <f t="shared" si="7"/>
        <v>0</v>
      </c>
      <c r="EN52" s="4">
        <f t="shared" si="8"/>
        <v>0</v>
      </c>
      <c r="EQ52" s="4">
        <f t="shared" si="9"/>
        <v>0</v>
      </c>
      <c r="ET52" s="4">
        <f t="shared" si="10"/>
        <v>0</v>
      </c>
      <c r="EU52" s="4" t="str">
        <f t="shared" si="11"/>
        <v>ORDINARIO</v>
      </c>
    </row>
    <row r="53" spans="1:151" x14ac:dyDescent="0.3">
      <c r="A53">
        <v>51</v>
      </c>
      <c r="AR53" s="4">
        <f t="shared" si="12"/>
        <v>0</v>
      </c>
      <c r="BS53" s="4">
        <f t="shared" si="6"/>
        <v>0</v>
      </c>
      <c r="EK53" s="4">
        <f t="shared" si="7"/>
        <v>0</v>
      </c>
      <c r="EN53" s="4">
        <f t="shared" si="8"/>
        <v>0</v>
      </c>
      <c r="EQ53" s="4">
        <f t="shared" si="9"/>
        <v>0</v>
      </c>
      <c r="ET53" s="4">
        <f t="shared" si="10"/>
        <v>0</v>
      </c>
      <c r="EU53" s="4" t="str">
        <f t="shared" si="11"/>
        <v>ORDINARIO</v>
      </c>
    </row>
    <row r="54" spans="1:151" x14ac:dyDescent="0.3">
      <c r="A54">
        <v>52</v>
      </c>
      <c r="AR54" s="4">
        <f t="shared" si="12"/>
        <v>0</v>
      </c>
      <c r="BS54" s="4">
        <f t="shared" si="6"/>
        <v>0</v>
      </c>
      <c r="EK54" s="4">
        <f t="shared" si="7"/>
        <v>0</v>
      </c>
      <c r="EN54" s="4">
        <f t="shared" si="8"/>
        <v>0</v>
      </c>
      <c r="EQ54" s="4">
        <f t="shared" si="9"/>
        <v>0</v>
      </c>
      <c r="ET54" s="4">
        <f t="shared" si="10"/>
        <v>0</v>
      </c>
      <c r="EU54" s="4" t="str">
        <f t="shared" si="11"/>
        <v>ORDINARIO</v>
      </c>
    </row>
    <row r="55" spans="1:151" x14ac:dyDescent="0.3">
      <c r="A55">
        <v>53</v>
      </c>
      <c r="AR55" s="4">
        <f t="shared" si="12"/>
        <v>0</v>
      </c>
      <c r="BS55" s="4">
        <f t="shared" si="6"/>
        <v>0</v>
      </c>
      <c r="EK55" s="4">
        <f t="shared" si="7"/>
        <v>0</v>
      </c>
      <c r="EN55" s="4">
        <f t="shared" si="8"/>
        <v>0</v>
      </c>
      <c r="EQ55" s="4">
        <f t="shared" si="9"/>
        <v>0</v>
      </c>
      <c r="ET55" s="4">
        <f t="shared" si="10"/>
        <v>0</v>
      </c>
      <c r="EU55" s="4" t="str">
        <f t="shared" si="11"/>
        <v>ORDINARIO</v>
      </c>
    </row>
    <row r="56" spans="1:151" x14ac:dyDescent="0.3">
      <c r="A56">
        <v>54</v>
      </c>
      <c r="AR56" s="4">
        <f t="shared" si="12"/>
        <v>0</v>
      </c>
      <c r="BS56" s="4">
        <f t="shared" si="6"/>
        <v>0</v>
      </c>
      <c r="EK56" s="4">
        <f t="shared" si="7"/>
        <v>0</v>
      </c>
      <c r="EN56" s="4">
        <f t="shared" si="8"/>
        <v>0</v>
      </c>
      <c r="EQ56" s="4">
        <f t="shared" si="9"/>
        <v>0</v>
      </c>
      <c r="ET56" s="4">
        <f t="shared" si="10"/>
        <v>0</v>
      </c>
      <c r="EU56" s="4" t="str">
        <f t="shared" si="11"/>
        <v>ORDINARIO</v>
      </c>
    </row>
    <row r="57" spans="1:151" x14ac:dyDescent="0.3">
      <c r="A57">
        <v>55</v>
      </c>
      <c r="AR57" s="4">
        <f t="shared" si="12"/>
        <v>0</v>
      </c>
      <c r="BS57" s="4">
        <f t="shared" si="6"/>
        <v>0</v>
      </c>
      <c r="EK57" s="4">
        <f t="shared" si="7"/>
        <v>0</v>
      </c>
      <c r="EN57" s="4">
        <f t="shared" si="8"/>
        <v>0</v>
      </c>
      <c r="EQ57" s="4">
        <f t="shared" si="9"/>
        <v>0</v>
      </c>
      <c r="ET57" s="4">
        <f t="shared" si="10"/>
        <v>0</v>
      </c>
      <c r="EU57" s="4" t="str">
        <f t="shared" si="11"/>
        <v>ORDINARIO</v>
      </c>
    </row>
    <row r="58" spans="1:151" x14ac:dyDescent="0.3">
      <c r="A58">
        <v>56</v>
      </c>
      <c r="AR58" s="4">
        <f t="shared" si="12"/>
        <v>0</v>
      </c>
      <c r="BS58" s="4">
        <f t="shared" si="6"/>
        <v>0</v>
      </c>
      <c r="EK58" s="4">
        <f t="shared" si="7"/>
        <v>0</v>
      </c>
      <c r="EN58" s="4">
        <f t="shared" si="8"/>
        <v>0</v>
      </c>
      <c r="EQ58" s="4">
        <f t="shared" si="9"/>
        <v>0</v>
      </c>
      <c r="ET58" s="4">
        <f t="shared" si="10"/>
        <v>0</v>
      </c>
      <c r="EU58" s="4" t="str">
        <f t="shared" si="11"/>
        <v>ORDINARIO</v>
      </c>
    </row>
    <row r="59" spans="1:151" x14ac:dyDescent="0.3">
      <c r="A59">
        <v>57</v>
      </c>
      <c r="AR59" s="4">
        <f t="shared" si="12"/>
        <v>0</v>
      </c>
      <c r="BS59" s="4">
        <f t="shared" si="6"/>
        <v>0</v>
      </c>
      <c r="EK59" s="4">
        <f t="shared" si="7"/>
        <v>0</v>
      </c>
      <c r="EN59" s="4">
        <f t="shared" si="8"/>
        <v>0</v>
      </c>
      <c r="EQ59" s="4">
        <f t="shared" si="9"/>
        <v>0</v>
      </c>
      <c r="ET59" s="4">
        <f t="shared" si="10"/>
        <v>0</v>
      </c>
      <c r="EU59" s="4" t="str">
        <f t="shared" si="11"/>
        <v>ORDINARIO</v>
      </c>
    </row>
    <row r="60" spans="1:151" x14ac:dyDescent="0.3">
      <c r="A60">
        <v>58</v>
      </c>
      <c r="AR60" s="4">
        <f t="shared" si="12"/>
        <v>0</v>
      </c>
      <c r="BS60" s="4">
        <f t="shared" si="6"/>
        <v>0</v>
      </c>
      <c r="EK60" s="4">
        <f t="shared" si="7"/>
        <v>0</v>
      </c>
      <c r="EN60" s="4">
        <f t="shared" si="8"/>
        <v>0</v>
      </c>
      <c r="EQ60" s="4">
        <f t="shared" si="9"/>
        <v>0</v>
      </c>
      <c r="ET60" s="4">
        <f t="shared" si="10"/>
        <v>0</v>
      </c>
      <c r="EU60" s="4" t="str">
        <f t="shared" si="11"/>
        <v>ORDINARIO</v>
      </c>
    </row>
    <row r="61" spans="1:151" x14ac:dyDescent="0.3">
      <c r="A61">
        <v>59</v>
      </c>
      <c r="AR61" s="4">
        <f t="shared" si="12"/>
        <v>0</v>
      </c>
      <c r="BS61" s="4">
        <f t="shared" si="6"/>
        <v>0</v>
      </c>
      <c r="EK61" s="4">
        <f t="shared" si="7"/>
        <v>0</v>
      </c>
      <c r="EN61" s="4">
        <f t="shared" si="8"/>
        <v>0</v>
      </c>
      <c r="EQ61" s="4">
        <f t="shared" si="9"/>
        <v>0</v>
      </c>
      <c r="ET61" s="4">
        <f t="shared" si="10"/>
        <v>0</v>
      </c>
      <c r="EU61" s="4" t="str">
        <f t="shared" si="11"/>
        <v>ORDINARIO</v>
      </c>
    </row>
    <row r="62" spans="1:151" x14ac:dyDescent="0.3">
      <c r="A62">
        <v>60</v>
      </c>
      <c r="AR62" s="4">
        <f t="shared" si="12"/>
        <v>0</v>
      </c>
      <c r="BS62" s="4">
        <f t="shared" si="6"/>
        <v>0</v>
      </c>
      <c r="EK62" s="4">
        <f t="shared" si="7"/>
        <v>0</v>
      </c>
      <c r="EN62" s="4">
        <f t="shared" si="8"/>
        <v>0</v>
      </c>
      <c r="EQ62" s="4">
        <f t="shared" si="9"/>
        <v>0</v>
      </c>
      <c r="ET62" s="4">
        <f t="shared" si="10"/>
        <v>0</v>
      </c>
      <c r="EU62" s="4" t="str">
        <f t="shared" si="11"/>
        <v>ORDINARIO</v>
      </c>
    </row>
    <row r="63" spans="1:151" x14ac:dyDescent="0.3">
      <c r="A63">
        <v>61</v>
      </c>
      <c r="AR63" s="4">
        <f t="shared" si="12"/>
        <v>0</v>
      </c>
      <c r="BS63" s="4">
        <f t="shared" si="6"/>
        <v>0</v>
      </c>
      <c r="EK63" s="4">
        <f t="shared" si="7"/>
        <v>0</v>
      </c>
      <c r="EN63" s="4">
        <f t="shared" si="8"/>
        <v>0</v>
      </c>
      <c r="EQ63" s="4">
        <f t="shared" si="9"/>
        <v>0</v>
      </c>
      <c r="ET63" s="4">
        <f t="shared" si="10"/>
        <v>0</v>
      </c>
      <c r="EU63" s="4" t="str">
        <f t="shared" si="11"/>
        <v>ORDINARIO</v>
      </c>
    </row>
    <row r="64" spans="1:151" x14ac:dyDescent="0.3">
      <c r="A64">
        <v>62</v>
      </c>
      <c r="AR64" s="4">
        <f t="shared" si="12"/>
        <v>0</v>
      </c>
      <c r="BS64" s="4">
        <f t="shared" si="6"/>
        <v>0</v>
      </c>
      <c r="EK64" s="4">
        <f t="shared" si="7"/>
        <v>0</v>
      </c>
      <c r="EN64" s="4">
        <f t="shared" si="8"/>
        <v>0</v>
      </c>
      <c r="EQ64" s="4">
        <f t="shared" si="9"/>
        <v>0</v>
      </c>
      <c r="ET64" s="4">
        <f t="shared" si="10"/>
        <v>0</v>
      </c>
      <c r="EU64" s="4" t="str">
        <f t="shared" si="11"/>
        <v>ORDINARIO</v>
      </c>
    </row>
    <row r="65" spans="1:151" x14ac:dyDescent="0.3">
      <c r="A65">
        <v>63</v>
      </c>
      <c r="AR65" s="4">
        <f t="shared" ref="AR65:AR128" si="13">+AS65+AU65+BE65+BL65+BM65+BN65+BO65+BP65+BQ65+CD65</f>
        <v>0</v>
      </c>
      <c r="BS65" s="4">
        <f t="shared" ref="BS65:BS128" si="14">+BT65+BV65+BW65+BX65+BY65</f>
        <v>0</v>
      </c>
      <c r="EK65" s="4">
        <f t="shared" ref="EK65:EK128" si="15">+EJ65/3000</f>
        <v>0</v>
      </c>
      <c r="EN65" s="4">
        <f t="shared" ref="EN65:EN128" si="16">+EM65/1400</f>
        <v>0</v>
      </c>
      <c r="EQ65" s="4">
        <f t="shared" ref="EQ65:EQ128" si="17">+EP65/2000</f>
        <v>0</v>
      </c>
      <c r="ET65" s="4">
        <f t="shared" ref="ET65:ET128" si="18">+ES65/15000</f>
        <v>0</v>
      </c>
      <c r="EU65" s="4" t="str">
        <f t="shared" ref="EU65:EU128" si="19">+IF((EK65+EN65+EQ65+ET65)&gt;=1,"ALTO","ORDINARIO")</f>
        <v>ORDINARIO</v>
      </c>
    </row>
    <row r="66" spans="1:151" x14ac:dyDescent="0.3">
      <c r="A66">
        <v>64</v>
      </c>
      <c r="AR66" s="4">
        <f t="shared" si="13"/>
        <v>0</v>
      </c>
      <c r="BS66" s="4">
        <f t="shared" si="14"/>
        <v>0</v>
      </c>
      <c r="EK66" s="4">
        <f t="shared" si="15"/>
        <v>0</v>
      </c>
      <c r="EN66" s="4">
        <f t="shared" si="16"/>
        <v>0</v>
      </c>
      <c r="EQ66" s="4">
        <f t="shared" si="17"/>
        <v>0</v>
      </c>
      <c r="ET66" s="4">
        <f t="shared" si="18"/>
        <v>0</v>
      </c>
      <c r="EU66" s="4" t="str">
        <f t="shared" si="19"/>
        <v>ORDINARIO</v>
      </c>
    </row>
    <row r="67" spans="1:151" x14ac:dyDescent="0.3">
      <c r="A67">
        <v>65</v>
      </c>
      <c r="AR67" s="4">
        <f t="shared" si="13"/>
        <v>0</v>
      </c>
      <c r="BS67" s="4">
        <f t="shared" si="14"/>
        <v>0</v>
      </c>
      <c r="EK67" s="4">
        <f t="shared" si="15"/>
        <v>0</v>
      </c>
      <c r="EN67" s="4">
        <f t="shared" si="16"/>
        <v>0</v>
      </c>
      <c r="EQ67" s="4">
        <f t="shared" si="17"/>
        <v>0</v>
      </c>
      <c r="ET67" s="4">
        <f t="shared" si="18"/>
        <v>0</v>
      </c>
      <c r="EU67" s="4" t="str">
        <f t="shared" si="19"/>
        <v>ORDINARIO</v>
      </c>
    </row>
    <row r="68" spans="1:151" x14ac:dyDescent="0.3">
      <c r="A68">
        <v>66</v>
      </c>
      <c r="AR68" s="4">
        <f t="shared" si="13"/>
        <v>0</v>
      </c>
      <c r="BS68" s="4">
        <f t="shared" si="14"/>
        <v>0</v>
      </c>
      <c r="EK68" s="4">
        <f t="shared" si="15"/>
        <v>0</v>
      </c>
      <c r="EN68" s="4">
        <f t="shared" si="16"/>
        <v>0</v>
      </c>
      <c r="EQ68" s="4">
        <f t="shared" si="17"/>
        <v>0</v>
      </c>
      <c r="ET68" s="4">
        <f t="shared" si="18"/>
        <v>0</v>
      </c>
      <c r="EU68" s="4" t="str">
        <f t="shared" si="19"/>
        <v>ORDINARIO</v>
      </c>
    </row>
    <row r="69" spans="1:151" x14ac:dyDescent="0.3">
      <c r="A69">
        <v>67</v>
      </c>
      <c r="AR69" s="4">
        <f t="shared" si="13"/>
        <v>0</v>
      </c>
      <c r="BS69" s="4">
        <f t="shared" si="14"/>
        <v>0</v>
      </c>
      <c r="EK69" s="4">
        <f t="shared" si="15"/>
        <v>0</v>
      </c>
      <c r="EN69" s="4">
        <f t="shared" si="16"/>
        <v>0</v>
      </c>
      <c r="EQ69" s="4">
        <f t="shared" si="17"/>
        <v>0</v>
      </c>
      <c r="ET69" s="4">
        <f t="shared" si="18"/>
        <v>0</v>
      </c>
      <c r="EU69" s="4" t="str">
        <f t="shared" si="19"/>
        <v>ORDINARIO</v>
      </c>
    </row>
    <row r="70" spans="1:151" x14ac:dyDescent="0.3">
      <c r="A70">
        <v>68</v>
      </c>
      <c r="AR70" s="4">
        <f t="shared" si="13"/>
        <v>0</v>
      </c>
      <c r="BS70" s="4">
        <f t="shared" si="14"/>
        <v>0</v>
      </c>
      <c r="EK70" s="4">
        <f t="shared" si="15"/>
        <v>0</v>
      </c>
      <c r="EN70" s="4">
        <f t="shared" si="16"/>
        <v>0</v>
      </c>
      <c r="EQ70" s="4">
        <f t="shared" si="17"/>
        <v>0</v>
      </c>
      <c r="ET70" s="4">
        <f t="shared" si="18"/>
        <v>0</v>
      </c>
      <c r="EU70" s="4" t="str">
        <f t="shared" si="19"/>
        <v>ORDINARIO</v>
      </c>
    </row>
    <row r="71" spans="1:151" x14ac:dyDescent="0.3">
      <c r="A71">
        <v>69</v>
      </c>
      <c r="AR71" s="4">
        <f t="shared" si="13"/>
        <v>0</v>
      </c>
      <c r="BS71" s="4">
        <f t="shared" si="14"/>
        <v>0</v>
      </c>
      <c r="EK71" s="4">
        <f t="shared" si="15"/>
        <v>0</v>
      </c>
      <c r="EN71" s="4">
        <f t="shared" si="16"/>
        <v>0</v>
      </c>
      <c r="EQ71" s="4">
        <f t="shared" si="17"/>
        <v>0</v>
      </c>
      <c r="ET71" s="4">
        <f t="shared" si="18"/>
        <v>0</v>
      </c>
      <c r="EU71" s="4" t="str">
        <f t="shared" si="19"/>
        <v>ORDINARIO</v>
      </c>
    </row>
    <row r="72" spans="1:151" x14ac:dyDescent="0.3">
      <c r="A72">
        <v>70</v>
      </c>
      <c r="AR72" s="4">
        <f t="shared" si="13"/>
        <v>0</v>
      </c>
      <c r="BS72" s="4">
        <f t="shared" si="14"/>
        <v>0</v>
      </c>
      <c r="EK72" s="4">
        <f t="shared" si="15"/>
        <v>0</v>
      </c>
      <c r="EN72" s="4">
        <f t="shared" si="16"/>
        <v>0</v>
      </c>
      <c r="EQ72" s="4">
        <f t="shared" si="17"/>
        <v>0</v>
      </c>
      <c r="ET72" s="4">
        <f t="shared" si="18"/>
        <v>0</v>
      </c>
      <c r="EU72" s="4" t="str">
        <f t="shared" si="19"/>
        <v>ORDINARIO</v>
      </c>
    </row>
    <row r="73" spans="1:151" x14ac:dyDescent="0.3">
      <c r="A73">
        <v>71</v>
      </c>
      <c r="AR73" s="4">
        <f t="shared" si="13"/>
        <v>0</v>
      </c>
      <c r="BS73" s="4">
        <f t="shared" si="14"/>
        <v>0</v>
      </c>
      <c r="EK73" s="4">
        <f t="shared" si="15"/>
        <v>0</v>
      </c>
      <c r="EN73" s="4">
        <f t="shared" si="16"/>
        <v>0</v>
      </c>
      <c r="EQ73" s="4">
        <f t="shared" si="17"/>
        <v>0</v>
      </c>
      <c r="ET73" s="4">
        <f t="shared" si="18"/>
        <v>0</v>
      </c>
      <c r="EU73" s="4" t="str">
        <f t="shared" si="19"/>
        <v>ORDINARIO</v>
      </c>
    </row>
    <row r="74" spans="1:151" x14ac:dyDescent="0.3">
      <c r="A74">
        <v>72</v>
      </c>
      <c r="AR74" s="4">
        <f t="shared" si="13"/>
        <v>0</v>
      </c>
      <c r="BS74" s="4">
        <f t="shared" si="14"/>
        <v>0</v>
      </c>
      <c r="EK74" s="4">
        <f t="shared" si="15"/>
        <v>0</v>
      </c>
      <c r="EN74" s="4">
        <f t="shared" si="16"/>
        <v>0</v>
      </c>
      <c r="EQ74" s="4">
        <f t="shared" si="17"/>
        <v>0</v>
      </c>
      <c r="ET74" s="4">
        <f t="shared" si="18"/>
        <v>0</v>
      </c>
      <c r="EU74" s="4" t="str">
        <f t="shared" si="19"/>
        <v>ORDINARIO</v>
      </c>
    </row>
    <row r="75" spans="1:151" x14ac:dyDescent="0.3">
      <c r="A75">
        <v>73</v>
      </c>
      <c r="AR75" s="4">
        <f t="shared" si="13"/>
        <v>0</v>
      </c>
      <c r="BS75" s="4">
        <f t="shared" si="14"/>
        <v>0</v>
      </c>
      <c r="EK75" s="4">
        <f t="shared" si="15"/>
        <v>0</v>
      </c>
      <c r="EN75" s="4">
        <f t="shared" si="16"/>
        <v>0</v>
      </c>
      <c r="EQ75" s="4">
        <f t="shared" si="17"/>
        <v>0</v>
      </c>
      <c r="ET75" s="4">
        <f t="shared" si="18"/>
        <v>0</v>
      </c>
      <c r="EU75" s="4" t="str">
        <f t="shared" si="19"/>
        <v>ORDINARIO</v>
      </c>
    </row>
    <row r="76" spans="1:151" x14ac:dyDescent="0.3">
      <c r="A76">
        <v>74</v>
      </c>
      <c r="AR76" s="4">
        <f t="shared" si="13"/>
        <v>0</v>
      </c>
      <c r="BS76" s="4">
        <f t="shared" si="14"/>
        <v>0</v>
      </c>
      <c r="EK76" s="4">
        <f t="shared" si="15"/>
        <v>0</v>
      </c>
      <c r="EN76" s="4">
        <f t="shared" si="16"/>
        <v>0</v>
      </c>
      <c r="EQ76" s="4">
        <f t="shared" si="17"/>
        <v>0</v>
      </c>
      <c r="ET76" s="4">
        <f t="shared" si="18"/>
        <v>0</v>
      </c>
      <c r="EU76" s="4" t="str">
        <f t="shared" si="19"/>
        <v>ORDINARIO</v>
      </c>
    </row>
    <row r="77" spans="1:151" x14ac:dyDescent="0.3">
      <c r="A77">
        <v>75</v>
      </c>
      <c r="AR77" s="4">
        <f t="shared" si="13"/>
        <v>0</v>
      </c>
      <c r="BS77" s="4">
        <f t="shared" si="14"/>
        <v>0</v>
      </c>
      <c r="EK77" s="4">
        <f t="shared" si="15"/>
        <v>0</v>
      </c>
      <c r="EN77" s="4">
        <f t="shared" si="16"/>
        <v>0</v>
      </c>
      <c r="EQ77" s="4">
        <f t="shared" si="17"/>
        <v>0</v>
      </c>
      <c r="ET77" s="4">
        <f t="shared" si="18"/>
        <v>0</v>
      </c>
      <c r="EU77" s="4" t="str">
        <f t="shared" si="19"/>
        <v>ORDINARIO</v>
      </c>
    </row>
    <row r="78" spans="1:151" x14ac:dyDescent="0.3">
      <c r="A78">
        <v>76</v>
      </c>
      <c r="AR78" s="4">
        <f t="shared" si="13"/>
        <v>0</v>
      </c>
      <c r="BS78" s="4">
        <f t="shared" si="14"/>
        <v>0</v>
      </c>
      <c r="EK78" s="4">
        <f t="shared" si="15"/>
        <v>0</v>
      </c>
      <c r="EN78" s="4">
        <f t="shared" si="16"/>
        <v>0</v>
      </c>
      <c r="EQ78" s="4">
        <f t="shared" si="17"/>
        <v>0</v>
      </c>
      <c r="ET78" s="4">
        <f t="shared" si="18"/>
        <v>0</v>
      </c>
      <c r="EU78" s="4" t="str">
        <f t="shared" si="19"/>
        <v>ORDINARIO</v>
      </c>
    </row>
    <row r="79" spans="1:151" x14ac:dyDescent="0.3">
      <c r="A79">
        <v>77</v>
      </c>
      <c r="AR79" s="4">
        <f t="shared" si="13"/>
        <v>0</v>
      </c>
      <c r="BS79" s="4">
        <f t="shared" si="14"/>
        <v>0</v>
      </c>
      <c r="EK79" s="4">
        <f t="shared" si="15"/>
        <v>0</v>
      </c>
      <c r="EN79" s="4">
        <f t="shared" si="16"/>
        <v>0</v>
      </c>
      <c r="EQ79" s="4">
        <f t="shared" si="17"/>
        <v>0</v>
      </c>
      <c r="ET79" s="4">
        <f t="shared" si="18"/>
        <v>0</v>
      </c>
      <c r="EU79" s="4" t="str">
        <f t="shared" si="19"/>
        <v>ORDINARIO</v>
      </c>
    </row>
    <row r="80" spans="1:151" x14ac:dyDescent="0.3">
      <c r="A80">
        <v>78</v>
      </c>
      <c r="AR80" s="4">
        <f t="shared" si="13"/>
        <v>0</v>
      </c>
      <c r="BS80" s="4">
        <f t="shared" si="14"/>
        <v>0</v>
      </c>
      <c r="EK80" s="4">
        <f t="shared" si="15"/>
        <v>0</v>
      </c>
      <c r="EN80" s="4">
        <f t="shared" si="16"/>
        <v>0</v>
      </c>
      <c r="EQ80" s="4">
        <f t="shared" si="17"/>
        <v>0</v>
      </c>
      <c r="ET80" s="4">
        <f t="shared" si="18"/>
        <v>0</v>
      </c>
      <c r="EU80" s="4" t="str">
        <f t="shared" si="19"/>
        <v>ORDINARIO</v>
      </c>
    </row>
    <row r="81" spans="1:151" x14ac:dyDescent="0.3">
      <c r="A81">
        <v>79</v>
      </c>
      <c r="AR81" s="4">
        <f t="shared" si="13"/>
        <v>0</v>
      </c>
      <c r="BS81" s="4">
        <f t="shared" si="14"/>
        <v>0</v>
      </c>
      <c r="EK81" s="4">
        <f t="shared" si="15"/>
        <v>0</v>
      </c>
      <c r="EN81" s="4">
        <f t="shared" si="16"/>
        <v>0</v>
      </c>
      <c r="EQ81" s="4">
        <f t="shared" si="17"/>
        <v>0</v>
      </c>
      <c r="ET81" s="4">
        <f t="shared" si="18"/>
        <v>0</v>
      </c>
      <c r="EU81" s="4" t="str">
        <f t="shared" si="19"/>
        <v>ORDINARIO</v>
      </c>
    </row>
    <row r="82" spans="1:151" x14ac:dyDescent="0.3">
      <c r="A82">
        <v>80</v>
      </c>
      <c r="AR82" s="4">
        <f t="shared" si="13"/>
        <v>0</v>
      </c>
      <c r="BS82" s="4">
        <f t="shared" si="14"/>
        <v>0</v>
      </c>
      <c r="EK82" s="4">
        <f t="shared" si="15"/>
        <v>0</v>
      </c>
      <c r="EN82" s="4">
        <f t="shared" si="16"/>
        <v>0</v>
      </c>
      <c r="EQ82" s="4">
        <f t="shared" si="17"/>
        <v>0</v>
      </c>
      <c r="ET82" s="4">
        <f t="shared" si="18"/>
        <v>0</v>
      </c>
      <c r="EU82" s="4" t="str">
        <f t="shared" si="19"/>
        <v>ORDINARIO</v>
      </c>
    </row>
    <row r="83" spans="1:151" x14ac:dyDescent="0.3">
      <c r="A83">
        <v>81</v>
      </c>
      <c r="AR83" s="4">
        <f t="shared" si="13"/>
        <v>0</v>
      </c>
      <c r="BS83" s="4">
        <f t="shared" si="14"/>
        <v>0</v>
      </c>
      <c r="EK83" s="4">
        <f t="shared" si="15"/>
        <v>0</v>
      </c>
      <c r="EN83" s="4">
        <f t="shared" si="16"/>
        <v>0</v>
      </c>
      <c r="EQ83" s="4">
        <f t="shared" si="17"/>
        <v>0</v>
      </c>
      <c r="ET83" s="4">
        <f t="shared" si="18"/>
        <v>0</v>
      </c>
      <c r="EU83" s="4" t="str">
        <f t="shared" si="19"/>
        <v>ORDINARIO</v>
      </c>
    </row>
    <row r="84" spans="1:151" x14ac:dyDescent="0.3">
      <c r="A84">
        <v>82</v>
      </c>
      <c r="AR84" s="4">
        <f t="shared" si="13"/>
        <v>0</v>
      </c>
      <c r="BS84" s="4">
        <f t="shared" si="14"/>
        <v>0</v>
      </c>
      <c r="EK84" s="4">
        <f t="shared" si="15"/>
        <v>0</v>
      </c>
      <c r="EN84" s="4">
        <f t="shared" si="16"/>
        <v>0</v>
      </c>
      <c r="EQ84" s="4">
        <f t="shared" si="17"/>
        <v>0</v>
      </c>
      <c r="ET84" s="4">
        <f t="shared" si="18"/>
        <v>0</v>
      </c>
      <c r="EU84" s="4" t="str">
        <f t="shared" si="19"/>
        <v>ORDINARIO</v>
      </c>
    </row>
    <row r="85" spans="1:151" x14ac:dyDescent="0.3">
      <c r="A85">
        <v>83</v>
      </c>
      <c r="AR85" s="4">
        <f t="shared" si="13"/>
        <v>0</v>
      </c>
      <c r="BS85" s="4">
        <f t="shared" si="14"/>
        <v>0</v>
      </c>
      <c r="EK85" s="4">
        <f t="shared" si="15"/>
        <v>0</v>
      </c>
      <c r="EN85" s="4">
        <f t="shared" si="16"/>
        <v>0</v>
      </c>
      <c r="EQ85" s="4">
        <f t="shared" si="17"/>
        <v>0</v>
      </c>
      <c r="ET85" s="4">
        <f t="shared" si="18"/>
        <v>0</v>
      </c>
      <c r="EU85" s="4" t="str">
        <f t="shared" si="19"/>
        <v>ORDINARIO</v>
      </c>
    </row>
    <row r="86" spans="1:151" x14ac:dyDescent="0.3">
      <c r="A86">
        <v>84</v>
      </c>
      <c r="AR86" s="4">
        <f t="shared" si="13"/>
        <v>0</v>
      </c>
      <c r="BS86" s="4">
        <f t="shared" si="14"/>
        <v>0</v>
      </c>
      <c r="EK86" s="4">
        <f t="shared" si="15"/>
        <v>0</v>
      </c>
      <c r="EN86" s="4">
        <f t="shared" si="16"/>
        <v>0</v>
      </c>
      <c r="EQ86" s="4">
        <f t="shared" si="17"/>
        <v>0</v>
      </c>
      <c r="ET86" s="4">
        <f t="shared" si="18"/>
        <v>0</v>
      </c>
      <c r="EU86" s="4" t="str">
        <f t="shared" si="19"/>
        <v>ORDINARIO</v>
      </c>
    </row>
    <row r="87" spans="1:151" x14ac:dyDescent="0.3">
      <c r="A87">
        <v>85</v>
      </c>
      <c r="AR87" s="4">
        <f t="shared" si="13"/>
        <v>0</v>
      </c>
      <c r="BS87" s="4">
        <f t="shared" si="14"/>
        <v>0</v>
      </c>
      <c r="EK87" s="4">
        <f t="shared" si="15"/>
        <v>0</v>
      </c>
      <c r="EN87" s="4">
        <f t="shared" si="16"/>
        <v>0</v>
      </c>
      <c r="EQ87" s="4">
        <f t="shared" si="17"/>
        <v>0</v>
      </c>
      <c r="ET87" s="4">
        <f t="shared" si="18"/>
        <v>0</v>
      </c>
      <c r="EU87" s="4" t="str">
        <f t="shared" si="19"/>
        <v>ORDINARIO</v>
      </c>
    </row>
    <row r="88" spans="1:151" x14ac:dyDescent="0.3">
      <c r="A88">
        <v>86</v>
      </c>
      <c r="AR88" s="4">
        <f t="shared" si="13"/>
        <v>0</v>
      </c>
      <c r="BS88" s="4">
        <f t="shared" si="14"/>
        <v>0</v>
      </c>
      <c r="EK88" s="4">
        <f t="shared" si="15"/>
        <v>0</v>
      </c>
      <c r="EN88" s="4">
        <f t="shared" si="16"/>
        <v>0</v>
      </c>
      <c r="EQ88" s="4">
        <f t="shared" si="17"/>
        <v>0</v>
      </c>
      <c r="ET88" s="4">
        <f t="shared" si="18"/>
        <v>0</v>
      </c>
      <c r="EU88" s="4" t="str">
        <f t="shared" si="19"/>
        <v>ORDINARIO</v>
      </c>
    </row>
    <row r="89" spans="1:151" x14ac:dyDescent="0.3">
      <c r="A89">
        <v>87</v>
      </c>
      <c r="AR89" s="4">
        <f t="shared" si="13"/>
        <v>0</v>
      </c>
      <c r="BS89" s="4">
        <f t="shared" si="14"/>
        <v>0</v>
      </c>
      <c r="EK89" s="4">
        <f t="shared" si="15"/>
        <v>0</v>
      </c>
      <c r="EN89" s="4">
        <f t="shared" si="16"/>
        <v>0</v>
      </c>
      <c r="EQ89" s="4">
        <f t="shared" si="17"/>
        <v>0</v>
      </c>
      <c r="ET89" s="4">
        <f t="shared" si="18"/>
        <v>0</v>
      </c>
      <c r="EU89" s="4" t="str">
        <f t="shared" si="19"/>
        <v>ORDINARIO</v>
      </c>
    </row>
    <row r="90" spans="1:151" x14ac:dyDescent="0.3">
      <c r="A90">
        <v>88</v>
      </c>
      <c r="AR90" s="4">
        <f t="shared" si="13"/>
        <v>0</v>
      </c>
      <c r="BS90" s="4">
        <f t="shared" si="14"/>
        <v>0</v>
      </c>
      <c r="EK90" s="4">
        <f t="shared" si="15"/>
        <v>0</v>
      </c>
      <c r="EN90" s="4">
        <f t="shared" si="16"/>
        <v>0</v>
      </c>
      <c r="EQ90" s="4">
        <f t="shared" si="17"/>
        <v>0</v>
      </c>
      <c r="ET90" s="4">
        <f t="shared" si="18"/>
        <v>0</v>
      </c>
      <c r="EU90" s="4" t="str">
        <f t="shared" si="19"/>
        <v>ORDINARIO</v>
      </c>
    </row>
    <row r="91" spans="1:151" x14ac:dyDescent="0.3">
      <c r="A91">
        <v>89</v>
      </c>
      <c r="AR91" s="4">
        <f t="shared" si="13"/>
        <v>0</v>
      </c>
      <c r="BS91" s="4">
        <f t="shared" si="14"/>
        <v>0</v>
      </c>
      <c r="EK91" s="4">
        <f t="shared" si="15"/>
        <v>0</v>
      </c>
      <c r="EN91" s="4">
        <f t="shared" si="16"/>
        <v>0</v>
      </c>
      <c r="EQ91" s="4">
        <f t="shared" si="17"/>
        <v>0</v>
      </c>
      <c r="ET91" s="4">
        <f t="shared" si="18"/>
        <v>0</v>
      </c>
      <c r="EU91" s="4" t="str">
        <f t="shared" si="19"/>
        <v>ORDINARIO</v>
      </c>
    </row>
    <row r="92" spans="1:151" x14ac:dyDescent="0.3">
      <c r="A92">
        <v>90</v>
      </c>
      <c r="AR92" s="4">
        <f t="shared" si="13"/>
        <v>0</v>
      </c>
      <c r="BS92" s="4">
        <f t="shared" si="14"/>
        <v>0</v>
      </c>
      <c r="EK92" s="4">
        <f t="shared" si="15"/>
        <v>0</v>
      </c>
      <c r="EN92" s="4">
        <f t="shared" si="16"/>
        <v>0</v>
      </c>
      <c r="EQ92" s="4">
        <f t="shared" si="17"/>
        <v>0</v>
      </c>
      <c r="ET92" s="4">
        <f t="shared" si="18"/>
        <v>0</v>
      </c>
      <c r="EU92" s="4" t="str">
        <f t="shared" si="19"/>
        <v>ORDINARIO</v>
      </c>
    </row>
    <row r="93" spans="1:151" x14ac:dyDescent="0.3">
      <c r="A93">
        <v>91</v>
      </c>
      <c r="AR93" s="4">
        <f t="shared" si="13"/>
        <v>0</v>
      </c>
      <c r="BS93" s="4">
        <f t="shared" si="14"/>
        <v>0</v>
      </c>
      <c r="EK93" s="4">
        <f t="shared" si="15"/>
        <v>0</v>
      </c>
      <c r="EN93" s="4">
        <f t="shared" si="16"/>
        <v>0</v>
      </c>
      <c r="EQ93" s="4">
        <f t="shared" si="17"/>
        <v>0</v>
      </c>
      <c r="ET93" s="4">
        <f t="shared" si="18"/>
        <v>0</v>
      </c>
      <c r="EU93" s="4" t="str">
        <f t="shared" si="19"/>
        <v>ORDINARIO</v>
      </c>
    </row>
    <row r="94" spans="1:151" x14ac:dyDescent="0.3">
      <c r="A94">
        <v>92</v>
      </c>
      <c r="AR94" s="4">
        <f t="shared" si="13"/>
        <v>0</v>
      </c>
      <c r="BS94" s="4">
        <f t="shared" si="14"/>
        <v>0</v>
      </c>
      <c r="EK94" s="4">
        <f t="shared" si="15"/>
        <v>0</v>
      </c>
      <c r="EN94" s="4">
        <f t="shared" si="16"/>
        <v>0</v>
      </c>
      <c r="EQ94" s="4">
        <f t="shared" si="17"/>
        <v>0</v>
      </c>
      <c r="ET94" s="4">
        <f t="shared" si="18"/>
        <v>0</v>
      </c>
      <c r="EU94" s="4" t="str">
        <f t="shared" si="19"/>
        <v>ORDINARIO</v>
      </c>
    </row>
    <row r="95" spans="1:151" x14ac:dyDescent="0.3">
      <c r="A95">
        <v>93</v>
      </c>
      <c r="AR95" s="4">
        <f t="shared" si="13"/>
        <v>0</v>
      </c>
      <c r="BS95" s="4">
        <f t="shared" si="14"/>
        <v>0</v>
      </c>
      <c r="EK95" s="4">
        <f t="shared" si="15"/>
        <v>0</v>
      </c>
      <c r="EN95" s="4">
        <f t="shared" si="16"/>
        <v>0</v>
      </c>
      <c r="EQ95" s="4">
        <f t="shared" si="17"/>
        <v>0</v>
      </c>
      <c r="ET95" s="4">
        <f t="shared" si="18"/>
        <v>0</v>
      </c>
      <c r="EU95" s="4" t="str">
        <f t="shared" si="19"/>
        <v>ORDINARIO</v>
      </c>
    </row>
    <row r="96" spans="1:151" x14ac:dyDescent="0.3">
      <c r="A96">
        <v>94</v>
      </c>
      <c r="AR96" s="4">
        <f t="shared" si="13"/>
        <v>0</v>
      </c>
      <c r="BS96" s="4">
        <f t="shared" si="14"/>
        <v>0</v>
      </c>
      <c r="EK96" s="4">
        <f t="shared" si="15"/>
        <v>0</v>
      </c>
      <c r="EN96" s="4">
        <f t="shared" si="16"/>
        <v>0</v>
      </c>
      <c r="EQ96" s="4">
        <f t="shared" si="17"/>
        <v>0</v>
      </c>
      <c r="ET96" s="4">
        <f t="shared" si="18"/>
        <v>0</v>
      </c>
      <c r="EU96" s="4" t="str">
        <f t="shared" si="19"/>
        <v>ORDINARIO</v>
      </c>
    </row>
    <row r="97" spans="1:151" x14ac:dyDescent="0.3">
      <c r="A97">
        <v>95</v>
      </c>
      <c r="AR97" s="4">
        <f t="shared" si="13"/>
        <v>0</v>
      </c>
      <c r="BS97" s="4">
        <f t="shared" si="14"/>
        <v>0</v>
      </c>
      <c r="EK97" s="4">
        <f t="shared" si="15"/>
        <v>0</v>
      </c>
      <c r="EN97" s="4">
        <f t="shared" si="16"/>
        <v>0</v>
      </c>
      <c r="EQ97" s="4">
        <f t="shared" si="17"/>
        <v>0</v>
      </c>
      <c r="ET97" s="4">
        <f t="shared" si="18"/>
        <v>0</v>
      </c>
      <c r="EU97" s="4" t="str">
        <f t="shared" si="19"/>
        <v>ORDINARIO</v>
      </c>
    </row>
    <row r="98" spans="1:151" x14ac:dyDescent="0.3">
      <c r="A98">
        <v>96</v>
      </c>
      <c r="AR98" s="4">
        <f t="shared" si="13"/>
        <v>0</v>
      </c>
      <c r="BS98" s="4">
        <f t="shared" si="14"/>
        <v>0</v>
      </c>
      <c r="EK98" s="4">
        <f t="shared" si="15"/>
        <v>0</v>
      </c>
      <c r="EN98" s="4">
        <f t="shared" si="16"/>
        <v>0</v>
      </c>
      <c r="EQ98" s="4">
        <f t="shared" si="17"/>
        <v>0</v>
      </c>
      <c r="ET98" s="4">
        <f t="shared" si="18"/>
        <v>0</v>
      </c>
      <c r="EU98" s="4" t="str">
        <f t="shared" si="19"/>
        <v>ORDINARIO</v>
      </c>
    </row>
    <row r="99" spans="1:151" x14ac:dyDescent="0.3">
      <c r="A99">
        <v>97</v>
      </c>
      <c r="AR99" s="4">
        <f t="shared" si="13"/>
        <v>0</v>
      </c>
      <c r="BS99" s="4">
        <f t="shared" si="14"/>
        <v>0</v>
      </c>
      <c r="EK99" s="4">
        <f t="shared" si="15"/>
        <v>0</v>
      </c>
      <c r="EN99" s="4">
        <f t="shared" si="16"/>
        <v>0</v>
      </c>
      <c r="EQ99" s="4">
        <f t="shared" si="17"/>
        <v>0</v>
      </c>
      <c r="ET99" s="4">
        <f t="shared" si="18"/>
        <v>0</v>
      </c>
      <c r="EU99" s="4" t="str">
        <f t="shared" si="19"/>
        <v>ORDINARIO</v>
      </c>
    </row>
    <row r="100" spans="1:151" x14ac:dyDescent="0.3">
      <c r="A100">
        <v>98</v>
      </c>
      <c r="AR100" s="4">
        <f t="shared" si="13"/>
        <v>0</v>
      </c>
      <c r="BS100" s="4">
        <f t="shared" si="14"/>
        <v>0</v>
      </c>
      <c r="EK100" s="4">
        <f t="shared" si="15"/>
        <v>0</v>
      </c>
      <c r="EN100" s="4">
        <f t="shared" si="16"/>
        <v>0</v>
      </c>
      <c r="EQ100" s="4">
        <f t="shared" si="17"/>
        <v>0</v>
      </c>
      <c r="ET100" s="4">
        <f t="shared" si="18"/>
        <v>0</v>
      </c>
      <c r="EU100" s="4" t="str">
        <f t="shared" si="19"/>
        <v>ORDINARIO</v>
      </c>
    </row>
    <row r="101" spans="1:151" x14ac:dyDescent="0.3">
      <c r="A101">
        <v>99</v>
      </c>
      <c r="AR101" s="4">
        <f t="shared" si="13"/>
        <v>0</v>
      </c>
      <c r="BS101" s="4">
        <f t="shared" si="14"/>
        <v>0</v>
      </c>
      <c r="EK101" s="4">
        <f t="shared" si="15"/>
        <v>0</v>
      </c>
      <c r="EN101" s="4">
        <f t="shared" si="16"/>
        <v>0</v>
      </c>
      <c r="EQ101" s="4">
        <f t="shared" si="17"/>
        <v>0</v>
      </c>
      <c r="ET101" s="4">
        <f t="shared" si="18"/>
        <v>0</v>
      </c>
      <c r="EU101" s="4" t="str">
        <f t="shared" si="19"/>
        <v>ORDINARIO</v>
      </c>
    </row>
    <row r="102" spans="1:151" x14ac:dyDescent="0.3">
      <c r="A102">
        <v>100</v>
      </c>
      <c r="AR102" s="4">
        <f t="shared" si="13"/>
        <v>0</v>
      </c>
      <c r="BS102" s="4">
        <f t="shared" si="14"/>
        <v>0</v>
      </c>
      <c r="EK102" s="4">
        <f t="shared" si="15"/>
        <v>0</v>
      </c>
      <c r="EN102" s="4">
        <f t="shared" si="16"/>
        <v>0</v>
      </c>
      <c r="EQ102" s="4">
        <f t="shared" si="17"/>
        <v>0</v>
      </c>
      <c r="ET102" s="4">
        <f t="shared" si="18"/>
        <v>0</v>
      </c>
      <c r="EU102" s="4" t="str">
        <f t="shared" si="19"/>
        <v>ORDINARIO</v>
      </c>
    </row>
    <row r="103" spans="1:151" x14ac:dyDescent="0.3">
      <c r="A103">
        <v>101</v>
      </c>
      <c r="AR103" s="4">
        <f t="shared" si="13"/>
        <v>0</v>
      </c>
      <c r="BS103" s="4">
        <f t="shared" si="14"/>
        <v>0</v>
      </c>
      <c r="EK103" s="4">
        <f t="shared" si="15"/>
        <v>0</v>
      </c>
      <c r="EN103" s="4">
        <f t="shared" si="16"/>
        <v>0</v>
      </c>
      <c r="EQ103" s="4">
        <f t="shared" si="17"/>
        <v>0</v>
      </c>
      <c r="ET103" s="4">
        <f t="shared" si="18"/>
        <v>0</v>
      </c>
      <c r="EU103" s="4" t="str">
        <f t="shared" si="19"/>
        <v>ORDINARIO</v>
      </c>
    </row>
    <row r="104" spans="1:151" x14ac:dyDescent="0.3">
      <c r="A104">
        <v>102</v>
      </c>
      <c r="AR104" s="4">
        <f t="shared" si="13"/>
        <v>0</v>
      </c>
      <c r="BS104" s="4">
        <f t="shared" si="14"/>
        <v>0</v>
      </c>
      <c r="EK104" s="4">
        <f t="shared" si="15"/>
        <v>0</v>
      </c>
      <c r="EN104" s="4">
        <f t="shared" si="16"/>
        <v>0</v>
      </c>
      <c r="EQ104" s="4">
        <f t="shared" si="17"/>
        <v>0</v>
      </c>
      <c r="ET104" s="4">
        <f t="shared" si="18"/>
        <v>0</v>
      </c>
      <c r="EU104" s="4" t="str">
        <f t="shared" si="19"/>
        <v>ORDINARIO</v>
      </c>
    </row>
    <row r="105" spans="1:151" x14ac:dyDescent="0.3">
      <c r="A105">
        <v>103</v>
      </c>
      <c r="AR105" s="4">
        <f t="shared" si="13"/>
        <v>0</v>
      </c>
      <c r="BS105" s="4">
        <f t="shared" si="14"/>
        <v>0</v>
      </c>
      <c r="EK105" s="4">
        <f t="shared" si="15"/>
        <v>0</v>
      </c>
      <c r="EN105" s="4">
        <f t="shared" si="16"/>
        <v>0</v>
      </c>
      <c r="EQ105" s="4">
        <f t="shared" si="17"/>
        <v>0</v>
      </c>
      <c r="ET105" s="4">
        <f t="shared" si="18"/>
        <v>0</v>
      </c>
      <c r="EU105" s="4" t="str">
        <f t="shared" si="19"/>
        <v>ORDINARIO</v>
      </c>
    </row>
    <row r="106" spans="1:151" x14ac:dyDescent="0.3">
      <c r="A106">
        <v>104</v>
      </c>
      <c r="AR106" s="4">
        <f t="shared" si="13"/>
        <v>0</v>
      </c>
      <c r="BS106" s="4">
        <f t="shared" si="14"/>
        <v>0</v>
      </c>
      <c r="EK106" s="4">
        <f t="shared" si="15"/>
        <v>0</v>
      </c>
      <c r="EN106" s="4">
        <f t="shared" si="16"/>
        <v>0</v>
      </c>
      <c r="EQ106" s="4">
        <f t="shared" si="17"/>
        <v>0</v>
      </c>
      <c r="ET106" s="4">
        <f t="shared" si="18"/>
        <v>0</v>
      </c>
      <c r="EU106" s="4" t="str">
        <f t="shared" si="19"/>
        <v>ORDINARIO</v>
      </c>
    </row>
    <row r="107" spans="1:151" x14ac:dyDescent="0.3">
      <c r="A107">
        <v>105</v>
      </c>
      <c r="AR107" s="4">
        <f t="shared" si="13"/>
        <v>0</v>
      </c>
      <c r="BS107" s="4">
        <f t="shared" si="14"/>
        <v>0</v>
      </c>
      <c r="EK107" s="4">
        <f t="shared" si="15"/>
        <v>0</v>
      </c>
      <c r="EN107" s="4">
        <f t="shared" si="16"/>
        <v>0</v>
      </c>
      <c r="EQ107" s="4">
        <f t="shared" si="17"/>
        <v>0</v>
      </c>
      <c r="ET107" s="4">
        <f t="shared" si="18"/>
        <v>0</v>
      </c>
      <c r="EU107" s="4" t="str">
        <f t="shared" si="19"/>
        <v>ORDINARIO</v>
      </c>
    </row>
    <row r="108" spans="1:151" x14ac:dyDescent="0.3">
      <c r="A108">
        <v>106</v>
      </c>
      <c r="AR108" s="4">
        <f t="shared" si="13"/>
        <v>0</v>
      </c>
      <c r="BS108" s="4">
        <f t="shared" si="14"/>
        <v>0</v>
      </c>
      <c r="EK108" s="4">
        <f t="shared" si="15"/>
        <v>0</v>
      </c>
      <c r="EN108" s="4">
        <f t="shared" si="16"/>
        <v>0</v>
      </c>
      <c r="EQ108" s="4">
        <f t="shared" si="17"/>
        <v>0</v>
      </c>
      <c r="ET108" s="4">
        <f t="shared" si="18"/>
        <v>0</v>
      </c>
      <c r="EU108" s="4" t="str">
        <f t="shared" si="19"/>
        <v>ORDINARIO</v>
      </c>
    </row>
    <row r="109" spans="1:151" x14ac:dyDescent="0.3">
      <c r="A109">
        <v>107</v>
      </c>
      <c r="AR109" s="4">
        <f t="shared" si="13"/>
        <v>0</v>
      </c>
      <c r="BS109" s="4">
        <f t="shared" si="14"/>
        <v>0</v>
      </c>
      <c r="EK109" s="4">
        <f t="shared" si="15"/>
        <v>0</v>
      </c>
      <c r="EN109" s="4">
        <f t="shared" si="16"/>
        <v>0</v>
      </c>
      <c r="EQ109" s="4">
        <f t="shared" si="17"/>
        <v>0</v>
      </c>
      <c r="ET109" s="4">
        <f t="shared" si="18"/>
        <v>0</v>
      </c>
      <c r="EU109" s="4" t="str">
        <f t="shared" si="19"/>
        <v>ORDINARIO</v>
      </c>
    </row>
    <row r="110" spans="1:151" x14ac:dyDescent="0.3">
      <c r="A110">
        <v>108</v>
      </c>
      <c r="AR110" s="4">
        <f t="shared" si="13"/>
        <v>0</v>
      </c>
      <c r="BS110" s="4">
        <f t="shared" si="14"/>
        <v>0</v>
      </c>
      <c r="EK110" s="4">
        <f t="shared" si="15"/>
        <v>0</v>
      </c>
      <c r="EN110" s="4">
        <f t="shared" si="16"/>
        <v>0</v>
      </c>
      <c r="EQ110" s="4">
        <f t="shared" si="17"/>
        <v>0</v>
      </c>
      <c r="ET110" s="4">
        <f t="shared" si="18"/>
        <v>0</v>
      </c>
      <c r="EU110" s="4" t="str">
        <f t="shared" si="19"/>
        <v>ORDINARIO</v>
      </c>
    </row>
    <row r="111" spans="1:151" x14ac:dyDescent="0.3">
      <c r="A111">
        <v>109</v>
      </c>
      <c r="AR111" s="4">
        <f t="shared" si="13"/>
        <v>0</v>
      </c>
      <c r="BS111" s="4">
        <f t="shared" si="14"/>
        <v>0</v>
      </c>
      <c r="EK111" s="4">
        <f t="shared" si="15"/>
        <v>0</v>
      </c>
      <c r="EN111" s="4">
        <f t="shared" si="16"/>
        <v>0</v>
      </c>
      <c r="EQ111" s="4">
        <f t="shared" si="17"/>
        <v>0</v>
      </c>
      <c r="ET111" s="4">
        <f t="shared" si="18"/>
        <v>0</v>
      </c>
      <c r="EU111" s="4" t="str">
        <f t="shared" si="19"/>
        <v>ORDINARIO</v>
      </c>
    </row>
    <row r="112" spans="1:151" x14ac:dyDescent="0.3">
      <c r="A112">
        <v>110</v>
      </c>
      <c r="AR112" s="4">
        <f t="shared" si="13"/>
        <v>0</v>
      </c>
      <c r="BS112" s="4">
        <f t="shared" si="14"/>
        <v>0</v>
      </c>
      <c r="EK112" s="4">
        <f t="shared" si="15"/>
        <v>0</v>
      </c>
      <c r="EN112" s="4">
        <f t="shared" si="16"/>
        <v>0</v>
      </c>
      <c r="EQ112" s="4">
        <f t="shared" si="17"/>
        <v>0</v>
      </c>
      <c r="ET112" s="4">
        <f t="shared" si="18"/>
        <v>0</v>
      </c>
      <c r="EU112" s="4" t="str">
        <f t="shared" si="19"/>
        <v>ORDINARIO</v>
      </c>
    </row>
    <row r="113" spans="1:151" x14ac:dyDescent="0.3">
      <c r="A113">
        <v>111</v>
      </c>
      <c r="AR113" s="4">
        <f t="shared" si="13"/>
        <v>0</v>
      </c>
      <c r="BS113" s="4">
        <f t="shared" si="14"/>
        <v>0</v>
      </c>
      <c r="EK113" s="4">
        <f t="shared" si="15"/>
        <v>0</v>
      </c>
      <c r="EN113" s="4">
        <f t="shared" si="16"/>
        <v>0</v>
      </c>
      <c r="EQ113" s="4">
        <f t="shared" si="17"/>
        <v>0</v>
      </c>
      <c r="ET113" s="4">
        <f t="shared" si="18"/>
        <v>0</v>
      </c>
      <c r="EU113" s="4" t="str">
        <f t="shared" si="19"/>
        <v>ORDINARIO</v>
      </c>
    </row>
    <row r="114" spans="1:151" x14ac:dyDescent="0.3">
      <c r="A114">
        <v>112</v>
      </c>
      <c r="AR114" s="4">
        <f t="shared" si="13"/>
        <v>0</v>
      </c>
      <c r="BS114" s="4">
        <f t="shared" si="14"/>
        <v>0</v>
      </c>
      <c r="EK114" s="4">
        <f t="shared" si="15"/>
        <v>0</v>
      </c>
      <c r="EN114" s="4">
        <f t="shared" si="16"/>
        <v>0</v>
      </c>
      <c r="EQ114" s="4">
        <f t="shared" si="17"/>
        <v>0</v>
      </c>
      <c r="ET114" s="4">
        <f t="shared" si="18"/>
        <v>0</v>
      </c>
      <c r="EU114" s="4" t="str">
        <f t="shared" si="19"/>
        <v>ORDINARIO</v>
      </c>
    </row>
    <row r="115" spans="1:151" x14ac:dyDescent="0.3">
      <c r="A115">
        <v>113</v>
      </c>
      <c r="AR115" s="4">
        <f t="shared" si="13"/>
        <v>0</v>
      </c>
      <c r="BS115" s="4">
        <f t="shared" si="14"/>
        <v>0</v>
      </c>
      <c r="EK115" s="4">
        <f t="shared" si="15"/>
        <v>0</v>
      </c>
      <c r="EN115" s="4">
        <f t="shared" si="16"/>
        <v>0</v>
      </c>
      <c r="EQ115" s="4">
        <f t="shared" si="17"/>
        <v>0</v>
      </c>
      <c r="ET115" s="4">
        <f t="shared" si="18"/>
        <v>0</v>
      </c>
      <c r="EU115" s="4" t="str">
        <f t="shared" si="19"/>
        <v>ORDINARIO</v>
      </c>
    </row>
    <row r="116" spans="1:151" x14ac:dyDescent="0.3">
      <c r="A116">
        <v>114</v>
      </c>
      <c r="AR116" s="4">
        <f t="shared" si="13"/>
        <v>0</v>
      </c>
      <c r="BS116" s="4">
        <f t="shared" si="14"/>
        <v>0</v>
      </c>
      <c r="EK116" s="4">
        <f t="shared" si="15"/>
        <v>0</v>
      </c>
      <c r="EN116" s="4">
        <f t="shared" si="16"/>
        <v>0</v>
      </c>
      <c r="EQ116" s="4">
        <f t="shared" si="17"/>
        <v>0</v>
      </c>
      <c r="ET116" s="4">
        <f t="shared" si="18"/>
        <v>0</v>
      </c>
      <c r="EU116" s="4" t="str">
        <f t="shared" si="19"/>
        <v>ORDINARIO</v>
      </c>
    </row>
    <row r="117" spans="1:151" x14ac:dyDescent="0.3">
      <c r="A117">
        <v>115</v>
      </c>
      <c r="AR117" s="4">
        <f t="shared" si="13"/>
        <v>0</v>
      </c>
      <c r="BS117" s="4">
        <f t="shared" si="14"/>
        <v>0</v>
      </c>
      <c r="EK117" s="4">
        <f t="shared" si="15"/>
        <v>0</v>
      </c>
      <c r="EN117" s="4">
        <f t="shared" si="16"/>
        <v>0</v>
      </c>
      <c r="EQ117" s="4">
        <f t="shared" si="17"/>
        <v>0</v>
      </c>
      <c r="ET117" s="4">
        <f t="shared" si="18"/>
        <v>0</v>
      </c>
      <c r="EU117" s="4" t="str">
        <f t="shared" si="19"/>
        <v>ORDINARIO</v>
      </c>
    </row>
    <row r="118" spans="1:151" x14ac:dyDescent="0.3">
      <c r="A118">
        <v>116</v>
      </c>
      <c r="AR118" s="4">
        <f t="shared" si="13"/>
        <v>0</v>
      </c>
      <c r="BS118" s="4">
        <f t="shared" si="14"/>
        <v>0</v>
      </c>
      <c r="EK118" s="4">
        <f t="shared" si="15"/>
        <v>0</v>
      </c>
      <c r="EN118" s="4">
        <f t="shared" si="16"/>
        <v>0</v>
      </c>
      <c r="EQ118" s="4">
        <f t="shared" si="17"/>
        <v>0</v>
      </c>
      <c r="ET118" s="4">
        <f t="shared" si="18"/>
        <v>0</v>
      </c>
      <c r="EU118" s="4" t="str">
        <f t="shared" si="19"/>
        <v>ORDINARIO</v>
      </c>
    </row>
    <row r="119" spans="1:151" x14ac:dyDescent="0.3">
      <c r="A119">
        <v>117</v>
      </c>
      <c r="AR119" s="4">
        <f t="shared" si="13"/>
        <v>0</v>
      </c>
      <c r="BS119" s="4">
        <f t="shared" si="14"/>
        <v>0</v>
      </c>
      <c r="EK119" s="4">
        <f t="shared" si="15"/>
        <v>0</v>
      </c>
      <c r="EN119" s="4">
        <f t="shared" si="16"/>
        <v>0</v>
      </c>
      <c r="EQ119" s="4">
        <f t="shared" si="17"/>
        <v>0</v>
      </c>
      <c r="ET119" s="4">
        <f t="shared" si="18"/>
        <v>0</v>
      </c>
      <c r="EU119" s="4" t="str">
        <f t="shared" si="19"/>
        <v>ORDINARIO</v>
      </c>
    </row>
    <row r="120" spans="1:151" x14ac:dyDescent="0.3">
      <c r="A120">
        <v>118</v>
      </c>
      <c r="AR120" s="4">
        <f t="shared" si="13"/>
        <v>0</v>
      </c>
      <c r="BS120" s="4">
        <f t="shared" si="14"/>
        <v>0</v>
      </c>
      <c r="EK120" s="4">
        <f t="shared" si="15"/>
        <v>0</v>
      </c>
      <c r="EN120" s="4">
        <f t="shared" si="16"/>
        <v>0</v>
      </c>
      <c r="EQ120" s="4">
        <f t="shared" si="17"/>
        <v>0</v>
      </c>
      <c r="ET120" s="4">
        <f t="shared" si="18"/>
        <v>0</v>
      </c>
      <c r="EU120" s="4" t="str">
        <f t="shared" si="19"/>
        <v>ORDINARIO</v>
      </c>
    </row>
    <row r="121" spans="1:151" x14ac:dyDescent="0.3">
      <c r="A121">
        <v>119</v>
      </c>
      <c r="AR121" s="4">
        <f t="shared" si="13"/>
        <v>0</v>
      </c>
      <c r="BS121" s="4">
        <f t="shared" si="14"/>
        <v>0</v>
      </c>
      <c r="EK121" s="4">
        <f t="shared" si="15"/>
        <v>0</v>
      </c>
      <c r="EN121" s="4">
        <f t="shared" si="16"/>
        <v>0</v>
      </c>
      <c r="EQ121" s="4">
        <f t="shared" si="17"/>
        <v>0</v>
      </c>
      <c r="ET121" s="4">
        <f t="shared" si="18"/>
        <v>0</v>
      </c>
      <c r="EU121" s="4" t="str">
        <f t="shared" si="19"/>
        <v>ORDINARIO</v>
      </c>
    </row>
    <row r="122" spans="1:151" x14ac:dyDescent="0.3">
      <c r="A122">
        <v>120</v>
      </c>
      <c r="AR122" s="4">
        <f t="shared" si="13"/>
        <v>0</v>
      </c>
      <c r="BS122" s="4">
        <f t="shared" si="14"/>
        <v>0</v>
      </c>
      <c r="EK122" s="4">
        <f t="shared" si="15"/>
        <v>0</v>
      </c>
      <c r="EN122" s="4">
        <f t="shared" si="16"/>
        <v>0</v>
      </c>
      <c r="EQ122" s="4">
        <f t="shared" si="17"/>
        <v>0</v>
      </c>
      <c r="ET122" s="4">
        <f t="shared" si="18"/>
        <v>0</v>
      </c>
      <c r="EU122" s="4" t="str">
        <f t="shared" si="19"/>
        <v>ORDINARIO</v>
      </c>
    </row>
    <row r="123" spans="1:151" x14ac:dyDescent="0.3">
      <c r="A123">
        <v>121</v>
      </c>
      <c r="AR123" s="4">
        <f t="shared" si="13"/>
        <v>0</v>
      </c>
      <c r="BS123" s="4">
        <f t="shared" si="14"/>
        <v>0</v>
      </c>
      <c r="EK123" s="4">
        <f t="shared" si="15"/>
        <v>0</v>
      </c>
      <c r="EN123" s="4">
        <f t="shared" si="16"/>
        <v>0</v>
      </c>
      <c r="EQ123" s="4">
        <f t="shared" si="17"/>
        <v>0</v>
      </c>
      <c r="ET123" s="4">
        <f t="shared" si="18"/>
        <v>0</v>
      </c>
      <c r="EU123" s="4" t="str">
        <f t="shared" si="19"/>
        <v>ORDINARIO</v>
      </c>
    </row>
    <row r="124" spans="1:151" x14ac:dyDescent="0.3">
      <c r="A124">
        <v>122</v>
      </c>
      <c r="AR124" s="4">
        <f t="shared" si="13"/>
        <v>0</v>
      </c>
      <c r="BS124" s="4">
        <f t="shared" si="14"/>
        <v>0</v>
      </c>
      <c r="EK124" s="4">
        <f t="shared" si="15"/>
        <v>0</v>
      </c>
      <c r="EN124" s="4">
        <f t="shared" si="16"/>
        <v>0</v>
      </c>
      <c r="EQ124" s="4">
        <f t="shared" si="17"/>
        <v>0</v>
      </c>
      <c r="ET124" s="4">
        <f t="shared" si="18"/>
        <v>0</v>
      </c>
      <c r="EU124" s="4" t="str">
        <f t="shared" si="19"/>
        <v>ORDINARIO</v>
      </c>
    </row>
    <row r="125" spans="1:151" x14ac:dyDescent="0.3">
      <c r="A125">
        <v>123</v>
      </c>
      <c r="AR125" s="4">
        <f t="shared" si="13"/>
        <v>0</v>
      </c>
      <c r="BS125" s="4">
        <f t="shared" si="14"/>
        <v>0</v>
      </c>
      <c r="EK125" s="4">
        <f t="shared" si="15"/>
        <v>0</v>
      </c>
      <c r="EN125" s="4">
        <f t="shared" si="16"/>
        <v>0</v>
      </c>
      <c r="EQ125" s="4">
        <f t="shared" si="17"/>
        <v>0</v>
      </c>
      <c r="ET125" s="4">
        <f t="shared" si="18"/>
        <v>0</v>
      </c>
      <c r="EU125" s="4" t="str">
        <f t="shared" si="19"/>
        <v>ORDINARIO</v>
      </c>
    </row>
    <row r="126" spans="1:151" x14ac:dyDescent="0.3">
      <c r="A126">
        <v>124</v>
      </c>
      <c r="AR126" s="4">
        <f t="shared" si="13"/>
        <v>0</v>
      </c>
      <c r="BS126" s="4">
        <f t="shared" si="14"/>
        <v>0</v>
      </c>
      <c r="EK126" s="4">
        <f t="shared" si="15"/>
        <v>0</v>
      </c>
      <c r="EN126" s="4">
        <f t="shared" si="16"/>
        <v>0</v>
      </c>
      <c r="EQ126" s="4">
        <f t="shared" si="17"/>
        <v>0</v>
      </c>
      <c r="ET126" s="4">
        <f t="shared" si="18"/>
        <v>0</v>
      </c>
      <c r="EU126" s="4" t="str">
        <f t="shared" si="19"/>
        <v>ORDINARIO</v>
      </c>
    </row>
    <row r="127" spans="1:151" x14ac:dyDescent="0.3">
      <c r="A127">
        <v>125</v>
      </c>
      <c r="AR127" s="4">
        <f t="shared" si="13"/>
        <v>0</v>
      </c>
      <c r="BS127" s="4">
        <f t="shared" si="14"/>
        <v>0</v>
      </c>
      <c r="EK127" s="4">
        <f t="shared" si="15"/>
        <v>0</v>
      </c>
      <c r="EN127" s="4">
        <f t="shared" si="16"/>
        <v>0</v>
      </c>
      <c r="EQ127" s="4">
        <f t="shared" si="17"/>
        <v>0</v>
      </c>
      <c r="ET127" s="4">
        <f t="shared" si="18"/>
        <v>0</v>
      </c>
      <c r="EU127" s="4" t="str">
        <f t="shared" si="19"/>
        <v>ORDINARIO</v>
      </c>
    </row>
    <row r="128" spans="1:151" x14ac:dyDescent="0.3">
      <c r="A128">
        <v>126</v>
      </c>
      <c r="AR128" s="4">
        <f t="shared" si="13"/>
        <v>0</v>
      </c>
      <c r="BS128" s="4">
        <f t="shared" si="14"/>
        <v>0</v>
      </c>
      <c r="EK128" s="4">
        <f t="shared" si="15"/>
        <v>0</v>
      </c>
      <c r="EN128" s="4">
        <f t="shared" si="16"/>
        <v>0</v>
      </c>
      <c r="EQ128" s="4">
        <f t="shared" si="17"/>
        <v>0</v>
      </c>
      <c r="ET128" s="4">
        <f t="shared" si="18"/>
        <v>0</v>
      </c>
      <c r="EU128" s="4" t="str">
        <f t="shared" si="19"/>
        <v>ORDINARIO</v>
      </c>
    </row>
    <row r="129" spans="1:151" x14ac:dyDescent="0.3">
      <c r="A129">
        <v>127</v>
      </c>
      <c r="AR129" s="4">
        <f t="shared" ref="AR129:AR192" si="20">+AS129+AU129+BE129+BL129+BM129+BN129+BO129+BP129+BQ129+CD129</f>
        <v>0</v>
      </c>
      <c r="BS129" s="4">
        <f t="shared" ref="BS129:BS192" si="21">+BT129+BV129+BW129+BX129+BY129</f>
        <v>0</v>
      </c>
      <c r="EK129" s="4">
        <f t="shared" ref="EK129:EK192" si="22">+EJ129/3000</f>
        <v>0</v>
      </c>
      <c r="EN129" s="4">
        <f t="shared" ref="EN129:EN192" si="23">+EM129/1400</f>
        <v>0</v>
      </c>
      <c r="EQ129" s="4">
        <f t="shared" ref="EQ129:EQ192" si="24">+EP129/2000</f>
        <v>0</v>
      </c>
      <c r="ET129" s="4">
        <f t="shared" ref="ET129:ET192" si="25">+ES129/15000</f>
        <v>0</v>
      </c>
      <c r="EU129" s="4" t="str">
        <f t="shared" ref="EU129:EU192" si="26">+IF((EK129+EN129+EQ129+ET129)&gt;=1,"ALTO","ORDINARIO")</f>
        <v>ORDINARIO</v>
      </c>
    </row>
    <row r="130" spans="1:151" x14ac:dyDescent="0.3">
      <c r="A130">
        <v>128</v>
      </c>
      <c r="AR130" s="4">
        <f t="shared" si="20"/>
        <v>0</v>
      </c>
      <c r="BS130" s="4">
        <f t="shared" si="21"/>
        <v>0</v>
      </c>
      <c r="EK130" s="4">
        <f t="shared" si="22"/>
        <v>0</v>
      </c>
      <c r="EN130" s="4">
        <f t="shared" si="23"/>
        <v>0</v>
      </c>
      <c r="EQ130" s="4">
        <f t="shared" si="24"/>
        <v>0</v>
      </c>
      <c r="ET130" s="4">
        <f t="shared" si="25"/>
        <v>0</v>
      </c>
      <c r="EU130" s="4" t="str">
        <f t="shared" si="26"/>
        <v>ORDINARIO</v>
      </c>
    </row>
    <row r="131" spans="1:151" x14ac:dyDescent="0.3">
      <c r="A131">
        <v>129</v>
      </c>
      <c r="AR131" s="4">
        <f t="shared" si="20"/>
        <v>0</v>
      </c>
      <c r="BS131" s="4">
        <f t="shared" si="21"/>
        <v>0</v>
      </c>
      <c r="EK131" s="4">
        <f t="shared" si="22"/>
        <v>0</v>
      </c>
      <c r="EN131" s="4">
        <f t="shared" si="23"/>
        <v>0</v>
      </c>
      <c r="EQ131" s="4">
        <f t="shared" si="24"/>
        <v>0</v>
      </c>
      <c r="ET131" s="4">
        <f t="shared" si="25"/>
        <v>0</v>
      </c>
      <c r="EU131" s="4" t="str">
        <f t="shared" si="26"/>
        <v>ORDINARIO</v>
      </c>
    </row>
    <row r="132" spans="1:151" x14ac:dyDescent="0.3">
      <c r="A132">
        <v>130</v>
      </c>
      <c r="AR132" s="4">
        <f t="shared" si="20"/>
        <v>0</v>
      </c>
      <c r="BS132" s="4">
        <f t="shared" si="21"/>
        <v>0</v>
      </c>
      <c r="EK132" s="4">
        <f t="shared" si="22"/>
        <v>0</v>
      </c>
      <c r="EN132" s="4">
        <f t="shared" si="23"/>
        <v>0</v>
      </c>
      <c r="EQ132" s="4">
        <f t="shared" si="24"/>
        <v>0</v>
      </c>
      <c r="ET132" s="4">
        <f t="shared" si="25"/>
        <v>0</v>
      </c>
      <c r="EU132" s="4" t="str">
        <f t="shared" si="26"/>
        <v>ORDINARIO</v>
      </c>
    </row>
    <row r="133" spans="1:151" x14ac:dyDescent="0.3">
      <c r="A133">
        <v>131</v>
      </c>
      <c r="AR133" s="4">
        <f t="shared" si="20"/>
        <v>0</v>
      </c>
      <c r="BS133" s="4">
        <f t="shared" si="21"/>
        <v>0</v>
      </c>
      <c r="EK133" s="4">
        <f t="shared" si="22"/>
        <v>0</v>
      </c>
      <c r="EN133" s="4">
        <f t="shared" si="23"/>
        <v>0</v>
      </c>
      <c r="EQ133" s="4">
        <f t="shared" si="24"/>
        <v>0</v>
      </c>
      <c r="ET133" s="4">
        <f t="shared" si="25"/>
        <v>0</v>
      </c>
      <c r="EU133" s="4" t="str">
        <f t="shared" si="26"/>
        <v>ORDINARIO</v>
      </c>
    </row>
    <row r="134" spans="1:151" x14ac:dyDescent="0.3">
      <c r="A134">
        <v>132</v>
      </c>
      <c r="AR134" s="4">
        <f t="shared" si="20"/>
        <v>0</v>
      </c>
      <c r="BS134" s="4">
        <f t="shared" si="21"/>
        <v>0</v>
      </c>
      <c r="EK134" s="4">
        <f t="shared" si="22"/>
        <v>0</v>
      </c>
      <c r="EN134" s="4">
        <f t="shared" si="23"/>
        <v>0</v>
      </c>
      <c r="EQ134" s="4">
        <f t="shared" si="24"/>
        <v>0</v>
      </c>
      <c r="ET134" s="4">
        <f t="shared" si="25"/>
        <v>0</v>
      </c>
      <c r="EU134" s="4" t="str">
        <f t="shared" si="26"/>
        <v>ORDINARIO</v>
      </c>
    </row>
    <row r="135" spans="1:151" x14ac:dyDescent="0.3">
      <c r="A135">
        <v>133</v>
      </c>
      <c r="AR135" s="4">
        <f t="shared" si="20"/>
        <v>0</v>
      </c>
      <c r="BS135" s="4">
        <f t="shared" si="21"/>
        <v>0</v>
      </c>
      <c r="EK135" s="4">
        <f t="shared" si="22"/>
        <v>0</v>
      </c>
      <c r="EN135" s="4">
        <f t="shared" si="23"/>
        <v>0</v>
      </c>
      <c r="EQ135" s="4">
        <f t="shared" si="24"/>
        <v>0</v>
      </c>
      <c r="ET135" s="4">
        <f t="shared" si="25"/>
        <v>0</v>
      </c>
      <c r="EU135" s="4" t="str">
        <f t="shared" si="26"/>
        <v>ORDINARIO</v>
      </c>
    </row>
    <row r="136" spans="1:151" x14ac:dyDescent="0.3">
      <c r="A136">
        <v>134</v>
      </c>
      <c r="AR136" s="4">
        <f t="shared" si="20"/>
        <v>0</v>
      </c>
      <c r="BS136" s="4">
        <f t="shared" si="21"/>
        <v>0</v>
      </c>
      <c r="EK136" s="4">
        <f t="shared" si="22"/>
        <v>0</v>
      </c>
      <c r="EN136" s="4">
        <f t="shared" si="23"/>
        <v>0</v>
      </c>
      <c r="EQ136" s="4">
        <f t="shared" si="24"/>
        <v>0</v>
      </c>
      <c r="ET136" s="4">
        <f t="shared" si="25"/>
        <v>0</v>
      </c>
      <c r="EU136" s="4" t="str">
        <f t="shared" si="26"/>
        <v>ORDINARIO</v>
      </c>
    </row>
    <row r="137" spans="1:151" x14ac:dyDescent="0.3">
      <c r="A137">
        <v>135</v>
      </c>
      <c r="AR137" s="4">
        <f t="shared" si="20"/>
        <v>0</v>
      </c>
      <c r="BS137" s="4">
        <f t="shared" si="21"/>
        <v>0</v>
      </c>
      <c r="EK137" s="4">
        <f t="shared" si="22"/>
        <v>0</v>
      </c>
      <c r="EN137" s="4">
        <f t="shared" si="23"/>
        <v>0</v>
      </c>
      <c r="EQ137" s="4">
        <f t="shared" si="24"/>
        <v>0</v>
      </c>
      <c r="ET137" s="4">
        <f t="shared" si="25"/>
        <v>0</v>
      </c>
      <c r="EU137" s="4" t="str">
        <f t="shared" si="26"/>
        <v>ORDINARIO</v>
      </c>
    </row>
    <row r="138" spans="1:151" x14ac:dyDescent="0.3">
      <c r="A138">
        <v>136</v>
      </c>
      <c r="AR138" s="4">
        <f t="shared" si="20"/>
        <v>0</v>
      </c>
      <c r="BS138" s="4">
        <f t="shared" si="21"/>
        <v>0</v>
      </c>
      <c r="EK138" s="4">
        <f t="shared" si="22"/>
        <v>0</v>
      </c>
      <c r="EN138" s="4">
        <f t="shared" si="23"/>
        <v>0</v>
      </c>
      <c r="EQ138" s="4">
        <f t="shared" si="24"/>
        <v>0</v>
      </c>
      <c r="ET138" s="4">
        <f t="shared" si="25"/>
        <v>0</v>
      </c>
      <c r="EU138" s="4" t="str">
        <f t="shared" si="26"/>
        <v>ORDINARIO</v>
      </c>
    </row>
    <row r="139" spans="1:151" x14ac:dyDescent="0.3">
      <c r="A139">
        <v>137</v>
      </c>
      <c r="AR139" s="4">
        <f t="shared" si="20"/>
        <v>0</v>
      </c>
      <c r="BS139" s="4">
        <f t="shared" si="21"/>
        <v>0</v>
      </c>
      <c r="EK139" s="4">
        <f t="shared" si="22"/>
        <v>0</v>
      </c>
      <c r="EN139" s="4">
        <f t="shared" si="23"/>
        <v>0</v>
      </c>
      <c r="EQ139" s="4">
        <f t="shared" si="24"/>
        <v>0</v>
      </c>
      <c r="ET139" s="4">
        <f t="shared" si="25"/>
        <v>0</v>
      </c>
      <c r="EU139" s="4" t="str">
        <f t="shared" si="26"/>
        <v>ORDINARIO</v>
      </c>
    </row>
    <row r="140" spans="1:151" x14ac:dyDescent="0.3">
      <c r="A140">
        <v>138</v>
      </c>
      <c r="AR140" s="4">
        <f t="shared" si="20"/>
        <v>0</v>
      </c>
      <c r="BS140" s="4">
        <f t="shared" si="21"/>
        <v>0</v>
      </c>
      <c r="EK140" s="4">
        <f t="shared" si="22"/>
        <v>0</v>
      </c>
      <c r="EN140" s="4">
        <f t="shared" si="23"/>
        <v>0</v>
      </c>
      <c r="EQ140" s="4">
        <f t="shared" si="24"/>
        <v>0</v>
      </c>
      <c r="ET140" s="4">
        <f t="shared" si="25"/>
        <v>0</v>
      </c>
      <c r="EU140" s="4" t="str">
        <f t="shared" si="26"/>
        <v>ORDINARIO</v>
      </c>
    </row>
    <row r="141" spans="1:151" x14ac:dyDescent="0.3">
      <c r="A141">
        <v>139</v>
      </c>
      <c r="AR141" s="4">
        <f t="shared" si="20"/>
        <v>0</v>
      </c>
      <c r="BS141" s="4">
        <f t="shared" si="21"/>
        <v>0</v>
      </c>
      <c r="EK141" s="4">
        <f t="shared" si="22"/>
        <v>0</v>
      </c>
      <c r="EN141" s="4">
        <f t="shared" si="23"/>
        <v>0</v>
      </c>
      <c r="EQ141" s="4">
        <f t="shared" si="24"/>
        <v>0</v>
      </c>
      <c r="ET141" s="4">
        <f t="shared" si="25"/>
        <v>0</v>
      </c>
      <c r="EU141" s="4" t="str">
        <f t="shared" si="26"/>
        <v>ORDINARIO</v>
      </c>
    </row>
    <row r="142" spans="1:151" x14ac:dyDescent="0.3">
      <c r="A142">
        <v>140</v>
      </c>
      <c r="AR142" s="4">
        <f t="shared" si="20"/>
        <v>0</v>
      </c>
      <c r="BS142" s="4">
        <f t="shared" si="21"/>
        <v>0</v>
      </c>
      <c r="EK142" s="4">
        <f t="shared" si="22"/>
        <v>0</v>
      </c>
      <c r="EN142" s="4">
        <f t="shared" si="23"/>
        <v>0</v>
      </c>
      <c r="EQ142" s="4">
        <f t="shared" si="24"/>
        <v>0</v>
      </c>
      <c r="ET142" s="4">
        <f t="shared" si="25"/>
        <v>0</v>
      </c>
      <c r="EU142" s="4" t="str">
        <f t="shared" si="26"/>
        <v>ORDINARIO</v>
      </c>
    </row>
    <row r="143" spans="1:151" x14ac:dyDescent="0.3">
      <c r="A143">
        <v>141</v>
      </c>
      <c r="AR143" s="4">
        <f t="shared" si="20"/>
        <v>0</v>
      </c>
      <c r="BS143" s="4">
        <f t="shared" si="21"/>
        <v>0</v>
      </c>
      <c r="EK143" s="4">
        <f t="shared" si="22"/>
        <v>0</v>
      </c>
      <c r="EN143" s="4">
        <f t="shared" si="23"/>
        <v>0</v>
      </c>
      <c r="EQ143" s="4">
        <f t="shared" si="24"/>
        <v>0</v>
      </c>
      <c r="ET143" s="4">
        <f t="shared" si="25"/>
        <v>0</v>
      </c>
      <c r="EU143" s="4" t="str">
        <f t="shared" si="26"/>
        <v>ORDINARIO</v>
      </c>
    </row>
    <row r="144" spans="1:151" x14ac:dyDescent="0.3">
      <c r="A144">
        <v>142</v>
      </c>
      <c r="AR144" s="4">
        <f t="shared" si="20"/>
        <v>0</v>
      </c>
      <c r="BS144" s="4">
        <f t="shared" si="21"/>
        <v>0</v>
      </c>
      <c r="EK144" s="4">
        <f t="shared" si="22"/>
        <v>0</v>
      </c>
      <c r="EN144" s="4">
        <f t="shared" si="23"/>
        <v>0</v>
      </c>
      <c r="EQ144" s="4">
        <f t="shared" si="24"/>
        <v>0</v>
      </c>
      <c r="ET144" s="4">
        <f t="shared" si="25"/>
        <v>0</v>
      </c>
      <c r="EU144" s="4" t="str">
        <f t="shared" si="26"/>
        <v>ORDINARIO</v>
      </c>
    </row>
    <row r="145" spans="1:151" x14ac:dyDescent="0.3">
      <c r="A145">
        <v>143</v>
      </c>
      <c r="AR145" s="4">
        <f t="shared" si="20"/>
        <v>0</v>
      </c>
      <c r="BS145" s="4">
        <f t="shared" si="21"/>
        <v>0</v>
      </c>
      <c r="EK145" s="4">
        <f t="shared" si="22"/>
        <v>0</v>
      </c>
      <c r="EN145" s="4">
        <f t="shared" si="23"/>
        <v>0</v>
      </c>
      <c r="EQ145" s="4">
        <f t="shared" si="24"/>
        <v>0</v>
      </c>
      <c r="ET145" s="4">
        <f t="shared" si="25"/>
        <v>0</v>
      </c>
      <c r="EU145" s="4" t="str">
        <f t="shared" si="26"/>
        <v>ORDINARIO</v>
      </c>
    </row>
    <row r="146" spans="1:151" x14ac:dyDescent="0.3">
      <c r="A146">
        <v>144</v>
      </c>
      <c r="AR146" s="4">
        <f t="shared" si="20"/>
        <v>0</v>
      </c>
      <c r="BS146" s="4">
        <f t="shared" si="21"/>
        <v>0</v>
      </c>
      <c r="EK146" s="4">
        <f t="shared" si="22"/>
        <v>0</v>
      </c>
      <c r="EN146" s="4">
        <f t="shared" si="23"/>
        <v>0</v>
      </c>
      <c r="EQ146" s="4">
        <f t="shared" si="24"/>
        <v>0</v>
      </c>
      <c r="ET146" s="4">
        <f t="shared" si="25"/>
        <v>0</v>
      </c>
      <c r="EU146" s="4" t="str">
        <f t="shared" si="26"/>
        <v>ORDINARIO</v>
      </c>
    </row>
    <row r="147" spans="1:151" x14ac:dyDescent="0.3">
      <c r="A147">
        <v>145</v>
      </c>
      <c r="AR147" s="4">
        <f t="shared" si="20"/>
        <v>0</v>
      </c>
      <c r="BS147" s="4">
        <f t="shared" si="21"/>
        <v>0</v>
      </c>
      <c r="EK147" s="4">
        <f t="shared" si="22"/>
        <v>0</v>
      </c>
      <c r="EN147" s="4">
        <f t="shared" si="23"/>
        <v>0</v>
      </c>
      <c r="EQ147" s="4">
        <f t="shared" si="24"/>
        <v>0</v>
      </c>
      <c r="ET147" s="4">
        <f t="shared" si="25"/>
        <v>0</v>
      </c>
      <c r="EU147" s="4" t="str">
        <f t="shared" si="26"/>
        <v>ORDINARIO</v>
      </c>
    </row>
    <row r="148" spans="1:151" x14ac:dyDescent="0.3">
      <c r="A148">
        <v>146</v>
      </c>
      <c r="AR148" s="4">
        <f t="shared" si="20"/>
        <v>0</v>
      </c>
      <c r="BS148" s="4">
        <f t="shared" si="21"/>
        <v>0</v>
      </c>
      <c r="EK148" s="4">
        <f t="shared" si="22"/>
        <v>0</v>
      </c>
      <c r="EN148" s="4">
        <f t="shared" si="23"/>
        <v>0</v>
      </c>
      <c r="EQ148" s="4">
        <f t="shared" si="24"/>
        <v>0</v>
      </c>
      <c r="ET148" s="4">
        <f t="shared" si="25"/>
        <v>0</v>
      </c>
      <c r="EU148" s="4" t="str">
        <f t="shared" si="26"/>
        <v>ORDINARIO</v>
      </c>
    </row>
    <row r="149" spans="1:151" x14ac:dyDescent="0.3">
      <c r="A149">
        <v>147</v>
      </c>
      <c r="AR149" s="4">
        <f t="shared" si="20"/>
        <v>0</v>
      </c>
      <c r="BS149" s="4">
        <f t="shared" si="21"/>
        <v>0</v>
      </c>
      <c r="EK149" s="4">
        <f t="shared" si="22"/>
        <v>0</v>
      </c>
      <c r="EN149" s="4">
        <f t="shared" si="23"/>
        <v>0</v>
      </c>
      <c r="EQ149" s="4">
        <f t="shared" si="24"/>
        <v>0</v>
      </c>
      <c r="ET149" s="4">
        <f t="shared" si="25"/>
        <v>0</v>
      </c>
      <c r="EU149" s="4" t="str">
        <f t="shared" si="26"/>
        <v>ORDINARIO</v>
      </c>
    </row>
    <row r="150" spans="1:151" x14ac:dyDescent="0.3">
      <c r="A150">
        <v>148</v>
      </c>
      <c r="AR150" s="4">
        <f t="shared" si="20"/>
        <v>0</v>
      </c>
      <c r="BS150" s="4">
        <f t="shared" si="21"/>
        <v>0</v>
      </c>
      <c r="EK150" s="4">
        <f t="shared" si="22"/>
        <v>0</v>
      </c>
      <c r="EN150" s="4">
        <f t="shared" si="23"/>
        <v>0</v>
      </c>
      <c r="EQ150" s="4">
        <f t="shared" si="24"/>
        <v>0</v>
      </c>
      <c r="ET150" s="4">
        <f t="shared" si="25"/>
        <v>0</v>
      </c>
      <c r="EU150" s="4" t="str">
        <f t="shared" si="26"/>
        <v>ORDINARIO</v>
      </c>
    </row>
    <row r="151" spans="1:151" x14ac:dyDescent="0.3">
      <c r="A151">
        <v>149</v>
      </c>
      <c r="AR151" s="4">
        <f t="shared" si="20"/>
        <v>0</v>
      </c>
      <c r="BS151" s="4">
        <f t="shared" si="21"/>
        <v>0</v>
      </c>
      <c r="EK151" s="4">
        <f t="shared" si="22"/>
        <v>0</v>
      </c>
      <c r="EN151" s="4">
        <f t="shared" si="23"/>
        <v>0</v>
      </c>
      <c r="EQ151" s="4">
        <f t="shared" si="24"/>
        <v>0</v>
      </c>
      <c r="ET151" s="4">
        <f t="shared" si="25"/>
        <v>0</v>
      </c>
      <c r="EU151" s="4" t="str">
        <f t="shared" si="26"/>
        <v>ORDINARIO</v>
      </c>
    </row>
    <row r="152" spans="1:151" x14ac:dyDescent="0.3">
      <c r="A152">
        <v>150</v>
      </c>
      <c r="AR152" s="4">
        <f t="shared" si="20"/>
        <v>0</v>
      </c>
      <c r="BS152" s="4">
        <f t="shared" si="21"/>
        <v>0</v>
      </c>
      <c r="EK152" s="4">
        <f t="shared" si="22"/>
        <v>0</v>
      </c>
      <c r="EN152" s="4">
        <f t="shared" si="23"/>
        <v>0</v>
      </c>
      <c r="EQ152" s="4">
        <f t="shared" si="24"/>
        <v>0</v>
      </c>
      <c r="ET152" s="4">
        <f t="shared" si="25"/>
        <v>0</v>
      </c>
      <c r="EU152" s="4" t="str">
        <f t="shared" si="26"/>
        <v>ORDINARIO</v>
      </c>
    </row>
    <row r="153" spans="1:151" x14ac:dyDescent="0.3">
      <c r="A153">
        <v>151</v>
      </c>
      <c r="AR153" s="4">
        <f t="shared" si="20"/>
        <v>0</v>
      </c>
      <c r="BS153" s="4">
        <f t="shared" si="21"/>
        <v>0</v>
      </c>
      <c r="EK153" s="4">
        <f t="shared" si="22"/>
        <v>0</v>
      </c>
      <c r="EN153" s="4">
        <f t="shared" si="23"/>
        <v>0</v>
      </c>
      <c r="EQ153" s="4">
        <f t="shared" si="24"/>
        <v>0</v>
      </c>
      <c r="ET153" s="4">
        <f t="shared" si="25"/>
        <v>0</v>
      </c>
      <c r="EU153" s="4" t="str">
        <f t="shared" si="26"/>
        <v>ORDINARIO</v>
      </c>
    </row>
    <row r="154" spans="1:151" x14ac:dyDescent="0.3">
      <c r="A154">
        <v>152</v>
      </c>
      <c r="AR154" s="4">
        <f t="shared" si="20"/>
        <v>0</v>
      </c>
      <c r="BS154" s="4">
        <f t="shared" si="21"/>
        <v>0</v>
      </c>
      <c r="EK154" s="4">
        <f t="shared" si="22"/>
        <v>0</v>
      </c>
      <c r="EN154" s="4">
        <f t="shared" si="23"/>
        <v>0</v>
      </c>
      <c r="EQ154" s="4">
        <f t="shared" si="24"/>
        <v>0</v>
      </c>
      <c r="ET154" s="4">
        <f t="shared" si="25"/>
        <v>0</v>
      </c>
      <c r="EU154" s="4" t="str">
        <f t="shared" si="26"/>
        <v>ORDINARIO</v>
      </c>
    </row>
    <row r="155" spans="1:151" x14ac:dyDescent="0.3">
      <c r="A155">
        <v>153</v>
      </c>
      <c r="AR155" s="4">
        <f t="shared" si="20"/>
        <v>0</v>
      </c>
      <c r="BS155" s="4">
        <f t="shared" si="21"/>
        <v>0</v>
      </c>
      <c r="EK155" s="4">
        <f t="shared" si="22"/>
        <v>0</v>
      </c>
      <c r="EN155" s="4">
        <f t="shared" si="23"/>
        <v>0</v>
      </c>
      <c r="EQ155" s="4">
        <f t="shared" si="24"/>
        <v>0</v>
      </c>
      <c r="ET155" s="4">
        <f t="shared" si="25"/>
        <v>0</v>
      </c>
      <c r="EU155" s="4" t="str">
        <f t="shared" si="26"/>
        <v>ORDINARIO</v>
      </c>
    </row>
    <row r="156" spans="1:151" x14ac:dyDescent="0.3">
      <c r="A156">
        <v>154</v>
      </c>
      <c r="AR156" s="4">
        <f t="shared" si="20"/>
        <v>0</v>
      </c>
      <c r="BS156" s="4">
        <f t="shared" si="21"/>
        <v>0</v>
      </c>
      <c r="EK156" s="4">
        <f t="shared" si="22"/>
        <v>0</v>
      </c>
      <c r="EN156" s="4">
        <f t="shared" si="23"/>
        <v>0</v>
      </c>
      <c r="EQ156" s="4">
        <f t="shared" si="24"/>
        <v>0</v>
      </c>
      <c r="ET156" s="4">
        <f t="shared" si="25"/>
        <v>0</v>
      </c>
      <c r="EU156" s="4" t="str">
        <f t="shared" si="26"/>
        <v>ORDINARIO</v>
      </c>
    </row>
    <row r="157" spans="1:151" x14ac:dyDescent="0.3">
      <c r="A157">
        <v>155</v>
      </c>
      <c r="AR157" s="4">
        <f t="shared" si="20"/>
        <v>0</v>
      </c>
      <c r="BS157" s="4">
        <f t="shared" si="21"/>
        <v>0</v>
      </c>
      <c r="EK157" s="4">
        <f t="shared" si="22"/>
        <v>0</v>
      </c>
      <c r="EN157" s="4">
        <f t="shared" si="23"/>
        <v>0</v>
      </c>
      <c r="EQ157" s="4">
        <f t="shared" si="24"/>
        <v>0</v>
      </c>
      <c r="ET157" s="4">
        <f t="shared" si="25"/>
        <v>0</v>
      </c>
      <c r="EU157" s="4" t="str">
        <f t="shared" si="26"/>
        <v>ORDINARIO</v>
      </c>
    </row>
    <row r="158" spans="1:151" x14ac:dyDescent="0.3">
      <c r="A158">
        <v>156</v>
      </c>
      <c r="AR158" s="4">
        <f t="shared" si="20"/>
        <v>0</v>
      </c>
      <c r="BS158" s="4">
        <f t="shared" si="21"/>
        <v>0</v>
      </c>
      <c r="EK158" s="4">
        <f t="shared" si="22"/>
        <v>0</v>
      </c>
      <c r="EN158" s="4">
        <f t="shared" si="23"/>
        <v>0</v>
      </c>
      <c r="EQ158" s="4">
        <f t="shared" si="24"/>
        <v>0</v>
      </c>
      <c r="ET158" s="4">
        <f t="shared" si="25"/>
        <v>0</v>
      </c>
      <c r="EU158" s="4" t="str">
        <f t="shared" si="26"/>
        <v>ORDINARIO</v>
      </c>
    </row>
    <row r="159" spans="1:151" x14ac:dyDescent="0.3">
      <c r="A159">
        <v>157</v>
      </c>
      <c r="AR159" s="4">
        <f t="shared" si="20"/>
        <v>0</v>
      </c>
      <c r="BS159" s="4">
        <f t="shared" si="21"/>
        <v>0</v>
      </c>
      <c r="EK159" s="4">
        <f t="shared" si="22"/>
        <v>0</v>
      </c>
      <c r="EN159" s="4">
        <f t="shared" si="23"/>
        <v>0</v>
      </c>
      <c r="EQ159" s="4">
        <f t="shared" si="24"/>
        <v>0</v>
      </c>
      <c r="ET159" s="4">
        <f t="shared" si="25"/>
        <v>0</v>
      </c>
      <c r="EU159" s="4" t="str">
        <f t="shared" si="26"/>
        <v>ORDINARIO</v>
      </c>
    </row>
    <row r="160" spans="1:151" x14ac:dyDescent="0.3">
      <c r="A160">
        <v>158</v>
      </c>
      <c r="AR160" s="4">
        <f t="shared" si="20"/>
        <v>0</v>
      </c>
      <c r="BS160" s="4">
        <f t="shared" si="21"/>
        <v>0</v>
      </c>
      <c r="EK160" s="4">
        <f t="shared" si="22"/>
        <v>0</v>
      </c>
      <c r="EN160" s="4">
        <f t="shared" si="23"/>
        <v>0</v>
      </c>
      <c r="EQ160" s="4">
        <f t="shared" si="24"/>
        <v>0</v>
      </c>
      <c r="ET160" s="4">
        <f t="shared" si="25"/>
        <v>0</v>
      </c>
      <c r="EU160" s="4" t="str">
        <f t="shared" si="26"/>
        <v>ORDINARIO</v>
      </c>
    </row>
    <row r="161" spans="1:151" x14ac:dyDescent="0.3">
      <c r="A161">
        <v>159</v>
      </c>
      <c r="AR161" s="4">
        <f t="shared" si="20"/>
        <v>0</v>
      </c>
      <c r="BS161" s="4">
        <f t="shared" si="21"/>
        <v>0</v>
      </c>
      <c r="EK161" s="4">
        <f t="shared" si="22"/>
        <v>0</v>
      </c>
      <c r="EN161" s="4">
        <f t="shared" si="23"/>
        <v>0</v>
      </c>
      <c r="EQ161" s="4">
        <f t="shared" si="24"/>
        <v>0</v>
      </c>
      <c r="ET161" s="4">
        <f t="shared" si="25"/>
        <v>0</v>
      </c>
      <c r="EU161" s="4" t="str">
        <f t="shared" si="26"/>
        <v>ORDINARIO</v>
      </c>
    </row>
    <row r="162" spans="1:151" x14ac:dyDescent="0.3">
      <c r="A162">
        <v>160</v>
      </c>
      <c r="AR162" s="4">
        <f t="shared" si="20"/>
        <v>0</v>
      </c>
      <c r="BS162" s="4">
        <f t="shared" si="21"/>
        <v>0</v>
      </c>
      <c r="EK162" s="4">
        <f t="shared" si="22"/>
        <v>0</v>
      </c>
      <c r="EN162" s="4">
        <f t="shared" si="23"/>
        <v>0</v>
      </c>
      <c r="EQ162" s="4">
        <f t="shared" si="24"/>
        <v>0</v>
      </c>
      <c r="ET162" s="4">
        <f t="shared" si="25"/>
        <v>0</v>
      </c>
      <c r="EU162" s="4" t="str">
        <f t="shared" si="26"/>
        <v>ORDINARIO</v>
      </c>
    </row>
    <row r="163" spans="1:151" x14ac:dyDescent="0.3">
      <c r="A163">
        <v>161</v>
      </c>
      <c r="AR163" s="4">
        <f t="shared" si="20"/>
        <v>0</v>
      </c>
      <c r="BS163" s="4">
        <f t="shared" si="21"/>
        <v>0</v>
      </c>
      <c r="EK163" s="4">
        <f t="shared" si="22"/>
        <v>0</v>
      </c>
      <c r="EN163" s="4">
        <f t="shared" si="23"/>
        <v>0</v>
      </c>
      <c r="EQ163" s="4">
        <f t="shared" si="24"/>
        <v>0</v>
      </c>
      <c r="ET163" s="4">
        <f t="shared" si="25"/>
        <v>0</v>
      </c>
      <c r="EU163" s="4" t="str">
        <f t="shared" si="26"/>
        <v>ORDINARIO</v>
      </c>
    </row>
    <row r="164" spans="1:151" x14ac:dyDescent="0.3">
      <c r="A164">
        <v>162</v>
      </c>
      <c r="AR164" s="4">
        <f t="shared" si="20"/>
        <v>0</v>
      </c>
      <c r="BS164" s="4">
        <f t="shared" si="21"/>
        <v>0</v>
      </c>
      <c r="EK164" s="4">
        <f t="shared" si="22"/>
        <v>0</v>
      </c>
      <c r="EN164" s="4">
        <f t="shared" si="23"/>
        <v>0</v>
      </c>
      <c r="EQ164" s="4">
        <f t="shared" si="24"/>
        <v>0</v>
      </c>
      <c r="ET164" s="4">
        <f t="shared" si="25"/>
        <v>0</v>
      </c>
      <c r="EU164" s="4" t="str">
        <f t="shared" si="26"/>
        <v>ORDINARIO</v>
      </c>
    </row>
    <row r="165" spans="1:151" x14ac:dyDescent="0.3">
      <c r="A165">
        <v>163</v>
      </c>
      <c r="AR165" s="4">
        <f t="shared" si="20"/>
        <v>0</v>
      </c>
      <c r="BS165" s="4">
        <f t="shared" si="21"/>
        <v>0</v>
      </c>
      <c r="EK165" s="4">
        <f t="shared" si="22"/>
        <v>0</v>
      </c>
      <c r="EN165" s="4">
        <f t="shared" si="23"/>
        <v>0</v>
      </c>
      <c r="EQ165" s="4">
        <f t="shared" si="24"/>
        <v>0</v>
      </c>
      <c r="ET165" s="4">
        <f t="shared" si="25"/>
        <v>0</v>
      </c>
      <c r="EU165" s="4" t="str">
        <f t="shared" si="26"/>
        <v>ORDINARIO</v>
      </c>
    </row>
    <row r="166" spans="1:151" x14ac:dyDescent="0.3">
      <c r="A166">
        <v>164</v>
      </c>
      <c r="AR166" s="4">
        <f t="shared" si="20"/>
        <v>0</v>
      </c>
      <c r="BS166" s="4">
        <f t="shared" si="21"/>
        <v>0</v>
      </c>
      <c r="EK166" s="4">
        <f t="shared" si="22"/>
        <v>0</v>
      </c>
      <c r="EN166" s="4">
        <f t="shared" si="23"/>
        <v>0</v>
      </c>
      <c r="EQ166" s="4">
        <f t="shared" si="24"/>
        <v>0</v>
      </c>
      <c r="ET166" s="4">
        <f t="shared" si="25"/>
        <v>0</v>
      </c>
      <c r="EU166" s="4" t="str">
        <f t="shared" si="26"/>
        <v>ORDINARIO</v>
      </c>
    </row>
    <row r="167" spans="1:151" x14ac:dyDescent="0.3">
      <c r="A167">
        <v>165</v>
      </c>
      <c r="AR167" s="4">
        <f t="shared" si="20"/>
        <v>0</v>
      </c>
      <c r="BS167" s="4">
        <f t="shared" si="21"/>
        <v>0</v>
      </c>
      <c r="EK167" s="4">
        <f t="shared" si="22"/>
        <v>0</v>
      </c>
      <c r="EN167" s="4">
        <f t="shared" si="23"/>
        <v>0</v>
      </c>
      <c r="EQ167" s="4">
        <f t="shared" si="24"/>
        <v>0</v>
      </c>
      <c r="ET167" s="4">
        <f t="shared" si="25"/>
        <v>0</v>
      </c>
      <c r="EU167" s="4" t="str">
        <f t="shared" si="26"/>
        <v>ORDINARIO</v>
      </c>
    </row>
    <row r="168" spans="1:151" x14ac:dyDescent="0.3">
      <c r="A168">
        <v>166</v>
      </c>
      <c r="AR168" s="4">
        <f t="shared" si="20"/>
        <v>0</v>
      </c>
      <c r="BS168" s="4">
        <f t="shared" si="21"/>
        <v>0</v>
      </c>
      <c r="EK168" s="4">
        <f t="shared" si="22"/>
        <v>0</v>
      </c>
      <c r="EN168" s="4">
        <f t="shared" si="23"/>
        <v>0</v>
      </c>
      <c r="EQ168" s="4">
        <f t="shared" si="24"/>
        <v>0</v>
      </c>
      <c r="ET168" s="4">
        <f t="shared" si="25"/>
        <v>0</v>
      </c>
      <c r="EU168" s="4" t="str">
        <f t="shared" si="26"/>
        <v>ORDINARIO</v>
      </c>
    </row>
    <row r="169" spans="1:151" x14ac:dyDescent="0.3">
      <c r="A169">
        <v>167</v>
      </c>
      <c r="AR169" s="4">
        <f t="shared" si="20"/>
        <v>0</v>
      </c>
      <c r="BS169" s="4">
        <f t="shared" si="21"/>
        <v>0</v>
      </c>
      <c r="EK169" s="4">
        <f t="shared" si="22"/>
        <v>0</v>
      </c>
      <c r="EN169" s="4">
        <f t="shared" si="23"/>
        <v>0</v>
      </c>
      <c r="EQ169" s="4">
        <f t="shared" si="24"/>
        <v>0</v>
      </c>
      <c r="ET169" s="4">
        <f t="shared" si="25"/>
        <v>0</v>
      </c>
      <c r="EU169" s="4" t="str">
        <f t="shared" si="26"/>
        <v>ORDINARIO</v>
      </c>
    </row>
    <row r="170" spans="1:151" x14ac:dyDescent="0.3">
      <c r="A170">
        <v>168</v>
      </c>
      <c r="AR170" s="4">
        <f t="shared" si="20"/>
        <v>0</v>
      </c>
      <c r="BS170" s="4">
        <f t="shared" si="21"/>
        <v>0</v>
      </c>
      <c r="EK170" s="4">
        <f t="shared" si="22"/>
        <v>0</v>
      </c>
      <c r="EN170" s="4">
        <f t="shared" si="23"/>
        <v>0</v>
      </c>
      <c r="EQ170" s="4">
        <f t="shared" si="24"/>
        <v>0</v>
      </c>
      <c r="ET170" s="4">
        <f t="shared" si="25"/>
        <v>0</v>
      </c>
      <c r="EU170" s="4" t="str">
        <f t="shared" si="26"/>
        <v>ORDINARIO</v>
      </c>
    </row>
    <row r="171" spans="1:151" x14ac:dyDescent="0.3">
      <c r="A171">
        <v>169</v>
      </c>
      <c r="AR171" s="4">
        <f t="shared" si="20"/>
        <v>0</v>
      </c>
      <c r="BS171" s="4">
        <f t="shared" si="21"/>
        <v>0</v>
      </c>
      <c r="EK171" s="4">
        <f t="shared" si="22"/>
        <v>0</v>
      </c>
      <c r="EN171" s="4">
        <f t="shared" si="23"/>
        <v>0</v>
      </c>
      <c r="EQ171" s="4">
        <f t="shared" si="24"/>
        <v>0</v>
      </c>
      <c r="ET171" s="4">
        <f t="shared" si="25"/>
        <v>0</v>
      </c>
      <c r="EU171" s="4" t="str">
        <f t="shared" si="26"/>
        <v>ORDINARIO</v>
      </c>
    </row>
    <row r="172" spans="1:151" x14ac:dyDescent="0.3">
      <c r="A172">
        <v>170</v>
      </c>
      <c r="AR172" s="4">
        <f t="shared" si="20"/>
        <v>0</v>
      </c>
      <c r="BS172" s="4">
        <f t="shared" si="21"/>
        <v>0</v>
      </c>
      <c r="EK172" s="4">
        <f t="shared" si="22"/>
        <v>0</v>
      </c>
      <c r="EN172" s="4">
        <f t="shared" si="23"/>
        <v>0</v>
      </c>
      <c r="EQ172" s="4">
        <f t="shared" si="24"/>
        <v>0</v>
      </c>
      <c r="ET172" s="4">
        <f t="shared" si="25"/>
        <v>0</v>
      </c>
      <c r="EU172" s="4" t="str">
        <f t="shared" si="26"/>
        <v>ORDINARIO</v>
      </c>
    </row>
    <row r="173" spans="1:151" x14ac:dyDescent="0.3">
      <c r="A173">
        <v>171</v>
      </c>
      <c r="AR173" s="4">
        <f t="shared" si="20"/>
        <v>0</v>
      </c>
      <c r="BS173" s="4">
        <f t="shared" si="21"/>
        <v>0</v>
      </c>
      <c r="EK173" s="4">
        <f t="shared" si="22"/>
        <v>0</v>
      </c>
      <c r="EN173" s="4">
        <f t="shared" si="23"/>
        <v>0</v>
      </c>
      <c r="EQ173" s="4">
        <f t="shared" si="24"/>
        <v>0</v>
      </c>
      <c r="ET173" s="4">
        <f t="shared" si="25"/>
        <v>0</v>
      </c>
      <c r="EU173" s="4" t="str">
        <f t="shared" si="26"/>
        <v>ORDINARIO</v>
      </c>
    </row>
    <row r="174" spans="1:151" x14ac:dyDescent="0.3">
      <c r="A174">
        <v>172</v>
      </c>
      <c r="AR174" s="4">
        <f t="shared" si="20"/>
        <v>0</v>
      </c>
      <c r="BS174" s="4">
        <f t="shared" si="21"/>
        <v>0</v>
      </c>
      <c r="EK174" s="4">
        <f t="shared" si="22"/>
        <v>0</v>
      </c>
      <c r="EN174" s="4">
        <f t="shared" si="23"/>
        <v>0</v>
      </c>
      <c r="EQ174" s="4">
        <f t="shared" si="24"/>
        <v>0</v>
      </c>
      <c r="ET174" s="4">
        <f t="shared" si="25"/>
        <v>0</v>
      </c>
      <c r="EU174" s="4" t="str">
        <f t="shared" si="26"/>
        <v>ORDINARIO</v>
      </c>
    </row>
    <row r="175" spans="1:151" x14ac:dyDescent="0.3">
      <c r="A175">
        <v>173</v>
      </c>
      <c r="AR175" s="4">
        <f t="shared" si="20"/>
        <v>0</v>
      </c>
      <c r="BS175" s="4">
        <f t="shared" si="21"/>
        <v>0</v>
      </c>
      <c r="EK175" s="4">
        <f t="shared" si="22"/>
        <v>0</v>
      </c>
      <c r="EN175" s="4">
        <f t="shared" si="23"/>
        <v>0</v>
      </c>
      <c r="EQ175" s="4">
        <f t="shared" si="24"/>
        <v>0</v>
      </c>
      <c r="ET175" s="4">
        <f t="shared" si="25"/>
        <v>0</v>
      </c>
      <c r="EU175" s="4" t="str">
        <f t="shared" si="26"/>
        <v>ORDINARIO</v>
      </c>
    </row>
    <row r="176" spans="1:151" x14ac:dyDescent="0.3">
      <c r="A176">
        <v>174</v>
      </c>
      <c r="AR176" s="4">
        <f t="shared" si="20"/>
        <v>0</v>
      </c>
      <c r="BS176" s="4">
        <f t="shared" si="21"/>
        <v>0</v>
      </c>
      <c r="EK176" s="4">
        <f t="shared" si="22"/>
        <v>0</v>
      </c>
      <c r="EN176" s="4">
        <f t="shared" si="23"/>
        <v>0</v>
      </c>
      <c r="EQ176" s="4">
        <f t="shared" si="24"/>
        <v>0</v>
      </c>
      <c r="ET176" s="4">
        <f t="shared" si="25"/>
        <v>0</v>
      </c>
      <c r="EU176" s="4" t="str">
        <f t="shared" si="26"/>
        <v>ORDINARIO</v>
      </c>
    </row>
    <row r="177" spans="1:151" x14ac:dyDescent="0.3">
      <c r="A177">
        <v>175</v>
      </c>
      <c r="AR177" s="4">
        <f t="shared" si="20"/>
        <v>0</v>
      </c>
      <c r="BS177" s="4">
        <f t="shared" si="21"/>
        <v>0</v>
      </c>
      <c r="EK177" s="4">
        <f t="shared" si="22"/>
        <v>0</v>
      </c>
      <c r="EN177" s="4">
        <f t="shared" si="23"/>
        <v>0</v>
      </c>
      <c r="EQ177" s="4">
        <f t="shared" si="24"/>
        <v>0</v>
      </c>
      <c r="ET177" s="4">
        <f t="shared" si="25"/>
        <v>0</v>
      </c>
      <c r="EU177" s="4" t="str">
        <f t="shared" si="26"/>
        <v>ORDINARIO</v>
      </c>
    </row>
    <row r="178" spans="1:151" x14ac:dyDescent="0.3">
      <c r="A178">
        <v>176</v>
      </c>
      <c r="AR178" s="4">
        <f t="shared" si="20"/>
        <v>0</v>
      </c>
      <c r="BS178" s="4">
        <f t="shared" si="21"/>
        <v>0</v>
      </c>
      <c r="EK178" s="4">
        <f t="shared" si="22"/>
        <v>0</v>
      </c>
      <c r="EN178" s="4">
        <f t="shared" si="23"/>
        <v>0</v>
      </c>
      <c r="EQ178" s="4">
        <f t="shared" si="24"/>
        <v>0</v>
      </c>
      <c r="ET178" s="4">
        <f t="shared" si="25"/>
        <v>0</v>
      </c>
      <c r="EU178" s="4" t="str">
        <f t="shared" si="26"/>
        <v>ORDINARIO</v>
      </c>
    </row>
    <row r="179" spans="1:151" x14ac:dyDescent="0.3">
      <c r="A179">
        <v>177</v>
      </c>
      <c r="AR179" s="4">
        <f t="shared" si="20"/>
        <v>0</v>
      </c>
      <c r="BS179" s="4">
        <f t="shared" si="21"/>
        <v>0</v>
      </c>
      <c r="EK179" s="4">
        <f t="shared" si="22"/>
        <v>0</v>
      </c>
      <c r="EN179" s="4">
        <f t="shared" si="23"/>
        <v>0</v>
      </c>
      <c r="EQ179" s="4">
        <f t="shared" si="24"/>
        <v>0</v>
      </c>
      <c r="ET179" s="4">
        <f t="shared" si="25"/>
        <v>0</v>
      </c>
      <c r="EU179" s="4" t="str">
        <f t="shared" si="26"/>
        <v>ORDINARIO</v>
      </c>
    </row>
    <row r="180" spans="1:151" x14ac:dyDescent="0.3">
      <c r="A180">
        <v>178</v>
      </c>
      <c r="AR180" s="4">
        <f t="shared" si="20"/>
        <v>0</v>
      </c>
      <c r="BS180" s="4">
        <f t="shared" si="21"/>
        <v>0</v>
      </c>
      <c r="EK180" s="4">
        <f t="shared" si="22"/>
        <v>0</v>
      </c>
      <c r="EN180" s="4">
        <f t="shared" si="23"/>
        <v>0</v>
      </c>
      <c r="EQ180" s="4">
        <f t="shared" si="24"/>
        <v>0</v>
      </c>
      <c r="ET180" s="4">
        <f t="shared" si="25"/>
        <v>0</v>
      </c>
      <c r="EU180" s="4" t="str">
        <f t="shared" si="26"/>
        <v>ORDINARIO</v>
      </c>
    </row>
    <row r="181" spans="1:151" x14ac:dyDescent="0.3">
      <c r="A181">
        <v>179</v>
      </c>
      <c r="AR181" s="4">
        <f t="shared" si="20"/>
        <v>0</v>
      </c>
      <c r="BS181" s="4">
        <f t="shared" si="21"/>
        <v>0</v>
      </c>
      <c r="EK181" s="4">
        <f t="shared" si="22"/>
        <v>0</v>
      </c>
      <c r="EN181" s="4">
        <f t="shared" si="23"/>
        <v>0</v>
      </c>
      <c r="EQ181" s="4">
        <f t="shared" si="24"/>
        <v>0</v>
      </c>
      <c r="ET181" s="4">
        <f t="shared" si="25"/>
        <v>0</v>
      </c>
      <c r="EU181" s="4" t="str">
        <f t="shared" si="26"/>
        <v>ORDINARIO</v>
      </c>
    </row>
    <row r="182" spans="1:151" x14ac:dyDescent="0.3">
      <c r="A182">
        <v>180</v>
      </c>
      <c r="AR182" s="4">
        <f t="shared" si="20"/>
        <v>0</v>
      </c>
      <c r="BS182" s="4">
        <f t="shared" si="21"/>
        <v>0</v>
      </c>
      <c r="EK182" s="4">
        <f t="shared" si="22"/>
        <v>0</v>
      </c>
      <c r="EN182" s="4">
        <f t="shared" si="23"/>
        <v>0</v>
      </c>
      <c r="EQ182" s="4">
        <f t="shared" si="24"/>
        <v>0</v>
      </c>
      <c r="ET182" s="4">
        <f t="shared" si="25"/>
        <v>0</v>
      </c>
      <c r="EU182" s="4" t="str">
        <f t="shared" si="26"/>
        <v>ORDINARIO</v>
      </c>
    </row>
    <row r="183" spans="1:151" x14ac:dyDescent="0.3">
      <c r="A183">
        <v>181</v>
      </c>
      <c r="AR183" s="4">
        <f t="shared" si="20"/>
        <v>0</v>
      </c>
      <c r="BS183" s="4">
        <f t="shared" si="21"/>
        <v>0</v>
      </c>
      <c r="EK183" s="4">
        <f t="shared" si="22"/>
        <v>0</v>
      </c>
      <c r="EN183" s="4">
        <f t="shared" si="23"/>
        <v>0</v>
      </c>
      <c r="EQ183" s="4">
        <f t="shared" si="24"/>
        <v>0</v>
      </c>
      <c r="ET183" s="4">
        <f t="shared" si="25"/>
        <v>0</v>
      </c>
      <c r="EU183" s="4" t="str">
        <f t="shared" si="26"/>
        <v>ORDINARIO</v>
      </c>
    </row>
    <row r="184" spans="1:151" x14ac:dyDescent="0.3">
      <c r="A184">
        <v>182</v>
      </c>
      <c r="AR184" s="4">
        <f t="shared" si="20"/>
        <v>0</v>
      </c>
      <c r="BS184" s="4">
        <f t="shared" si="21"/>
        <v>0</v>
      </c>
      <c r="EK184" s="4">
        <f t="shared" si="22"/>
        <v>0</v>
      </c>
      <c r="EN184" s="4">
        <f t="shared" si="23"/>
        <v>0</v>
      </c>
      <c r="EQ184" s="4">
        <f t="shared" si="24"/>
        <v>0</v>
      </c>
      <c r="ET184" s="4">
        <f t="shared" si="25"/>
        <v>0</v>
      </c>
      <c r="EU184" s="4" t="str">
        <f t="shared" si="26"/>
        <v>ORDINARIO</v>
      </c>
    </row>
    <row r="185" spans="1:151" x14ac:dyDescent="0.3">
      <c r="A185">
        <v>183</v>
      </c>
      <c r="AR185" s="4">
        <f t="shared" si="20"/>
        <v>0</v>
      </c>
      <c r="BS185" s="4">
        <f t="shared" si="21"/>
        <v>0</v>
      </c>
      <c r="EK185" s="4">
        <f t="shared" si="22"/>
        <v>0</v>
      </c>
      <c r="EN185" s="4">
        <f t="shared" si="23"/>
        <v>0</v>
      </c>
      <c r="EQ185" s="4">
        <f t="shared" si="24"/>
        <v>0</v>
      </c>
      <c r="ET185" s="4">
        <f t="shared" si="25"/>
        <v>0</v>
      </c>
      <c r="EU185" s="4" t="str">
        <f t="shared" si="26"/>
        <v>ORDINARIO</v>
      </c>
    </row>
    <row r="186" spans="1:151" x14ac:dyDescent="0.3">
      <c r="A186">
        <v>184</v>
      </c>
      <c r="AR186" s="4">
        <f t="shared" si="20"/>
        <v>0</v>
      </c>
      <c r="BS186" s="4">
        <f t="shared" si="21"/>
        <v>0</v>
      </c>
      <c r="EK186" s="4">
        <f t="shared" si="22"/>
        <v>0</v>
      </c>
      <c r="EN186" s="4">
        <f t="shared" si="23"/>
        <v>0</v>
      </c>
      <c r="EQ186" s="4">
        <f t="shared" si="24"/>
        <v>0</v>
      </c>
      <c r="ET186" s="4">
        <f t="shared" si="25"/>
        <v>0</v>
      </c>
      <c r="EU186" s="4" t="str">
        <f t="shared" si="26"/>
        <v>ORDINARIO</v>
      </c>
    </row>
    <row r="187" spans="1:151" x14ac:dyDescent="0.3">
      <c r="A187">
        <v>185</v>
      </c>
      <c r="AR187" s="4">
        <f t="shared" si="20"/>
        <v>0</v>
      </c>
      <c r="BS187" s="4">
        <f t="shared" si="21"/>
        <v>0</v>
      </c>
      <c r="EK187" s="4">
        <f t="shared" si="22"/>
        <v>0</v>
      </c>
      <c r="EN187" s="4">
        <f t="shared" si="23"/>
        <v>0</v>
      </c>
      <c r="EQ187" s="4">
        <f t="shared" si="24"/>
        <v>0</v>
      </c>
      <c r="ET187" s="4">
        <f t="shared" si="25"/>
        <v>0</v>
      </c>
      <c r="EU187" s="4" t="str">
        <f t="shared" si="26"/>
        <v>ORDINARIO</v>
      </c>
    </row>
    <row r="188" spans="1:151" x14ac:dyDescent="0.3">
      <c r="A188">
        <v>186</v>
      </c>
      <c r="AR188" s="4">
        <f t="shared" si="20"/>
        <v>0</v>
      </c>
      <c r="BS188" s="4">
        <f t="shared" si="21"/>
        <v>0</v>
      </c>
      <c r="EK188" s="4">
        <f t="shared" si="22"/>
        <v>0</v>
      </c>
      <c r="EN188" s="4">
        <f t="shared" si="23"/>
        <v>0</v>
      </c>
      <c r="EQ188" s="4">
        <f t="shared" si="24"/>
        <v>0</v>
      </c>
      <c r="ET188" s="4">
        <f t="shared" si="25"/>
        <v>0</v>
      </c>
      <c r="EU188" s="4" t="str">
        <f t="shared" si="26"/>
        <v>ORDINARIO</v>
      </c>
    </row>
    <row r="189" spans="1:151" x14ac:dyDescent="0.3">
      <c r="A189">
        <v>187</v>
      </c>
      <c r="AR189" s="4">
        <f t="shared" si="20"/>
        <v>0</v>
      </c>
      <c r="BS189" s="4">
        <f t="shared" si="21"/>
        <v>0</v>
      </c>
      <c r="EK189" s="4">
        <f t="shared" si="22"/>
        <v>0</v>
      </c>
      <c r="EN189" s="4">
        <f t="shared" si="23"/>
        <v>0</v>
      </c>
      <c r="EQ189" s="4">
        <f t="shared" si="24"/>
        <v>0</v>
      </c>
      <c r="ET189" s="4">
        <f t="shared" si="25"/>
        <v>0</v>
      </c>
      <c r="EU189" s="4" t="str">
        <f t="shared" si="26"/>
        <v>ORDINARIO</v>
      </c>
    </row>
    <row r="190" spans="1:151" x14ac:dyDescent="0.3">
      <c r="A190">
        <v>188</v>
      </c>
      <c r="AR190" s="4">
        <f t="shared" si="20"/>
        <v>0</v>
      </c>
      <c r="BS190" s="4">
        <f t="shared" si="21"/>
        <v>0</v>
      </c>
      <c r="EK190" s="4">
        <f t="shared" si="22"/>
        <v>0</v>
      </c>
      <c r="EN190" s="4">
        <f t="shared" si="23"/>
        <v>0</v>
      </c>
      <c r="EQ190" s="4">
        <f t="shared" si="24"/>
        <v>0</v>
      </c>
      <c r="ET190" s="4">
        <f t="shared" si="25"/>
        <v>0</v>
      </c>
      <c r="EU190" s="4" t="str">
        <f t="shared" si="26"/>
        <v>ORDINARIO</v>
      </c>
    </row>
    <row r="191" spans="1:151" x14ac:dyDescent="0.3">
      <c r="A191">
        <v>189</v>
      </c>
      <c r="AR191" s="4">
        <f t="shared" si="20"/>
        <v>0</v>
      </c>
      <c r="BS191" s="4">
        <f t="shared" si="21"/>
        <v>0</v>
      </c>
      <c r="EK191" s="4">
        <f t="shared" si="22"/>
        <v>0</v>
      </c>
      <c r="EN191" s="4">
        <f t="shared" si="23"/>
        <v>0</v>
      </c>
      <c r="EQ191" s="4">
        <f t="shared" si="24"/>
        <v>0</v>
      </c>
      <c r="ET191" s="4">
        <f t="shared" si="25"/>
        <v>0</v>
      </c>
      <c r="EU191" s="4" t="str">
        <f t="shared" si="26"/>
        <v>ORDINARIO</v>
      </c>
    </row>
    <row r="192" spans="1:151" x14ac:dyDescent="0.3">
      <c r="A192">
        <v>190</v>
      </c>
      <c r="AR192" s="4">
        <f t="shared" si="20"/>
        <v>0</v>
      </c>
      <c r="BS192" s="4">
        <f t="shared" si="21"/>
        <v>0</v>
      </c>
      <c r="EK192" s="4">
        <f t="shared" si="22"/>
        <v>0</v>
      </c>
      <c r="EN192" s="4">
        <f t="shared" si="23"/>
        <v>0</v>
      </c>
      <c r="EQ192" s="4">
        <f t="shared" si="24"/>
        <v>0</v>
      </c>
      <c r="ET192" s="4">
        <f t="shared" si="25"/>
        <v>0</v>
      </c>
      <c r="EU192" s="4" t="str">
        <f t="shared" si="26"/>
        <v>ORDINARIO</v>
      </c>
    </row>
    <row r="193" spans="1:151" x14ac:dyDescent="0.3">
      <c r="A193">
        <v>191</v>
      </c>
      <c r="AR193" s="4">
        <f t="shared" ref="AR193:AR197" si="27">+AS193+AU193+BE193+BL193+BM193+BN193+BO193+BP193+BQ193+CD193</f>
        <v>0</v>
      </c>
      <c r="BS193" s="4">
        <f t="shared" ref="BS193:BS197" si="28">+BT193+BV193+BW193+BX193+BY193</f>
        <v>0</v>
      </c>
      <c r="EK193" s="4">
        <f t="shared" ref="EK193:EK197" si="29">+EJ193/3000</f>
        <v>0</v>
      </c>
      <c r="EN193" s="4">
        <f t="shared" ref="EN193:EN197" si="30">+EM193/1400</f>
        <v>0</v>
      </c>
      <c r="EQ193" s="4">
        <f t="shared" ref="EQ193:EQ197" si="31">+EP193/2000</f>
        <v>0</v>
      </c>
      <c r="ET193" s="4">
        <f t="shared" ref="ET193:ET197" si="32">+ES193/15000</f>
        <v>0</v>
      </c>
      <c r="EU193" s="4" t="str">
        <f t="shared" ref="EU193:EU197" si="33">+IF((EK193+EN193+EQ193+ET193)&gt;=1,"ALTO","ORDINARIO")</f>
        <v>ORDINARIO</v>
      </c>
    </row>
    <row r="194" spans="1:151" x14ac:dyDescent="0.3">
      <c r="A194">
        <v>192</v>
      </c>
      <c r="AR194" s="4">
        <f t="shared" si="27"/>
        <v>0</v>
      </c>
      <c r="BS194" s="4">
        <f t="shared" si="28"/>
        <v>0</v>
      </c>
      <c r="EK194" s="4">
        <f t="shared" si="29"/>
        <v>0</v>
      </c>
      <c r="EN194" s="4">
        <f t="shared" si="30"/>
        <v>0</v>
      </c>
      <c r="EQ194" s="4">
        <f t="shared" si="31"/>
        <v>0</v>
      </c>
      <c r="ET194" s="4">
        <f t="shared" si="32"/>
        <v>0</v>
      </c>
      <c r="EU194" s="4" t="str">
        <f t="shared" si="33"/>
        <v>ORDINARIO</v>
      </c>
    </row>
    <row r="195" spans="1:151" x14ac:dyDescent="0.3">
      <c r="A195">
        <v>193</v>
      </c>
      <c r="AR195" s="4">
        <f t="shared" si="27"/>
        <v>0</v>
      </c>
      <c r="BS195" s="4">
        <f t="shared" si="28"/>
        <v>0</v>
      </c>
      <c r="EK195" s="4">
        <f t="shared" si="29"/>
        <v>0</v>
      </c>
      <c r="EN195" s="4">
        <f t="shared" si="30"/>
        <v>0</v>
      </c>
      <c r="EQ195" s="4">
        <f t="shared" si="31"/>
        <v>0</v>
      </c>
      <c r="ET195" s="4">
        <f t="shared" si="32"/>
        <v>0</v>
      </c>
      <c r="EU195" s="4" t="str">
        <f t="shared" si="33"/>
        <v>ORDINARIO</v>
      </c>
    </row>
    <row r="196" spans="1:151" x14ac:dyDescent="0.3">
      <c r="A196">
        <v>194</v>
      </c>
      <c r="AR196" s="4">
        <f t="shared" si="27"/>
        <v>0</v>
      </c>
      <c r="BS196" s="4">
        <f t="shared" si="28"/>
        <v>0</v>
      </c>
      <c r="EK196" s="4">
        <f t="shared" si="29"/>
        <v>0</v>
      </c>
      <c r="EN196" s="4">
        <f t="shared" si="30"/>
        <v>0</v>
      </c>
      <c r="EQ196" s="4">
        <f t="shared" si="31"/>
        <v>0</v>
      </c>
      <c r="ET196" s="4">
        <f t="shared" si="32"/>
        <v>0</v>
      </c>
      <c r="EU196" s="4" t="str">
        <f t="shared" si="33"/>
        <v>ORDINARIO</v>
      </c>
    </row>
    <row r="197" spans="1:151" x14ac:dyDescent="0.3">
      <c r="A197">
        <v>195</v>
      </c>
      <c r="AR197" s="4">
        <f t="shared" si="27"/>
        <v>0</v>
      </c>
      <c r="BS197" s="4">
        <f t="shared" si="28"/>
        <v>0</v>
      </c>
      <c r="EK197" s="4">
        <f t="shared" si="29"/>
        <v>0</v>
      </c>
      <c r="EN197" s="4">
        <f t="shared" si="30"/>
        <v>0</v>
      </c>
      <c r="EQ197" s="4">
        <f t="shared" si="31"/>
        <v>0</v>
      </c>
      <c r="ET197" s="4">
        <f t="shared" si="32"/>
        <v>0</v>
      </c>
      <c r="EU197" s="4" t="str">
        <f t="shared" si="33"/>
        <v>ORDINARIO</v>
      </c>
    </row>
    <row r="198" spans="1:151" x14ac:dyDescent="0.3">
      <c r="A198">
        <v>196</v>
      </c>
    </row>
    <row r="199" spans="1:151" x14ac:dyDescent="0.3">
      <c r="A199">
        <v>197</v>
      </c>
    </row>
    <row r="200" spans="1:151" x14ac:dyDescent="0.3">
      <c r="A200">
        <v>198</v>
      </c>
    </row>
  </sheetData>
  <phoneticPr fontId="1" type="noConversion"/>
  <conditionalFormatting sqref="A3:HK207">
    <cfRule type="expression" dxfId="6" priority="6">
      <formula>$A3=$A$1</formula>
    </cfRule>
  </conditionalFormatting>
  <conditionalFormatting sqref="AW2:AX2">
    <cfRule type="expression" dxfId="5" priority="5">
      <formula>$A2=$A$1</formula>
    </cfRule>
  </conditionalFormatting>
  <conditionalFormatting sqref="BG2:BH2">
    <cfRule type="expression" dxfId="4" priority="4">
      <formula>$A2=$A$1</formula>
    </cfRule>
  </conditionalFormatting>
  <conditionalFormatting sqref="DE2">
    <cfRule type="expression" dxfId="3" priority="3">
      <formula>$A2=$A$1</formula>
    </cfRule>
  </conditionalFormatting>
  <conditionalFormatting sqref="DH2">
    <cfRule type="expression" dxfId="2" priority="2">
      <formula>$A2=$A$1</formula>
    </cfRule>
  </conditionalFormatting>
  <conditionalFormatting sqref="DJ2">
    <cfRule type="expression" dxfId="1" priority="1">
      <formula>$A2=$A$1</formula>
    </cfRule>
  </conditionalFormatting>
  <conditionalFormatting sqref="EV2:FA2">
    <cfRule type="expression" dxfId="0" priority="10">
      <formula>#REF!=$A$1</formula>
    </cfRule>
  </conditionalFormatting>
  <dataValidations count="1">
    <dataValidation type="list" allowBlank="1" showInputMessage="1" showErrorMessage="1" sqref="B3:B200" xr:uid="{41C0D522-5D90-43F5-9DB3-E0F81FDE0774}">
      <formula1>"BANCO, BBVA, GASOLINERA, GENERAL, GDL"</formula1>
    </dataValidation>
  </dataValidations>
  <hyperlinks>
    <hyperlink ref="Q3" r:id="rId1" xr:uid="{6C4FD7E9-0E91-4524-9C66-66997D11B00A}"/>
    <hyperlink ref="Q4" r:id="rId2" xr:uid="{A898CEA7-D650-41DC-8C56-3B021079A84A}"/>
    <hyperlink ref="Q5" r:id="rId3" xr:uid="{51E5EA68-653F-4ADD-8EBF-BD47F7729958}"/>
    <hyperlink ref="Q6" r:id="rId4" xr:uid="{B0B1E0F1-25F4-45F5-9CF8-0006207C21DA}"/>
    <hyperlink ref="Q7" r:id="rId5" xr:uid="{6AFE5025-3441-429E-B92F-CF648C8B31B9}"/>
  </hyperlinks>
  <pageMargins left="0.7" right="0.7" top="0.75" bottom="0.75" header="0.3" footer="0.3"/>
  <drawing r:id="rId6"/>
  <legacyDrawing r:id="rId7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8" name="Spinner 1">
              <controlPr defaultSize="0" autoPict="0">
                <anchor moveWithCells="1" sizeWithCells="1">
                  <from>
                    <xdr:col>1</xdr:col>
                    <xdr:colOff>281940</xdr:colOff>
                    <xdr:row>0</xdr:row>
                    <xdr:rowOff>15240</xdr:rowOff>
                  </from>
                  <to>
                    <xdr:col>1</xdr:col>
                    <xdr:colOff>601980</xdr:colOff>
                    <xdr:row>0</xdr:row>
                    <xdr:rowOff>350520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93F01-97EA-43A4-9AE2-ED099B9448DD}">
  <dimension ref="A1:IM2"/>
  <sheetViews>
    <sheetView workbookViewId="0">
      <selection activeCell="FA1" sqref="FA1"/>
    </sheetView>
  </sheetViews>
  <sheetFormatPr baseColWidth="10" defaultRowHeight="14.4" x14ac:dyDescent="0.3"/>
  <sheetData>
    <row r="1" spans="1:247" x14ac:dyDescent="0.3">
      <c r="A1">
        <f>+BD!A1</f>
        <v>4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161</v>
      </c>
      <c r="W1" t="s">
        <v>162</v>
      </c>
      <c r="X1" t="s">
        <v>163</v>
      </c>
      <c r="Y1" t="s">
        <v>164</v>
      </c>
      <c r="Z1" t="s">
        <v>165</v>
      </c>
      <c r="AA1" t="s">
        <v>166</v>
      </c>
      <c r="AB1" t="s">
        <v>5</v>
      </c>
      <c r="AC1" t="s">
        <v>167</v>
      </c>
      <c r="AD1" t="s">
        <v>168</v>
      </c>
      <c r="AE1" t="s">
        <v>169</v>
      </c>
      <c r="AF1" t="s">
        <v>170</v>
      </c>
      <c r="AG1" t="s">
        <v>171</v>
      </c>
      <c r="AH1" t="s">
        <v>172</v>
      </c>
      <c r="AI1" t="s">
        <v>173</v>
      </c>
      <c r="AJ1" t="s">
        <v>174</v>
      </c>
      <c r="AK1" t="s">
        <v>175</v>
      </c>
      <c r="AL1" t="s">
        <v>176</v>
      </c>
      <c r="AM1" t="s">
        <v>177</v>
      </c>
      <c r="AN1" t="s">
        <v>178</v>
      </c>
      <c r="AO1" t="s">
        <v>179</v>
      </c>
      <c r="AP1" t="s">
        <v>180</v>
      </c>
      <c r="AQ1" t="s">
        <v>181</v>
      </c>
      <c r="AR1" t="s">
        <v>182</v>
      </c>
      <c r="AS1" t="s">
        <v>417</v>
      </c>
      <c r="AT1" t="s">
        <v>183</v>
      </c>
      <c r="AU1" t="s">
        <v>184</v>
      </c>
      <c r="AV1" t="s">
        <v>185</v>
      </c>
      <c r="AW1" t="s">
        <v>706</v>
      </c>
      <c r="AX1" t="s">
        <v>707</v>
      </c>
      <c r="AY1" t="s">
        <v>186</v>
      </c>
      <c r="AZ1" t="s">
        <v>187</v>
      </c>
      <c r="BA1" t="s">
        <v>406</v>
      </c>
      <c r="BB1" t="s">
        <v>189</v>
      </c>
      <c r="BC1" t="s">
        <v>418</v>
      </c>
      <c r="BD1" t="s">
        <v>190</v>
      </c>
      <c r="BE1" t="s">
        <v>415</v>
      </c>
      <c r="BF1" t="s">
        <v>7</v>
      </c>
      <c r="BG1" t="s">
        <v>710</v>
      </c>
      <c r="BH1" t="s">
        <v>712</v>
      </c>
      <c r="BI1" t="s">
        <v>8</v>
      </c>
      <c r="BJ1" t="s">
        <v>3</v>
      </c>
      <c r="BK1" t="s">
        <v>4</v>
      </c>
      <c r="BL1" t="s">
        <v>191</v>
      </c>
      <c r="BM1" t="s">
        <v>5</v>
      </c>
      <c r="BN1" t="s">
        <v>192</v>
      </c>
      <c r="BO1" t="s">
        <v>193</v>
      </c>
      <c r="BP1" t="s">
        <v>194</v>
      </c>
      <c r="BQ1" t="s">
        <v>6</v>
      </c>
      <c r="BR1" t="s">
        <v>195</v>
      </c>
      <c r="BS1" t="s">
        <v>196</v>
      </c>
      <c r="BT1" t="s">
        <v>197</v>
      </c>
      <c r="BU1" t="s">
        <v>547</v>
      </c>
      <c r="BV1" t="s">
        <v>9</v>
      </c>
      <c r="BW1" t="s">
        <v>10</v>
      </c>
      <c r="BX1" t="s">
        <v>11</v>
      </c>
      <c r="BY1" t="s">
        <v>12</v>
      </c>
      <c r="BZ1" t="s">
        <v>13</v>
      </c>
      <c r="CA1" t="s">
        <v>575</v>
      </c>
      <c r="CB1" t="s">
        <v>582</v>
      </c>
      <c r="CC1" t="s">
        <v>581</v>
      </c>
      <c r="CD1" t="s">
        <v>15</v>
      </c>
      <c r="CE1" t="s">
        <v>16</v>
      </c>
      <c r="CF1" t="s">
        <v>17</v>
      </c>
      <c r="CG1" t="s">
        <v>573</v>
      </c>
      <c r="CH1" t="s">
        <v>18</v>
      </c>
      <c r="CI1" t="s">
        <v>577</v>
      </c>
      <c r="CJ1" t="s">
        <v>19</v>
      </c>
      <c r="CK1" t="s">
        <v>585</v>
      </c>
      <c r="CL1" t="s">
        <v>717</v>
      </c>
      <c r="CM1" t="s">
        <v>20</v>
      </c>
      <c r="CN1" t="s">
        <v>569</v>
      </c>
      <c r="CO1" t="s">
        <v>22</v>
      </c>
      <c r="CP1" t="s">
        <v>579</v>
      </c>
      <c r="CQ1" t="s">
        <v>23</v>
      </c>
      <c r="CR1" t="s">
        <v>571</v>
      </c>
      <c r="CS1" t="s">
        <v>198</v>
      </c>
      <c r="CT1" t="s">
        <v>199</v>
      </c>
      <c r="CU1" t="s">
        <v>200</v>
      </c>
      <c r="CV1" t="s">
        <v>201</v>
      </c>
      <c r="CW1" t="s">
        <v>0</v>
      </c>
      <c r="CX1" t="s">
        <v>1</v>
      </c>
      <c r="CY1" t="s">
        <v>2</v>
      </c>
      <c r="CZ1" t="s">
        <v>202</v>
      </c>
      <c r="DA1" t="s">
        <v>203</v>
      </c>
      <c r="DB1" t="s">
        <v>204</v>
      </c>
      <c r="DC1" t="s">
        <v>205</v>
      </c>
      <c r="DD1" t="s">
        <v>206</v>
      </c>
      <c r="DE1" t="s">
        <v>606</v>
      </c>
      <c r="DF1" t="s">
        <v>207</v>
      </c>
      <c r="DG1" t="s">
        <v>208</v>
      </c>
      <c r="DH1" t="s">
        <v>656</v>
      </c>
      <c r="DI1" t="s">
        <v>209</v>
      </c>
      <c r="DJ1" t="s">
        <v>657</v>
      </c>
      <c r="DK1" t="s">
        <v>210</v>
      </c>
      <c r="DL1" t="s">
        <v>590</v>
      </c>
      <c r="DM1" t="s">
        <v>658</v>
      </c>
      <c r="DN1" t="s">
        <v>211</v>
      </c>
      <c r="DO1" t="s">
        <v>591</v>
      </c>
      <c r="DP1" t="s">
        <v>659</v>
      </c>
      <c r="DQ1" t="s">
        <v>212</v>
      </c>
      <c r="DR1" t="s">
        <v>592</v>
      </c>
      <c r="DS1" t="s">
        <v>660</v>
      </c>
      <c r="DT1" t="s">
        <v>213</v>
      </c>
      <c r="DU1" t="s">
        <v>593</v>
      </c>
      <c r="DV1" t="s">
        <v>661</v>
      </c>
      <c r="DW1" t="s">
        <v>214</v>
      </c>
      <c r="DX1" t="s">
        <v>594</v>
      </c>
      <c r="DY1" t="s">
        <v>662</v>
      </c>
      <c r="DZ1" t="s">
        <v>215</v>
      </c>
      <c r="EA1" t="s">
        <v>595</v>
      </c>
      <c r="EB1" t="s">
        <v>663</v>
      </c>
      <c r="EC1" t="s">
        <v>216</v>
      </c>
      <c r="ED1" t="s">
        <v>596</v>
      </c>
      <c r="EE1" t="s">
        <v>664</v>
      </c>
      <c r="EF1" t="s">
        <v>217</v>
      </c>
      <c r="EG1" t="s">
        <v>597</v>
      </c>
      <c r="EH1" t="s">
        <v>665</v>
      </c>
      <c r="EI1" t="s">
        <v>218</v>
      </c>
      <c r="EJ1" t="s">
        <v>219</v>
      </c>
      <c r="EK1" t="s">
        <v>220</v>
      </c>
      <c r="EL1" t="s">
        <v>221</v>
      </c>
      <c r="EM1" t="s">
        <v>222</v>
      </c>
      <c r="EN1" t="s">
        <v>223</v>
      </c>
      <c r="EO1" t="s">
        <v>224</v>
      </c>
      <c r="EP1" t="s">
        <v>225</v>
      </c>
      <c r="EQ1" t="s">
        <v>226</v>
      </c>
      <c r="ER1" t="s">
        <v>227</v>
      </c>
      <c r="ES1" t="s">
        <v>228</v>
      </c>
      <c r="ET1" t="s">
        <v>229</v>
      </c>
      <c r="EU1" t="s">
        <v>230</v>
      </c>
      <c r="EV1" t="s">
        <v>626</v>
      </c>
      <c r="EW1" t="s">
        <v>628</v>
      </c>
      <c r="EX1" t="s">
        <v>646</v>
      </c>
      <c r="EY1" t="s">
        <v>627</v>
      </c>
      <c r="EZ1" t="s">
        <v>629</v>
      </c>
      <c r="FA1" t="s">
        <v>647</v>
      </c>
      <c r="FB1" t="s">
        <v>25</v>
      </c>
      <c r="FC1" t="s">
        <v>26</v>
      </c>
      <c r="FD1" t="s">
        <v>24</v>
      </c>
      <c r="FE1" t="s">
        <v>27</v>
      </c>
      <c r="FF1" t="s">
        <v>403</v>
      </c>
      <c r="FG1" t="s">
        <v>28</v>
      </c>
      <c r="FH1" t="s">
        <v>29</v>
      </c>
      <c r="FI1" t="s">
        <v>188</v>
      </c>
      <c r="FJ1" t="s">
        <v>410</v>
      </c>
      <c r="FK1" t="s">
        <v>30</v>
      </c>
      <c r="FL1" t="s">
        <v>31</v>
      </c>
      <c r="FM1" t="s">
        <v>412</v>
      </c>
      <c r="FN1" t="s">
        <v>32</v>
      </c>
      <c r="FO1" t="s">
        <v>33</v>
      </c>
      <c r="FP1" t="s">
        <v>34</v>
      </c>
      <c r="FQ1" t="s">
        <v>35</v>
      </c>
      <c r="FR1" t="s">
        <v>36</v>
      </c>
      <c r="FS1" t="s">
        <v>37</v>
      </c>
      <c r="FT1" t="s">
        <v>38</v>
      </c>
      <c r="FU1" t="s">
        <v>39</v>
      </c>
      <c r="FV1" t="s">
        <v>40</v>
      </c>
      <c r="FW1" t="s">
        <v>41</v>
      </c>
      <c r="FX1" t="s">
        <v>42</v>
      </c>
      <c r="FY1" t="s">
        <v>43</v>
      </c>
      <c r="FZ1" t="s">
        <v>44</v>
      </c>
      <c r="GA1" t="s">
        <v>346</v>
      </c>
      <c r="GB1" t="s">
        <v>45</v>
      </c>
      <c r="GC1" t="s">
        <v>46</v>
      </c>
      <c r="GD1" t="s">
        <v>47</v>
      </c>
      <c r="GE1" t="s">
        <v>48</v>
      </c>
      <c r="GF1" t="s">
        <v>49</v>
      </c>
      <c r="GG1" t="s">
        <v>50</v>
      </c>
      <c r="GH1" t="s">
        <v>51</v>
      </c>
      <c r="GI1" t="s">
        <v>52</v>
      </c>
      <c r="GJ1" t="s">
        <v>53</v>
      </c>
      <c r="GK1" t="s">
        <v>54</v>
      </c>
      <c r="GL1" t="s">
        <v>55</v>
      </c>
      <c r="GM1" t="s">
        <v>56</v>
      </c>
      <c r="GN1" t="s">
        <v>57</v>
      </c>
      <c r="GO1" t="s">
        <v>58</v>
      </c>
      <c r="GP1" t="s">
        <v>59</v>
      </c>
      <c r="GQ1" t="s">
        <v>60</v>
      </c>
      <c r="GR1" t="s">
        <v>61</v>
      </c>
      <c r="GS1" t="s">
        <v>62</v>
      </c>
      <c r="GT1" t="s">
        <v>63</v>
      </c>
      <c r="GU1" t="s">
        <v>64</v>
      </c>
      <c r="GV1" t="s">
        <v>65</v>
      </c>
      <c r="GW1" t="s">
        <v>66</v>
      </c>
      <c r="GX1" t="s">
        <v>67</v>
      </c>
      <c r="GY1" t="s">
        <v>68</v>
      </c>
      <c r="GZ1" t="s">
        <v>69</v>
      </c>
      <c r="HA1" t="s">
        <v>70</v>
      </c>
      <c r="HB1" t="s">
        <v>71</v>
      </c>
      <c r="HC1" t="s">
        <v>72</v>
      </c>
      <c r="HD1" t="s">
        <v>73</v>
      </c>
      <c r="HE1" t="s">
        <v>14</v>
      </c>
      <c r="HF1" t="s">
        <v>74</v>
      </c>
      <c r="HG1" t="s">
        <v>75</v>
      </c>
      <c r="HH1" t="s">
        <v>76</v>
      </c>
      <c r="HI1" t="s">
        <v>77</v>
      </c>
      <c r="HJ1" t="s">
        <v>78</v>
      </c>
      <c r="HK1" t="s">
        <v>79</v>
      </c>
      <c r="HL1" t="s">
        <v>80</v>
      </c>
      <c r="HM1" t="s">
        <v>21</v>
      </c>
      <c r="HN1" t="s">
        <v>421</v>
      </c>
      <c r="HO1" t="s">
        <v>609</v>
      </c>
      <c r="HP1" t="s">
        <v>611</v>
      </c>
      <c r="HQ1" t="s">
        <v>614</v>
      </c>
      <c r="HR1" t="s">
        <v>617</v>
      </c>
      <c r="HS1" t="s">
        <v>620</v>
      </c>
      <c r="HT1" t="s">
        <v>623</v>
      </c>
      <c r="HU1" t="s">
        <v>714</v>
      </c>
      <c r="HV1" t="s">
        <v>719</v>
      </c>
      <c r="HW1" t="s">
        <v>722</v>
      </c>
      <c r="HX1" t="s">
        <v>723</v>
      </c>
      <c r="HY1" t="s">
        <v>724</v>
      </c>
      <c r="HZ1" t="s">
        <v>725</v>
      </c>
      <c r="IA1" t="s">
        <v>726</v>
      </c>
      <c r="IB1" t="s">
        <v>727</v>
      </c>
      <c r="IC1" t="s">
        <v>728</v>
      </c>
      <c r="ID1" t="s">
        <v>729</v>
      </c>
      <c r="IE1" t="s">
        <v>730</v>
      </c>
      <c r="IF1" t="s">
        <v>731</v>
      </c>
      <c r="IG1" t="s">
        <v>732</v>
      </c>
      <c r="IH1" t="s">
        <v>736</v>
      </c>
      <c r="II1" t="s">
        <v>737</v>
      </c>
      <c r="IJ1" t="s">
        <v>738</v>
      </c>
      <c r="IK1" t="s">
        <v>733</v>
      </c>
      <c r="IL1" t="s">
        <v>734</v>
      </c>
      <c r="IM1" t="s">
        <v>735</v>
      </c>
    </row>
    <row r="2" spans="1:247" x14ac:dyDescent="0.3">
      <c r="B2" t="str">
        <f>VLOOKUP($A$1,BD!$A$3:$HD$209,2, FALSE)</f>
        <v>GDL</v>
      </c>
      <c r="C2" t="str">
        <f>VLOOKUP($A$1,BD!$A$3:$HD$209,3, FALSE)</f>
        <v>FARMACIA GUADALAJARA S.A. DE C.V.</v>
      </c>
      <c r="D2" t="str">
        <f>VLOOKUP($A$1,BD!$A$3:$HD$209,4, FALSE)</f>
        <v>SUC. 2027 TLANALAPAN</v>
      </c>
      <c r="E2" t="str">
        <f>VLOOKUP($A$1,BD!$A$3:$HD$209,5, FALSE)</f>
        <v>FGU830930PD3</v>
      </c>
      <c r="F2">
        <f>VLOOKUP($A$1,BD!$A$3:$HD$209,6, FALSE)</f>
        <v>0</v>
      </c>
      <c r="G2" t="str">
        <f>VLOOKUP($A$1,BD!$A$3:$HD$209,7, FALSE)</f>
        <v xml:space="preserve">TIENDA DE AUTO SERVICIO CON APERTURA DE 24 HORAS CON VENTA DE ALCOHOL </v>
      </c>
      <c r="H2" t="str">
        <f>VLOOKUP($A$1,BD!$A$3:$HD$209,8, FALSE)</f>
        <v>DISPENSACIÓN DE MEDICAMENTOS, ATENCIÓN AL CLIENTE, VENTA DE PRODUCTOS DE SALUD, BELLEZA Y ABARROTES</v>
      </c>
      <c r="I2" t="str">
        <f>VLOOKUP($A$1,BD!$A$3:$HD$209,9, FALSE)</f>
        <v>CAMINO A TLANALAPAN</v>
      </c>
      <c r="J2">
        <f>VLOOKUP($A$1,BD!$A$3:$HD$209,10, FALSE)</f>
        <v>28</v>
      </c>
      <c r="K2">
        <f>VLOOKUP($A$1,BD!$A$3:$HD$209,11, FALSE)</f>
        <v>0</v>
      </c>
      <c r="L2" t="str">
        <f>VLOOKUP($A$1,BD!$A$3:$HD$209,12, FALSE)</f>
        <v>SAN RAFAEL TLANALAPAN</v>
      </c>
      <c r="M2" t="str">
        <f>VLOOKUP($A$1,BD!$A$3:$HD$209,13, FALSE)</f>
        <v>SAN MARTIN TEXMELUCAN</v>
      </c>
      <c r="N2" t="str">
        <f>VLOOKUP($A$1,BD!$A$3:$HD$209,14, FALSE)</f>
        <v>PUEBLA</v>
      </c>
      <c r="O2">
        <f>VLOOKUP($A$1,BD!$A$3:$HD$209,15, FALSE)</f>
        <v>74122</v>
      </c>
      <c r="P2">
        <f>VLOOKUP($A$1,BD!$A$3:$HD$209,16, FALSE)</f>
        <v>2481121470</v>
      </c>
      <c r="Q2" t="str">
        <f>VLOOKUP($A$1,BD!$A$3:$HD$209,17, FALSE)</f>
        <v>tete221942@hotmail.com</v>
      </c>
      <c r="R2">
        <f>VLOOKUP($A$1,BD!$A$3:$HD$209,18, FALSE)</f>
        <v>5</v>
      </c>
      <c r="S2" t="str">
        <f>VLOOKUP($A$1,BD!$A$3:$HD$209,19, FALSE)</f>
        <v>ENERO DE 2019</v>
      </c>
      <c r="T2">
        <f>VLOOKUP($A$1,BD!$A$3:$HD$209,20, FALSE)</f>
        <v>0</v>
      </c>
      <c r="U2">
        <f>VLOOKUP($A$1,BD!$A$3:$HD$209,21, FALSE)</f>
        <v>0</v>
      </c>
      <c r="V2">
        <f>VLOOKUP($A$1,BD!$A$3:$HD$209,22, FALSE)</f>
        <v>998.63</v>
      </c>
      <c r="W2">
        <f>VLOOKUP($A$1,BD!$A$3:$HD$209,23, FALSE)</f>
        <v>998.63</v>
      </c>
      <c r="X2">
        <f>VLOOKUP($A$1,BD!$A$3:$HD$209,24, FALSE)</f>
        <v>1</v>
      </c>
      <c r="Y2">
        <f>VLOOKUP($A$1,BD!$A$3:$HD$209,25, FALSE)</f>
        <v>1</v>
      </c>
      <c r="Z2">
        <f>VLOOKUP($A$1,BD!$A$3:$HD$209,26, FALSE)</f>
        <v>1</v>
      </c>
      <c r="AA2">
        <f>VLOOKUP($A$1,BD!$A$3:$HD$209,27, FALSE)</f>
        <v>1</v>
      </c>
      <c r="AB2">
        <f>VLOOKUP($A$1,BD!$A$3:$HD$209,28, FALSE)</f>
        <v>0</v>
      </c>
      <c r="AC2">
        <f>VLOOKUP($A$1,BD!$A$3:$HD$209,29, FALSE)</f>
        <v>0</v>
      </c>
      <c r="AD2" t="str">
        <f>VLOOKUP($A$1,BD!$A$3:$HD$209,30, FALSE)</f>
        <v>20 CAJONES</v>
      </c>
      <c r="AE2" t="str">
        <f>VLOOKUP($A$1,BD!$A$3:$HD$209,31, FALSE)</f>
        <v>PABLO SAUL FLORIO VALADEZ</v>
      </c>
      <c r="AF2" t="str">
        <f>VLOOKUP($A$1,BD!$A$3:$HD$209,32, FALSE)</f>
        <v>MARIA ESTHER REYES RODRIGUEZ</v>
      </c>
      <c r="AG2">
        <f>VLOOKUP($A$1,BD!$A$3:$HD$209,33, FALSE)</f>
        <v>15</v>
      </c>
      <c r="AH2">
        <f>VLOOKUP($A$1,BD!$A$3:$HD$209,34, FALSE)</f>
        <v>0</v>
      </c>
      <c r="AI2">
        <f>VLOOKUP($A$1,BD!$A$3:$HD$209,35, FALSE)</f>
        <v>5</v>
      </c>
      <c r="AJ2">
        <f>VLOOKUP($A$1,BD!$A$3:$HD$209,36, FALSE)</f>
        <v>10</v>
      </c>
      <c r="AK2">
        <f>VLOOKUP($A$1,BD!$A$3:$HD$209,37, FALSE)</f>
        <v>0</v>
      </c>
      <c r="AL2">
        <f>VLOOKUP($A$1,BD!$A$3:$HD$209,38, FALSE)</f>
        <v>0</v>
      </c>
      <c r="AM2">
        <f>VLOOKUP($A$1,BD!$A$3:$HD$209,39, FALSE)</f>
        <v>3</v>
      </c>
      <c r="AN2">
        <f>VLOOKUP($A$1,BD!$A$3:$HD$209,40, FALSE)</f>
        <v>300</v>
      </c>
      <c r="AO2">
        <f>VLOOKUP($A$1,BD!$A$3:$HD$209,41, FALSE)</f>
        <v>4</v>
      </c>
      <c r="AP2" t="str">
        <f>VLOOKUP($A$1,BD!$A$3:$HD$209,42, FALSE)</f>
        <v>LUNES - DOMINGO</v>
      </c>
      <c r="AQ2" t="str">
        <f>VLOOKUP($A$1,BD!$A$3:$HD$209,43, FALSE)</f>
        <v>24 HORAS</v>
      </c>
      <c r="AR2">
        <f>VLOOKUP($A$1,BD!$A$3:$HD$209,44, FALSE)</f>
        <v>20</v>
      </c>
      <c r="AS2">
        <f>VLOOKUP($A$1,BD!$A$3:$HD$209,45, FALSE)</f>
        <v>1</v>
      </c>
      <c r="AT2" t="str">
        <f>VLOOKUP($A$1,BD!$A$3:$HD$209,46, FALSE)</f>
        <v>AREA INTERNA</v>
      </c>
      <c r="AU2">
        <f>VLOOKUP($A$1,BD!$A$3:$HD$209,47, FALSE)</f>
        <v>6</v>
      </c>
      <c r="AV2" t="str">
        <f>VLOOKUP($A$1,BD!$A$3:$HD$209,48, FALSE)</f>
        <v>EN TODA LA FARMACIA</v>
      </c>
      <c r="AW2">
        <f>VLOOKUP($A$1,BD!$A$3:$HD$209,49, FALSE)</f>
        <v>0</v>
      </c>
      <c r="AX2">
        <f>VLOOKUP($A$1,BD!$A$3:$HD$209,50, FALSE)</f>
        <v>0</v>
      </c>
      <c r="AY2">
        <f>VLOOKUP($A$1,BD!$A$3:$HD$209,51, FALSE)</f>
        <v>0</v>
      </c>
      <c r="AZ2">
        <f>VLOOKUP($A$1,BD!$A$3:$HD$209,52, FALSE)</f>
        <v>0</v>
      </c>
      <c r="BA2">
        <f>VLOOKUP($A$1,BD!$A$3:$HD$209,53, FALSE)</f>
        <v>0</v>
      </c>
      <c r="BB2">
        <f>VLOOKUP($A$1,BD!$A$3:$HD$209,54, FALSE)</f>
        <v>0</v>
      </c>
      <c r="BC2">
        <f>VLOOKUP($A$1,BD!$A$3:$HD$209,55, FALSE)</f>
        <v>2</v>
      </c>
      <c r="BD2" t="str">
        <f>VLOOKUP($A$1,BD!$A$3:$HD$209,56, FALSE)</f>
        <v>AREA INTERNA</v>
      </c>
      <c r="BE2">
        <f>VLOOKUP($A$1,BD!$A$3:$HD$209,57, FALSE)</f>
        <v>3</v>
      </c>
      <c r="BF2" t="str">
        <f>VLOOKUP($A$1,BD!$A$3:$HD$209,58, FALSE)</f>
        <v>MEGAFONO Y CHICHARRA</v>
      </c>
      <c r="BG2">
        <f>VLOOKUP($A$1,BD!$A$3:$HD$209,59, FALSE)</f>
        <v>0</v>
      </c>
      <c r="BH2">
        <f>VLOOKUP($A$1,BD!$A$3:$HD$209,60, FALSE)</f>
        <v>0</v>
      </c>
      <c r="BI2" t="str">
        <f>VLOOKUP($A$1,BD!$A$3:$HD$209,61, FALSE)</f>
        <v>AREA INTERNA Y FARMACIA</v>
      </c>
      <c r="BJ2">
        <f>VLOOKUP($A$1,BD!$A$3:$HD$209,62, FALSE)</f>
        <v>6</v>
      </c>
      <c r="BK2" t="str">
        <f>VLOOKUP($A$1,BD!$A$3:$HD$209,63, FALSE)</f>
        <v>AREA INTERNA Y EXTERNA</v>
      </c>
      <c r="BL2">
        <f>VLOOKUP($A$1,BD!$A$3:$HD$209,64, FALSE)</f>
        <v>6</v>
      </c>
      <c r="BM2">
        <f>VLOOKUP($A$1,BD!$A$3:$HD$209,65, FALSE)</f>
        <v>0</v>
      </c>
      <c r="BN2">
        <f>VLOOKUP($A$1,BD!$A$3:$HD$209,66, FALSE)</f>
        <v>1</v>
      </c>
      <c r="BO2">
        <f>VLOOKUP($A$1,BD!$A$3:$HD$209,67, FALSE)</f>
        <v>0</v>
      </c>
      <c r="BP2">
        <f>VLOOKUP($A$1,BD!$A$3:$HD$209,68, FALSE)</f>
        <v>1</v>
      </c>
      <c r="BQ2">
        <f>VLOOKUP($A$1,BD!$A$3:$HD$209,69, FALSE)</f>
        <v>2</v>
      </c>
      <c r="BR2">
        <f>VLOOKUP($A$1,BD!$A$3:$HD$209,70, FALSE)</f>
        <v>1</v>
      </c>
      <c r="BS2">
        <f>VLOOKUP($A$1,BD!$A$3:$HD$209,71, FALSE)</f>
        <v>0</v>
      </c>
      <c r="BT2">
        <f>VLOOKUP($A$1,BD!$A$3:$HD$209,72, FALSE)</f>
        <v>0</v>
      </c>
      <c r="BU2">
        <f>VLOOKUP($A$1,BD!$A$3:$HD$209,73, FALSE)</f>
        <v>0</v>
      </c>
      <c r="BV2">
        <f>VLOOKUP($A$1,BD!$A$3:$HD$209,74, FALSE)</f>
        <v>0</v>
      </c>
      <c r="BW2">
        <f>VLOOKUP($A$1,BD!$A$3:$HD$209,75, FALSE)</f>
        <v>0</v>
      </c>
      <c r="BX2">
        <f>VLOOKUP($A$1,BD!$A$3:$HD$209,76, FALSE)</f>
        <v>0</v>
      </c>
      <c r="BY2">
        <f>VLOOKUP($A$1,BD!$A$3:$HD$209,77, FALSE)</f>
        <v>0</v>
      </c>
      <c r="BZ2">
        <f>VLOOKUP($A$1,BD!$A$3:$HD$209,78, FALSE)</f>
        <v>0</v>
      </c>
      <c r="CA2">
        <f>VLOOKUP($A$1,BD!$A$3:$HD$209,79, FALSE)</f>
        <v>0</v>
      </c>
      <c r="CB2">
        <f>VLOOKUP($A$1,BD!$A$3:$HD$209,80, FALSE)</f>
        <v>0</v>
      </c>
      <c r="CC2">
        <f>VLOOKUP($A$1,BD!$A$3:$HD$209,81, FALSE)</f>
        <v>0</v>
      </c>
      <c r="CD2">
        <f>VLOOKUP($A$1,BD!$A$3:$HD$209,82, FALSE)</f>
        <v>0</v>
      </c>
      <c r="CE2">
        <f>VLOOKUP($A$1,BD!$A$3:$HD$209,83, FALSE)</f>
        <v>0</v>
      </c>
      <c r="CF2">
        <f>VLOOKUP($A$1,BD!$A$3:$HD$209,84, FALSE)</f>
        <v>0</v>
      </c>
      <c r="CG2">
        <f>VLOOKUP($A$1,BD!$A$3:$HD$209,85, FALSE)</f>
        <v>0</v>
      </c>
      <c r="CH2">
        <f>VLOOKUP($A$1,BD!$A$3:$HD$209,86, FALSE)</f>
        <v>0</v>
      </c>
      <c r="CI2">
        <f>VLOOKUP($A$1,BD!$A$3:$HD$209,87, FALSE)</f>
        <v>0</v>
      </c>
      <c r="CJ2">
        <f>VLOOKUP($A$1,BD!$A$3:$HD$209,88, FALSE)</f>
        <v>0</v>
      </c>
      <c r="CK2">
        <f>VLOOKUP($A$1,BD!$A$3:$HD$209,89, FALSE)</f>
        <v>0</v>
      </c>
      <c r="CL2">
        <f>VLOOKUP($A$1,BD!$A$3:$HD$209,90, FALSE)</f>
        <v>0</v>
      </c>
      <c r="CM2">
        <f>VLOOKUP($A$1,BD!$A$3:$HD$209,91, FALSE)</f>
        <v>4</v>
      </c>
      <c r="CN2" t="str">
        <f>VLOOKUP($A$1,BD!$A$3:$HD$209,92, FALSE)</f>
        <v>AREA INTERNA Y EXTERNA</v>
      </c>
      <c r="CO2">
        <f>VLOOKUP($A$1,BD!$A$3:$HD$209,93, FALSE)</f>
        <v>0</v>
      </c>
      <c r="CP2">
        <f>VLOOKUP($A$1,BD!$A$3:$HD$209,94, FALSE)</f>
        <v>0</v>
      </c>
      <c r="CQ2">
        <f>VLOOKUP($A$1,BD!$A$3:$HD$209,95, FALSE)</f>
        <v>0</v>
      </c>
      <c r="CR2">
        <f>VLOOKUP($A$1,BD!$A$3:$HD$209,96, FALSE)</f>
        <v>0</v>
      </c>
      <c r="CS2">
        <f>VLOOKUP($A$1,BD!$A$3:$HD$209,97, FALSE)</f>
        <v>0</v>
      </c>
      <c r="CT2">
        <f>VLOOKUP($A$1,BD!$A$3:$HD$209,98, FALSE)</f>
        <v>0</v>
      </c>
      <c r="CU2">
        <f>VLOOKUP($A$1,BD!$A$3:$HD$209,99, FALSE)</f>
        <v>0</v>
      </c>
      <c r="CV2">
        <f>VLOOKUP($A$1,BD!$A$3:$HD$209,100, FALSE)</f>
        <v>0</v>
      </c>
      <c r="CW2">
        <f>VLOOKUP($A$1,BD!$A$3:$HD$209,101, FALSE)</f>
        <v>16</v>
      </c>
      <c r="CX2" t="str">
        <f>VLOOKUP($A$1,BD!$A$3:$HD$209,102, FALSE)</f>
        <v>ENERO</v>
      </c>
      <c r="CY2">
        <f>VLOOKUP($A$1,BD!$A$3:$HD$209,103, FALSE)</f>
        <v>2024</v>
      </c>
      <c r="CZ2" t="str">
        <f>VLOOKUP($A$1,BD!$A$3:$HD$209,104, FALSE)</f>
        <v>19.29138, -98.45449</v>
      </c>
      <c r="DA2" t="str">
        <f>VLOOKUP($A$1,BD!$A$3:$HD$209,105, FALSE)</f>
        <v>AVENIDA ALVARO OBREGON</v>
      </c>
      <c r="DB2" t="str">
        <f>VLOOKUP($A$1,BD!$A$3:$HD$209,106, FALSE)</f>
        <v>LLANO GRANDE</v>
      </c>
      <c r="DC2" t="str">
        <f>VLOOKUP($A$1,BD!$A$3:$HD$209,107, FALSE)</f>
        <v>CENTRAL SAN RAFAEL</v>
      </c>
      <c r="DD2" t="str">
        <f>VLOOKUP($A$1,BD!$A$3:$HD$209,108, FALSE)</f>
        <v>CALLE SATURNO</v>
      </c>
      <c r="DE2">
        <f>VLOOKUP($A$1,BD!$A$3:$HD$209,109, FALSE)</f>
        <v>0</v>
      </c>
      <c r="DF2" t="str">
        <f>VLOOKUP($A$1,BD!$A$3:$HD$209,110, FALSE)</f>
        <v>Ley del Sistema Estatal de Protección Civil del Estado de Puebla última reforma publicada en el periódico oficial el 08 de abril de 2022.</v>
      </c>
      <c r="DG2" t="str">
        <f>VLOOKUP($A$1,BD!$A$3:$HD$209,111, FALSE)</f>
        <v>Reglamento de la Ley del Sistema Estatal de Protección Civil para el Estado Libre y Soberano de Puebla, publicado el 1 de julio de 1998.</v>
      </c>
      <c r="DH2">
        <f>VLOOKUP($A$1,BD!$A$3:$HD$209,112, FALSE)</f>
        <v>0</v>
      </c>
      <c r="DI2" t="str">
        <f>VLOOKUP($A$1,BD!$A$3:$HD$209,113, FALSE)</f>
        <v>SANDRA NAYELY LEYVA NAMBO</v>
      </c>
      <c r="DJ2">
        <f>VLOOKUP($A$1,BD!$A$3:$HD$209,114, FALSE)</f>
        <v>0</v>
      </c>
      <c r="DK2" t="str">
        <f>VLOOKUP($A$1,BD!$A$3:$HD$209,115, FALSE)</f>
        <v>CECILIA RUIZ BOFE</v>
      </c>
      <c r="DL2">
        <f>VLOOKUP($A$1,BD!$A$3:$HD$209,116, FALSE)</f>
        <v>0</v>
      </c>
      <c r="DM2">
        <f>VLOOKUP($A$1,BD!$A$3:$HD$209,117, FALSE)</f>
        <v>0</v>
      </c>
      <c r="DN2" s="5" t="str">
        <f>VLOOKUP($A$1,BD!$A$3:$HD$209,118, FALSE)</f>
        <v>VERONICA RUIZ VOFE</v>
      </c>
      <c r="DO2">
        <f>VLOOKUP($A$1,BD!$A$3:$HD$209,119, FALSE)</f>
        <v>0</v>
      </c>
      <c r="DP2">
        <f>VLOOKUP($A$1,BD!$A$3:$HD$209,120, FALSE)</f>
        <v>0</v>
      </c>
      <c r="DQ2" s="5" t="str">
        <f>VLOOKUP($A$1,BD!$A$3:$HD$209,121, FALSE)</f>
        <v>CLAUDIA DAISY MARIN DE AQUINO</v>
      </c>
      <c r="DR2">
        <f>VLOOKUP($A$1,BD!$A$3:$HD$209,122, FALSE)</f>
        <v>0</v>
      </c>
      <c r="DS2">
        <f>VLOOKUP($A$1,BD!$A$3:$HD$209,123, FALSE)</f>
        <v>0</v>
      </c>
      <c r="DT2" s="5" t="str">
        <f>VLOOKUP($A$1,BD!$A$3:$HD$209,124, FALSE)</f>
        <v>MARIANA ESTELA RAMIREZ MUNOZ</v>
      </c>
      <c r="DU2">
        <f>VLOOKUP($A$1,BD!$A$3:$HD$209,125, FALSE)</f>
        <v>0</v>
      </c>
      <c r="DV2">
        <f>VLOOKUP($A$1,BD!$A$3:$HD$209,126, FALSE)</f>
        <v>0</v>
      </c>
      <c r="DW2" s="5" t="str">
        <f>VLOOKUP($A$1,BD!$A$3:$HD$209,127, FALSE)</f>
        <v>LUZ ADRIANA HERNANDEZ GUTIERREZ</v>
      </c>
      <c r="DX2">
        <f>VLOOKUP($A$1,BD!$A$3:$HD$209,128, FALSE)</f>
        <v>0</v>
      </c>
      <c r="DY2">
        <f>VLOOKUP($A$1,BD!$A$3:$HD$209,129, FALSE)</f>
        <v>0</v>
      </c>
      <c r="DZ2" t="str">
        <f>VLOOKUP($A$1,BD!$A$3:$HD$209,130, FALSE)</f>
        <v>YURAI ARANA SANCHEZ</v>
      </c>
      <c r="EA2">
        <f>VLOOKUP($A$1,BD!$A$3:$HD$209,131, FALSE)</f>
        <v>0</v>
      </c>
      <c r="EB2">
        <f>VLOOKUP($A$1,BD!$A$3:$HD$209,132, FALSE)</f>
        <v>0</v>
      </c>
      <c r="EC2" t="str">
        <f>VLOOKUP($A$1,BD!$A$3:$HD$209,133, FALSE)</f>
        <v>GUSTAVO BENITEZ R</v>
      </c>
      <c r="ED2">
        <f>VLOOKUP($A$1,BD!$A$3:$HD$209,134, FALSE)</f>
        <v>0</v>
      </c>
      <c r="EE2">
        <f>VLOOKUP($A$1,BD!$A$3:$HD$209,135, FALSE)</f>
        <v>0</v>
      </c>
      <c r="EF2" t="str">
        <f>VLOOKUP($A$1,BD!$A$3:$HD$209,136, FALSE)</f>
        <v>DULCE MARIA ROMERO VARGAS</v>
      </c>
      <c r="EG2">
        <f>VLOOKUP($A$1,BD!$A$3:$HD$209,137, FALSE)</f>
        <v>0</v>
      </c>
      <c r="EH2">
        <f>VLOOKUP($A$1,BD!$A$3:$HD$209,138, FALSE)</f>
        <v>0</v>
      </c>
      <c r="EI2">
        <f>VLOOKUP($A$1,BD!$A$3:$HD$209,139, FALSE)</f>
        <v>0</v>
      </c>
      <c r="EJ2">
        <f>VLOOKUP($A$1,BD!$A$3:$HD$209,140, FALSE)</f>
        <v>0</v>
      </c>
      <c r="EK2">
        <f>VLOOKUP($A$1,BD!$A$3:$HD$209,141, FALSE)</f>
        <v>0</v>
      </c>
      <c r="EL2">
        <f>VLOOKUP($A$1,BD!$A$3:$HD$209,142, FALSE)</f>
        <v>0</v>
      </c>
      <c r="EM2">
        <f>VLOOKUP($A$1,BD!$A$3:$HD$209,143, FALSE)</f>
        <v>0</v>
      </c>
      <c r="EN2">
        <f>VLOOKUP($A$1,BD!$A$3:$HD$209,144, FALSE)</f>
        <v>0</v>
      </c>
      <c r="EO2">
        <f>VLOOKUP($A$1,BD!$A$3:$HD$209,145, FALSE)</f>
        <v>0</v>
      </c>
      <c r="EP2">
        <f>VLOOKUP($A$1,BD!$A$3:$HD$209,146, FALSE)</f>
        <v>0</v>
      </c>
      <c r="EQ2">
        <f>VLOOKUP($A$1,BD!$A$3:$HD$209,147, FALSE)</f>
        <v>0</v>
      </c>
      <c r="ER2" t="str">
        <f>VLOOKUP($A$1,BD!$A$3:$HD$209,148, FALSE)</f>
        <v>MOBILIARIO</v>
      </c>
      <c r="ES2">
        <f>VLOOKUP($A$1,BD!$A$3:$HD$209,149, FALSE)</f>
        <v>900</v>
      </c>
      <c r="ET2">
        <f>VLOOKUP($A$1,BD!$A$3:$HD$209,150, FALSE)</f>
        <v>0.06</v>
      </c>
      <c r="EU2" t="str">
        <f>VLOOKUP($A$1,BD!$A$3:$HD$209,151, FALSE)</f>
        <v>ORDINARIO</v>
      </c>
      <c r="EV2">
        <f>VLOOKUP($A$1,BD!$A$3:$HD$209,152, FALSE)</f>
        <v>0</v>
      </c>
      <c r="EW2">
        <f>VLOOKUP($A$1,BD!$A$3:$HD$209,153, FALSE)</f>
        <v>0</v>
      </c>
      <c r="EX2">
        <f>VLOOKUP($A$1,BD!$A$3:$HD$209,154, FALSE)</f>
        <v>0</v>
      </c>
      <c r="EY2">
        <f>VLOOKUP($A$1,BD!$A$3:$HD$209,155, FALSE)</f>
        <v>0</v>
      </c>
      <c r="EZ2">
        <f>VLOOKUP($A$1,BD!$A$3:$HD$209,156, FALSE)</f>
        <v>0</v>
      </c>
      <c r="FA2">
        <f>VLOOKUP($A$1,BD!$A$3:$HD$209,157, FALSE)</f>
        <v>0</v>
      </c>
      <c r="FB2" t="s">
        <v>81</v>
      </c>
      <c r="FC2" t="s">
        <v>82</v>
      </c>
      <c r="FD2" t="s">
        <v>83</v>
      </c>
      <c r="FE2" t="s">
        <v>84</v>
      </c>
      <c r="FF2" t="s">
        <v>404</v>
      </c>
      <c r="FG2" t="s">
        <v>85</v>
      </c>
      <c r="FH2" t="s">
        <v>86</v>
      </c>
      <c r="FI2" t="s">
        <v>408</v>
      </c>
      <c r="FJ2" t="s">
        <v>411</v>
      </c>
      <c r="FK2" t="s">
        <v>87</v>
      </c>
      <c r="FL2" t="s">
        <v>88</v>
      </c>
      <c r="FM2" t="s">
        <v>413</v>
      </c>
      <c r="FN2" t="s">
        <v>89</v>
      </c>
      <c r="FO2" t="s">
        <v>90</v>
      </c>
      <c r="FP2" t="s">
        <v>91</v>
      </c>
      <c r="FQ2" t="s">
        <v>92</v>
      </c>
      <c r="FR2" t="s">
        <v>93</v>
      </c>
      <c r="FS2" t="s">
        <v>94</v>
      </c>
      <c r="FT2" t="s">
        <v>95</v>
      </c>
      <c r="FU2" t="s">
        <v>96</v>
      </c>
      <c r="FV2" t="s">
        <v>97</v>
      </c>
      <c r="FW2" t="s">
        <v>98</v>
      </c>
      <c r="FX2" t="s">
        <v>99</v>
      </c>
      <c r="FY2" t="s">
        <v>100</v>
      </c>
      <c r="FZ2" t="s">
        <v>101</v>
      </c>
      <c r="GA2" t="s">
        <v>102</v>
      </c>
      <c r="GB2" t="s">
        <v>103</v>
      </c>
      <c r="GC2" t="s">
        <v>104</v>
      </c>
      <c r="GD2" t="s">
        <v>105</v>
      </c>
      <c r="GE2" t="s">
        <v>106</v>
      </c>
      <c r="GF2" t="s">
        <v>107</v>
      </c>
      <c r="GG2" t="s">
        <v>108</v>
      </c>
      <c r="GH2" t="s">
        <v>109</v>
      </c>
      <c r="GI2" t="s">
        <v>110</v>
      </c>
      <c r="GJ2" t="s">
        <v>111</v>
      </c>
      <c r="GK2" t="s">
        <v>112</v>
      </c>
      <c r="GL2" t="s">
        <v>113</v>
      </c>
      <c r="GM2" t="s">
        <v>114</v>
      </c>
      <c r="GN2" t="s">
        <v>115</v>
      </c>
      <c r="GO2" t="s">
        <v>116</v>
      </c>
      <c r="GP2" t="s">
        <v>117</v>
      </c>
      <c r="GQ2" t="s">
        <v>118</v>
      </c>
      <c r="GR2" t="s">
        <v>119</v>
      </c>
      <c r="GS2" t="s">
        <v>120</v>
      </c>
      <c r="GT2" t="s">
        <v>121</v>
      </c>
      <c r="GU2" t="s">
        <v>122</v>
      </c>
      <c r="GV2" t="s">
        <v>123</v>
      </c>
      <c r="GW2" t="s">
        <v>124</v>
      </c>
      <c r="GX2" t="s">
        <v>125</v>
      </c>
      <c r="GY2" t="s">
        <v>126</v>
      </c>
      <c r="GZ2" t="s">
        <v>127</v>
      </c>
      <c r="HA2" t="s">
        <v>128</v>
      </c>
      <c r="HB2" t="s">
        <v>129</v>
      </c>
      <c r="HC2" t="s">
        <v>130</v>
      </c>
      <c r="HD2" t="s">
        <v>131</v>
      </c>
      <c r="HE2" t="s">
        <v>132</v>
      </c>
      <c r="HF2" t="s">
        <v>133</v>
      </c>
      <c r="HG2" t="s">
        <v>134</v>
      </c>
      <c r="HH2" t="s">
        <v>135</v>
      </c>
      <c r="HI2" t="s">
        <v>136</v>
      </c>
      <c r="HJ2" t="s">
        <v>137</v>
      </c>
      <c r="HK2" t="s">
        <v>138</v>
      </c>
      <c r="HL2" t="s">
        <v>139</v>
      </c>
      <c r="HM2" t="s">
        <v>420</v>
      </c>
      <c r="HN2" t="s">
        <v>422</v>
      </c>
      <c r="HO2" t="s">
        <v>610</v>
      </c>
      <c r="HP2" t="s">
        <v>612</v>
      </c>
      <c r="HQ2" t="s">
        <v>615</v>
      </c>
      <c r="HR2" t="s">
        <v>618</v>
      </c>
      <c r="HS2" t="s">
        <v>621</v>
      </c>
      <c r="HT2" t="s">
        <v>624</v>
      </c>
      <c r="HU2" t="s">
        <v>715</v>
      </c>
      <c r="HV2" t="s">
        <v>720</v>
      </c>
      <c r="HW2" t="s">
        <v>739</v>
      </c>
      <c r="HX2" t="s">
        <v>740</v>
      </c>
      <c r="HY2" t="s">
        <v>741</v>
      </c>
      <c r="HZ2" t="s">
        <v>742</v>
      </c>
      <c r="IA2" t="s">
        <v>743</v>
      </c>
      <c r="IB2" t="s">
        <v>744</v>
      </c>
      <c r="IC2" t="s">
        <v>745</v>
      </c>
      <c r="ID2" t="s">
        <v>746</v>
      </c>
      <c r="IE2" t="s">
        <v>747</v>
      </c>
      <c r="IF2" t="s">
        <v>748</v>
      </c>
      <c r="IG2" t="s">
        <v>749</v>
      </c>
      <c r="IH2" t="s">
        <v>750</v>
      </c>
      <c r="II2" t="s">
        <v>751</v>
      </c>
      <c r="IJ2" t="s">
        <v>752</v>
      </c>
      <c r="IK2" t="s">
        <v>753</v>
      </c>
      <c r="IL2" t="s">
        <v>754</v>
      </c>
      <c r="IM2" t="s">
        <v>755</v>
      </c>
    </row>
  </sheetData>
  <phoneticPr fontId="1" type="noConversion"/>
  <pageMargins left="0.7" right="0.7" top="0.75" bottom="0.75" header="0.3" footer="0.3"/>
  <pageSetup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8EE80-4440-4B18-8DA6-6D8F054BB32D}">
  <dimension ref="A1:R179"/>
  <sheetViews>
    <sheetView topLeftCell="A101" workbookViewId="0">
      <selection activeCell="E114" sqref="E114:E179"/>
    </sheetView>
  </sheetViews>
  <sheetFormatPr baseColWidth="10" defaultRowHeight="14.4" x14ac:dyDescent="0.3"/>
  <sheetData>
    <row r="1" spans="1:18" x14ac:dyDescent="0.3">
      <c r="A1" s="1" t="s">
        <v>25</v>
      </c>
      <c r="B1" t="s">
        <v>81</v>
      </c>
      <c r="C1" t="s">
        <v>347</v>
      </c>
      <c r="D1">
        <v>145</v>
      </c>
      <c r="E1" t="s">
        <v>142</v>
      </c>
      <c r="F1" t="s">
        <v>231</v>
      </c>
      <c r="G1" t="str">
        <f t="shared" ref="G1:G46" si="0">+_xlfn.CONCAT("'",E1,"' : r_val['",E1,"'],")</f>
        <v>'razon_social' : r_val['razon_social'],</v>
      </c>
      <c r="H1" t="str">
        <f>+_xlfn.CONCAT("'",A1,"': ",A1,",")</f>
        <v>'logo1': logo1,</v>
      </c>
      <c r="I1" t="s">
        <v>565</v>
      </c>
      <c r="J1" t="str">
        <f>+_xlfn.CONCAT("img_path_",A1," = os.path.join(IMAGES_PATH, r_val['",A1,"'])")</f>
        <v>img_path_logo1 = os.path.join(IMAGES_PATH, r_val['logo1'])</v>
      </c>
      <c r="K1" t="str">
        <f>+_xlfn.CONCAT("if os.path.exists(img_path_",A1,"):")</f>
        <v>if os.path.exists(img_path_logo1):</v>
      </c>
      <c r="L1" t="str">
        <f>+_xlfn.CONCAT(A1," = InlineImage(docx_tpl, img_path_",A1,", height=Mm(",D1,"))")</f>
        <v>logo1 = InlineImage(docx_tpl, img_path_logo1, height=Mm(145))</v>
      </c>
      <c r="M1" t="s">
        <v>567</v>
      </c>
      <c r="N1" t="str">
        <f>+_xlfn.CONCAT("print(f'Advertencia: No se encontró la imagen {r_val['",A1,"']}')")</f>
        <v>print(f'Advertencia: No se encontró la imagen {r_val['logo1']}')</v>
      </c>
      <c r="O1" t="str">
        <f>+_xlfn.CONCAT(A1," = ''")</f>
        <v>logo1 = ''</v>
      </c>
      <c r="P1" t="s">
        <v>566</v>
      </c>
      <c r="Q1" t="str">
        <f>+_xlfn.CONCAT("print(f'Advertencia: No se pudo cargar la imagen {r_val['",A1,"']}: {e}')")</f>
        <v>print(f'Advertencia: No se pudo cargar la imagen {r_val['logo1']}: {e}')</v>
      </c>
      <c r="R1" t="str">
        <f>+_xlfn.CONCAT(A1," = ''")</f>
        <v>logo1 = ''</v>
      </c>
    </row>
    <row r="2" spans="1:18" x14ac:dyDescent="0.3">
      <c r="A2" t="s">
        <v>26</v>
      </c>
      <c r="B2" t="s">
        <v>82</v>
      </c>
      <c r="C2" t="s">
        <v>348</v>
      </c>
      <c r="D2">
        <v>15</v>
      </c>
      <c r="E2" t="s">
        <v>143</v>
      </c>
      <c r="F2" t="s">
        <v>232</v>
      </c>
      <c r="G2" t="str">
        <f t="shared" si="0"/>
        <v>'nombre_comercial' : r_val['nombre_comercial'],</v>
      </c>
      <c r="H2" t="str">
        <f t="shared" ref="H2:H66" si="1">+_xlfn.CONCAT("'",A2,"': ",A2,",")</f>
        <v>'logo2': logo2,</v>
      </c>
      <c r="I2" t="s">
        <v>565</v>
      </c>
      <c r="J2" t="str">
        <f t="shared" ref="J2:J65" si="2">+_xlfn.CONCAT("img_path_",A2," = os.path.join(IMAGES_PATH, r_val['",A2,"'])")</f>
        <v>img_path_logo2 = os.path.join(IMAGES_PATH, r_val['logo2'])</v>
      </c>
      <c r="K2" t="str">
        <f t="shared" ref="K2:K65" si="3">+_xlfn.CONCAT("if os.path.exists(img_path_",A2,"):")</f>
        <v>if os.path.exists(img_path_logo2):</v>
      </c>
      <c r="L2" t="str">
        <f t="shared" ref="L2:L65" si="4">+_xlfn.CONCAT(A2," = InlineImage(docx_tpl, img_path_",A2,", height=Mm(",D2,"))")</f>
        <v>logo2 = InlineImage(docx_tpl, img_path_logo2, height=Mm(15))</v>
      </c>
      <c r="M2" t="s">
        <v>567</v>
      </c>
      <c r="N2" t="str">
        <f t="shared" ref="N2:N65" si="5">+_xlfn.CONCAT("print(f'Advertencia: No se encontró la imagen {r_val['",A2,"']}')")</f>
        <v>print(f'Advertencia: No se encontró la imagen {r_val['logo2']}')</v>
      </c>
      <c r="O2" t="str">
        <f t="shared" ref="O2:O65" si="6">+_xlfn.CONCAT(A2," = ''")</f>
        <v>logo2 = ''</v>
      </c>
      <c r="P2" t="s">
        <v>566</v>
      </c>
      <c r="Q2" t="str">
        <f t="shared" ref="Q2:Q65" si="7">+_xlfn.CONCAT("print(f'Advertencia: No se pudo cargar la imagen {r_val['",A2,"']}: {e}')")</f>
        <v>print(f'Advertencia: No se pudo cargar la imagen {r_val['logo2']}: {e}')</v>
      </c>
      <c r="R2" t="str">
        <f t="shared" ref="R2:R65" si="8">+_xlfn.CONCAT(A2," = ''")</f>
        <v>logo2 = ''</v>
      </c>
    </row>
    <row r="3" spans="1:18" x14ac:dyDescent="0.3">
      <c r="A3" t="s">
        <v>24</v>
      </c>
      <c r="B3" t="s">
        <v>83</v>
      </c>
      <c r="C3" t="s">
        <v>349</v>
      </c>
      <c r="D3">
        <v>105</v>
      </c>
      <c r="E3" t="s">
        <v>144</v>
      </c>
      <c r="F3" t="s">
        <v>233</v>
      </c>
      <c r="G3" t="str">
        <f t="shared" si="0"/>
        <v>'rfc' : r_val['rfc'],</v>
      </c>
      <c r="H3" t="str">
        <f t="shared" si="1"/>
        <v>'fachada': fachada,</v>
      </c>
      <c r="I3" t="s">
        <v>565</v>
      </c>
      <c r="J3" t="str">
        <f t="shared" si="2"/>
        <v>img_path_fachada = os.path.join(IMAGES_PATH, r_val['fachada'])</v>
      </c>
      <c r="K3" t="str">
        <f t="shared" si="3"/>
        <v>if os.path.exists(img_path_fachada):</v>
      </c>
      <c r="L3" t="str">
        <f t="shared" si="4"/>
        <v>fachada = InlineImage(docx_tpl, img_path_fachada, height=Mm(105))</v>
      </c>
      <c r="M3" t="s">
        <v>567</v>
      </c>
      <c r="N3" t="str">
        <f t="shared" si="5"/>
        <v>print(f'Advertencia: No se encontró la imagen {r_val['fachada']}')</v>
      </c>
      <c r="O3" t="str">
        <f t="shared" si="6"/>
        <v>fachada = ''</v>
      </c>
      <c r="P3" t="s">
        <v>566</v>
      </c>
      <c r="Q3" t="str">
        <f t="shared" si="7"/>
        <v>print(f'Advertencia: No se pudo cargar la imagen {r_val['fachada']}: {e}')</v>
      </c>
      <c r="R3" t="str">
        <f t="shared" si="8"/>
        <v>fachada = ''</v>
      </c>
    </row>
    <row r="4" spans="1:18" x14ac:dyDescent="0.3">
      <c r="A4" t="s">
        <v>27</v>
      </c>
      <c r="B4" t="s">
        <v>84</v>
      </c>
      <c r="C4" t="s">
        <v>350</v>
      </c>
      <c r="D4">
        <v>95</v>
      </c>
      <c r="E4" t="s">
        <v>145</v>
      </c>
      <c r="F4" t="s">
        <v>234</v>
      </c>
      <c r="G4" t="str">
        <f t="shared" si="0"/>
        <v>'codigo_gasolinera' : r_val['codigo_gasolinera'],</v>
      </c>
      <c r="H4" t="str">
        <f t="shared" si="1"/>
        <v>'mapa': mapa,</v>
      </c>
      <c r="I4" t="s">
        <v>565</v>
      </c>
      <c r="J4" t="str">
        <f t="shared" si="2"/>
        <v>img_path_mapa = os.path.join(IMAGES_PATH, r_val['mapa'])</v>
      </c>
      <c r="K4" t="str">
        <f t="shared" si="3"/>
        <v>if os.path.exists(img_path_mapa):</v>
      </c>
      <c r="L4" t="str">
        <f t="shared" si="4"/>
        <v>mapa = InlineImage(docx_tpl, img_path_mapa, height=Mm(95))</v>
      </c>
      <c r="M4" t="s">
        <v>567</v>
      </c>
      <c r="N4" t="str">
        <f t="shared" si="5"/>
        <v>print(f'Advertencia: No se encontró la imagen {r_val['mapa']}')</v>
      </c>
      <c r="O4" t="str">
        <f t="shared" si="6"/>
        <v>mapa = ''</v>
      </c>
      <c r="P4" t="s">
        <v>566</v>
      </c>
      <c r="Q4" t="str">
        <f t="shared" si="7"/>
        <v>print(f'Advertencia: No se pudo cargar la imagen {r_val['mapa']}: {e}')</v>
      </c>
      <c r="R4" t="str">
        <f t="shared" si="8"/>
        <v>mapa = ''</v>
      </c>
    </row>
    <row r="5" spans="1:18" x14ac:dyDescent="0.3">
      <c r="A5" t="s">
        <v>403</v>
      </c>
      <c r="B5" t="s">
        <v>404</v>
      </c>
      <c r="C5" t="s">
        <v>405</v>
      </c>
      <c r="D5">
        <v>60</v>
      </c>
      <c r="E5" t="s">
        <v>146</v>
      </c>
      <c r="F5" t="s">
        <v>235</v>
      </c>
      <c r="G5" t="str">
        <f t="shared" si="0"/>
        <v>'giro_comercial' : r_val['giro_comercial'],</v>
      </c>
      <c r="H5" t="str">
        <f t="shared" si="1"/>
        <v>'esc_emer': esc_emer,</v>
      </c>
      <c r="I5" t="s">
        <v>565</v>
      </c>
      <c r="J5" t="str">
        <f t="shared" si="2"/>
        <v>img_path_esc_emer = os.path.join(IMAGES_PATH, r_val['esc_emer'])</v>
      </c>
      <c r="K5" t="str">
        <f t="shared" si="3"/>
        <v>if os.path.exists(img_path_esc_emer):</v>
      </c>
      <c r="L5" t="str">
        <f t="shared" si="4"/>
        <v>esc_emer = InlineImage(docx_tpl, img_path_esc_emer, height=Mm(60))</v>
      </c>
      <c r="M5" t="s">
        <v>567</v>
      </c>
      <c r="N5" t="str">
        <f t="shared" si="5"/>
        <v>print(f'Advertencia: No se encontró la imagen {r_val['esc_emer']}')</v>
      </c>
      <c r="O5" t="str">
        <f t="shared" si="6"/>
        <v>esc_emer = ''</v>
      </c>
      <c r="P5" t="s">
        <v>566</v>
      </c>
      <c r="Q5" t="str">
        <f t="shared" si="7"/>
        <v>print(f'Advertencia: No se pudo cargar la imagen {r_val['esc_emer']}: {e}')</v>
      </c>
      <c r="R5" t="str">
        <f t="shared" si="8"/>
        <v>esc_emer = ''</v>
      </c>
    </row>
    <row r="6" spans="1:18" x14ac:dyDescent="0.3">
      <c r="A6" t="s">
        <v>28</v>
      </c>
      <c r="B6" t="s">
        <v>85</v>
      </c>
      <c r="C6" t="s">
        <v>351</v>
      </c>
      <c r="D6">
        <v>60</v>
      </c>
      <c r="E6" t="s">
        <v>147</v>
      </c>
      <c r="F6" t="s">
        <v>236</v>
      </c>
      <c r="G6" t="str">
        <f t="shared" si="0"/>
        <v>'descripcion_actividades' : r_val['descripcion_actividades'],</v>
      </c>
      <c r="H6" t="str">
        <f t="shared" si="1"/>
        <v>'mueble1': mueble1,</v>
      </c>
      <c r="I6" t="s">
        <v>565</v>
      </c>
      <c r="J6" t="str">
        <f t="shared" si="2"/>
        <v>img_path_mueble1 = os.path.join(IMAGES_PATH, r_val['mueble1'])</v>
      </c>
      <c r="K6" t="str">
        <f t="shared" si="3"/>
        <v>if os.path.exists(img_path_mueble1):</v>
      </c>
      <c r="L6" t="str">
        <f t="shared" si="4"/>
        <v>mueble1 = InlineImage(docx_tpl, img_path_mueble1, height=Mm(60))</v>
      </c>
      <c r="M6" t="s">
        <v>567</v>
      </c>
      <c r="N6" t="str">
        <f t="shared" si="5"/>
        <v>print(f'Advertencia: No se encontró la imagen {r_val['mueble1']}')</v>
      </c>
      <c r="O6" t="str">
        <f t="shared" si="6"/>
        <v>mueble1 = ''</v>
      </c>
      <c r="P6" t="s">
        <v>566</v>
      </c>
      <c r="Q6" t="str">
        <f t="shared" si="7"/>
        <v>print(f'Advertencia: No se pudo cargar la imagen {r_val['mueble1']}: {e}')</v>
      </c>
      <c r="R6" t="str">
        <f t="shared" si="8"/>
        <v>mueble1 = ''</v>
      </c>
    </row>
    <row r="7" spans="1:18" x14ac:dyDescent="0.3">
      <c r="A7" t="s">
        <v>29</v>
      </c>
      <c r="B7" t="s">
        <v>86</v>
      </c>
      <c r="C7" t="s">
        <v>352</v>
      </c>
      <c r="D7">
        <v>60</v>
      </c>
      <c r="E7" t="s">
        <v>148</v>
      </c>
      <c r="F7" t="s">
        <v>237</v>
      </c>
      <c r="G7" t="str">
        <f t="shared" si="0"/>
        <v>'calle' : r_val['calle'],</v>
      </c>
      <c r="H7" t="str">
        <f t="shared" si="1"/>
        <v>'mueble2': mueble2,</v>
      </c>
      <c r="I7" t="s">
        <v>565</v>
      </c>
      <c r="J7" t="str">
        <f t="shared" si="2"/>
        <v>img_path_mueble2 = os.path.join(IMAGES_PATH, r_val['mueble2'])</v>
      </c>
      <c r="K7" t="str">
        <f t="shared" si="3"/>
        <v>if os.path.exists(img_path_mueble2):</v>
      </c>
      <c r="L7" t="str">
        <f t="shared" si="4"/>
        <v>mueble2 = InlineImage(docx_tpl, img_path_mueble2, height=Mm(60))</v>
      </c>
      <c r="M7" t="s">
        <v>567</v>
      </c>
      <c r="N7" t="str">
        <f t="shared" si="5"/>
        <v>print(f'Advertencia: No se encontró la imagen {r_val['mueble2']}')</v>
      </c>
      <c r="O7" t="str">
        <f t="shared" si="6"/>
        <v>mueble2 = ''</v>
      </c>
      <c r="P7" t="s">
        <v>566</v>
      </c>
      <c r="Q7" t="str">
        <f t="shared" si="7"/>
        <v>print(f'Advertencia: No se pudo cargar la imagen {r_val['mueble2']}: {e}')</v>
      </c>
      <c r="R7" t="str">
        <f t="shared" si="8"/>
        <v>mueble2 = ''</v>
      </c>
    </row>
    <row r="8" spans="1:18" x14ac:dyDescent="0.3">
      <c r="A8" t="s">
        <v>188</v>
      </c>
      <c r="B8" t="s">
        <v>408</v>
      </c>
      <c r="C8" t="s">
        <v>279</v>
      </c>
      <c r="D8">
        <v>60</v>
      </c>
      <c r="E8" t="s">
        <v>149</v>
      </c>
      <c r="F8" t="s">
        <v>238</v>
      </c>
      <c r="G8" t="str">
        <f t="shared" si="0"/>
        <v>'no_exterior' : r_val['no_exterior'],</v>
      </c>
      <c r="H8" t="str">
        <f t="shared" si="1"/>
        <v>'venteo': venteo,</v>
      </c>
      <c r="I8" t="s">
        <v>565</v>
      </c>
      <c r="J8" t="str">
        <f t="shared" si="2"/>
        <v>img_path_venteo = os.path.join(IMAGES_PATH, r_val['venteo'])</v>
      </c>
      <c r="K8" t="str">
        <f t="shared" si="3"/>
        <v>if os.path.exists(img_path_venteo):</v>
      </c>
      <c r="L8" t="str">
        <f t="shared" si="4"/>
        <v>venteo = InlineImage(docx_tpl, img_path_venteo, height=Mm(60))</v>
      </c>
      <c r="M8" t="s">
        <v>567</v>
      </c>
      <c r="N8" t="str">
        <f t="shared" si="5"/>
        <v>print(f'Advertencia: No se encontró la imagen {r_val['venteo']}')</v>
      </c>
      <c r="O8" t="str">
        <f t="shared" si="6"/>
        <v>venteo = ''</v>
      </c>
      <c r="P8" t="s">
        <v>566</v>
      </c>
      <c r="Q8" t="str">
        <f t="shared" si="7"/>
        <v>print(f'Advertencia: No se pudo cargar la imagen {r_val['venteo']}: {e}')</v>
      </c>
      <c r="R8" t="str">
        <f t="shared" si="8"/>
        <v>venteo = ''</v>
      </c>
    </row>
    <row r="9" spans="1:18" x14ac:dyDescent="0.3">
      <c r="A9" t="s">
        <v>410</v>
      </c>
      <c r="B9" t="s">
        <v>411</v>
      </c>
      <c r="C9" t="s">
        <v>409</v>
      </c>
      <c r="D9">
        <v>60</v>
      </c>
      <c r="E9" t="s">
        <v>150</v>
      </c>
      <c r="F9" t="s">
        <v>239</v>
      </c>
      <c r="G9" t="str">
        <f t="shared" si="0"/>
        <v>'no_interior' : r_val['no_interior'],</v>
      </c>
      <c r="H9" t="str">
        <f t="shared" si="1"/>
        <v>'manguera': manguera,</v>
      </c>
      <c r="I9" t="s">
        <v>565</v>
      </c>
      <c r="J9" t="str">
        <f t="shared" si="2"/>
        <v>img_path_manguera = os.path.join(IMAGES_PATH, r_val['manguera'])</v>
      </c>
      <c r="K9" t="str">
        <f t="shared" si="3"/>
        <v>if os.path.exists(img_path_manguera):</v>
      </c>
      <c r="L9" t="str">
        <f t="shared" si="4"/>
        <v>manguera = InlineImage(docx_tpl, img_path_manguera, height=Mm(60))</v>
      </c>
      <c r="M9" t="s">
        <v>567</v>
      </c>
      <c r="N9" t="str">
        <f t="shared" si="5"/>
        <v>print(f'Advertencia: No se encontró la imagen {r_val['manguera']}')</v>
      </c>
      <c r="O9" t="str">
        <f t="shared" si="6"/>
        <v>manguera = ''</v>
      </c>
      <c r="P9" t="s">
        <v>566</v>
      </c>
      <c r="Q9" t="str">
        <f t="shared" si="7"/>
        <v>print(f'Advertencia: No se pudo cargar la imagen {r_val['manguera']}: {e}')</v>
      </c>
      <c r="R9" t="str">
        <f t="shared" si="8"/>
        <v>manguera = ''</v>
      </c>
    </row>
    <row r="10" spans="1:18" x14ac:dyDescent="0.3">
      <c r="A10" t="s">
        <v>30</v>
      </c>
      <c r="B10" t="s">
        <v>87</v>
      </c>
      <c r="C10" t="s">
        <v>353</v>
      </c>
      <c r="D10">
        <v>60</v>
      </c>
      <c r="E10" t="s">
        <v>151</v>
      </c>
      <c r="F10" t="s">
        <v>240</v>
      </c>
      <c r="G10" t="str">
        <f t="shared" si="0"/>
        <v>'colonia_barrio' : r_val['colonia_barrio'],</v>
      </c>
      <c r="H10" t="str">
        <f t="shared" si="1"/>
        <v>'electrico': electrico,</v>
      </c>
      <c r="I10" t="s">
        <v>565</v>
      </c>
      <c r="J10" t="str">
        <f t="shared" si="2"/>
        <v>img_path_electrico = os.path.join(IMAGES_PATH, r_val['electrico'])</v>
      </c>
      <c r="K10" t="str">
        <f t="shared" si="3"/>
        <v>if os.path.exists(img_path_electrico):</v>
      </c>
      <c r="L10" t="str">
        <f t="shared" si="4"/>
        <v>electrico = InlineImage(docx_tpl, img_path_electrico, height=Mm(60))</v>
      </c>
      <c r="M10" t="s">
        <v>567</v>
      </c>
      <c r="N10" t="str">
        <f t="shared" si="5"/>
        <v>print(f'Advertencia: No se encontró la imagen {r_val['electrico']}')</v>
      </c>
      <c r="O10" t="str">
        <f t="shared" si="6"/>
        <v>electrico = ''</v>
      </c>
      <c r="P10" t="s">
        <v>566</v>
      </c>
      <c r="Q10" t="str">
        <f t="shared" si="7"/>
        <v>print(f'Advertencia: No se pudo cargar la imagen {r_val['electrico']}: {e}')</v>
      </c>
      <c r="R10" t="str">
        <f t="shared" si="8"/>
        <v>electrico = ''</v>
      </c>
    </row>
    <row r="11" spans="1:18" x14ac:dyDescent="0.3">
      <c r="A11" t="s">
        <v>31</v>
      </c>
      <c r="B11" t="s">
        <v>88</v>
      </c>
      <c r="C11" t="s">
        <v>354</v>
      </c>
      <c r="D11">
        <v>60</v>
      </c>
      <c r="E11" t="s">
        <v>152</v>
      </c>
      <c r="F11" t="s">
        <v>241</v>
      </c>
      <c r="G11" t="str">
        <f t="shared" si="0"/>
        <v>'municipio' : r_val['municipio'],</v>
      </c>
      <c r="H11" t="str">
        <f t="shared" si="1"/>
        <v>'banio': banio,</v>
      </c>
      <c r="I11" t="s">
        <v>565</v>
      </c>
      <c r="J11" t="str">
        <f t="shared" si="2"/>
        <v>img_path_banio = os.path.join(IMAGES_PATH, r_val['banio'])</v>
      </c>
      <c r="K11" t="str">
        <f t="shared" si="3"/>
        <v>if os.path.exists(img_path_banio):</v>
      </c>
      <c r="L11" t="str">
        <f t="shared" si="4"/>
        <v>banio = InlineImage(docx_tpl, img_path_banio, height=Mm(60))</v>
      </c>
      <c r="M11" t="s">
        <v>567</v>
      </c>
      <c r="N11" t="str">
        <f t="shared" si="5"/>
        <v>print(f'Advertencia: No se encontró la imagen {r_val['banio']}')</v>
      </c>
      <c r="O11" t="str">
        <f t="shared" si="6"/>
        <v>banio = ''</v>
      </c>
      <c r="P11" t="s">
        <v>566</v>
      </c>
      <c r="Q11" t="str">
        <f t="shared" si="7"/>
        <v>print(f'Advertencia: No se pudo cargar la imagen {r_val['banio']}: {e}')</v>
      </c>
      <c r="R11" t="str">
        <f t="shared" si="8"/>
        <v>banio = ''</v>
      </c>
    </row>
    <row r="12" spans="1:18" x14ac:dyDescent="0.3">
      <c r="A12" t="s">
        <v>412</v>
      </c>
      <c r="B12" t="s">
        <v>413</v>
      </c>
      <c r="C12" t="s">
        <v>414</v>
      </c>
      <c r="D12">
        <v>60</v>
      </c>
      <c r="E12" t="s">
        <v>153</v>
      </c>
      <c r="F12" t="s">
        <v>242</v>
      </c>
      <c r="G12" t="str">
        <f t="shared" si="0"/>
        <v>'estado' : r_val['estado'],</v>
      </c>
      <c r="H12" t="str">
        <f t="shared" si="1"/>
        <v>'cisterna': cisterna,</v>
      </c>
      <c r="I12" t="s">
        <v>565</v>
      </c>
      <c r="J12" t="str">
        <f t="shared" si="2"/>
        <v>img_path_cisterna = os.path.join(IMAGES_PATH, r_val['cisterna'])</v>
      </c>
      <c r="K12" t="str">
        <f t="shared" si="3"/>
        <v>if os.path.exists(img_path_cisterna):</v>
      </c>
      <c r="L12" t="str">
        <f t="shared" si="4"/>
        <v>cisterna = InlineImage(docx_tpl, img_path_cisterna, height=Mm(60))</v>
      </c>
      <c r="M12" t="s">
        <v>567</v>
      </c>
      <c r="N12" t="str">
        <f t="shared" si="5"/>
        <v>print(f'Advertencia: No se encontró la imagen {r_val['cisterna']}')</v>
      </c>
      <c r="O12" t="str">
        <f t="shared" si="6"/>
        <v>cisterna = ''</v>
      </c>
      <c r="P12" t="s">
        <v>566</v>
      </c>
      <c r="Q12" t="str">
        <f t="shared" si="7"/>
        <v>print(f'Advertencia: No se pudo cargar la imagen {r_val['cisterna']}: {e}')</v>
      </c>
      <c r="R12" t="str">
        <f t="shared" si="8"/>
        <v>cisterna = ''</v>
      </c>
    </row>
    <row r="13" spans="1:18" x14ac:dyDescent="0.3">
      <c r="A13" t="s">
        <v>32</v>
      </c>
      <c r="B13" t="s">
        <v>89</v>
      </c>
      <c r="C13" t="s">
        <v>355</v>
      </c>
      <c r="D13">
        <v>70</v>
      </c>
      <c r="E13" t="s">
        <v>154</v>
      </c>
      <c r="F13" t="s">
        <v>243</v>
      </c>
      <c r="G13" t="str">
        <f t="shared" si="0"/>
        <v>'codigo_postal' : r_val['codigo_postal'],</v>
      </c>
      <c r="H13" t="str">
        <f t="shared" si="1"/>
        <v>'sismo': sismo,</v>
      </c>
      <c r="I13" t="s">
        <v>565</v>
      </c>
      <c r="J13" t="str">
        <f t="shared" si="2"/>
        <v>img_path_sismo = os.path.join(IMAGES_PATH, r_val['sismo'])</v>
      </c>
      <c r="K13" t="str">
        <f t="shared" si="3"/>
        <v>if os.path.exists(img_path_sismo):</v>
      </c>
      <c r="L13" t="str">
        <f t="shared" si="4"/>
        <v>sismo = InlineImage(docx_tpl, img_path_sismo, height=Mm(70))</v>
      </c>
      <c r="M13" t="s">
        <v>567</v>
      </c>
      <c r="N13" t="str">
        <f t="shared" si="5"/>
        <v>print(f'Advertencia: No se encontró la imagen {r_val['sismo']}')</v>
      </c>
      <c r="O13" t="str">
        <f t="shared" si="6"/>
        <v>sismo = ''</v>
      </c>
      <c r="P13" t="s">
        <v>566</v>
      </c>
      <c r="Q13" t="str">
        <f t="shared" si="7"/>
        <v>print(f'Advertencia: No se pudo cargar la imagen {r_val['sismo']}: {e}')</v>
      </c>
      <c r="R13" t="str">
        <f t="shared" si="8"/>
        <v>sismo = ''</v>
      </c>
    </row>
    <row r="14" spans="1:18" x14ac:dyDescent="0.3">
      <c r="A14" t="s">
        <v>33</v>
      </c>
      <c r="B14" t="s">
        <v>90</v>
      </c>
      <c r="C14" t="s">
        <v>356</v>
      </c>
      <c r="D14">
        <v>70</v>
      </c>
      <c r="E14" t="s">
        <v>155</v>
      </c>
      <c r="F14" t="s">
        <v>244</v>
      </c>
      <c r="G14" t="str">
        <f t="shared" si="0"/>
        <v>'telefono' : r_val['telefono'],</v>
      </c>
      <c r="H14" t="str">
        <f t="shared" si="1"/>
        <v>'inundacion': inundacion,</v>
      </c>
      <c r="I14" t="s">
        <v>565</v>
      </c>
      <c r="J14" t="str">
        <f t="shared" si="2"/>
        <v>img_path_inundacion = os.path.join(IMAGES_PATH, r_val['inundacion'])</v>
      </c>
      <c r="K14" t="str">
        <f t="shared" si="3"/>
        <v>if os.path.exists(img_path_inundacion):</v>
      </c>
      <c r="L14" t="str">
        <f t="shared" si="4"/>
        <v>inundacion = InlineImage(docx_tpl, img_path_inundacion, height=Mm(70))</v>
      </c>
      <c r="M14" t="s">
        <v>567</v>
      </c>
      <c r="N14" t="str">
        <f t="shared" si="5"/>
        <v>print(f'Advertencia: No se encontró la imagen {r_val['inundacion']}')</v>
      </c>
      <c r="O14" t="str">
        <f t="shared" si="6"/>
        <v>inundacion = ''</v>
      </c>
      <c r="P14" t="s">
        <v>566</v>
      </c>
      <c r="Q14" t="str">
        <f t="shared" si="7"/>
        <v>print(f'Advertencia: No se pudo cargar la imagen {r_val['inundacion']}: {e}')</v>
      </c>
      <c r="R14" t="str">
        <f t="shared" si="8"/>
        <v>inundacion = ''</v>
      </c>
    </row>
    <row r="15" spans="1:18" x14ac:dyDescent="0.3">
      <c r="A15" t="s">
        <v>34</v>
      </c>
      <c r="B15" t="s">
        <v>91</v>
      </c>
      <c r="C15" t="s">
        <v>357</v>
      </c>
      <c r="D15">
        <v>70</v>
      </c>
      <c r="E15" t="s">
        <v>156</v>
      </c>
      <c r="F15" t="s">
        <v>245</v>
      </c>
      <c r="G15" t="str">
        <f t="shared" si="0"/>
        <v>'email' : r_val['email'],</v>
      </c>
      <c r="H15" t="str">
        <f t="shared" si="1"/>
        <v>'torm_elect': torm_elect,</v>
      </c>
      <c r="I15" t="s">
        <v>565</v>
      </c>
      <c r="J15" t="str">
        <f t="shared" si="2"/>
        <v>img_path_torm_elect = os.path.join(IMAGES_PATH, r_val['torm_elect'])</v>
      </c>
      <c r="K15" t="str">
        <f t="shared" si="3"/>
        <v>if os.path.exists(img_path_torm_elect):</v>
      </c>
      <c r="L15" t="str">
        <f t="shared" si="4"/>
        <v>torm_elect = InlineImage(docx_tpl, img_path_torm_elect, height=Mm(70))</v>
      </c>
      <c r="M15" t="s">
        <v>567</v>
      </c>
      <c r="N15" t="str">
        <f t="shared" si="5"/>
        <v>print(f'Advertencia: No se encontró la imagen {r_val['torm_elect']}')</v>
      </c>
      <c r="O15" t="str">
        <f t="shared" si="6"/>
        <v>torm_elect = ''</v>
      </c>
      <c r="P15" t="s">
        <v>566</v>
      </c>
      <c r="Q15" t="str">
        <f t="shared" si="7"/>
        <v>print(f'Advertencia: No se pudo cargar la imagen {r_val['torm_elect']}: {e}')</v>
      </c>
      <c r="R15" t="str">
        <f t="shared" si="8"/>
        <v>torm_elect = ''</v>
      </c>
    </row>
    <row r="16" spans="1:18" x14ac:dyDescent="0.3">
      <c r="A16" t="s">
        <v>35</v>
      </c>
      <c r="B16" t="s">
        <v>92</v>
      </c>
      <c r="C16" t="s">
        <v>358</v>
      </c>
      <c r="D16">
        <v>70</v>
      </c>
      <c r="E16" t="s">
        <v>157</v>
      </c>
      <c r="F16" t="s">
        <v>246</v>
      </c>
      <c r="G16" t="str">
        <f t="shared" si="0"/>
        <v>'antiguedad_inmueble' : r_val['antiguedad_inmueble'],</v>
      </c>
      <c r="H16" t="str">
        <f t="shared" si="1"/>
        <v>'incendio': incendio,</v>
      </c>
      <c r="I16" t="s">
        <v>565</v>
      </c>
      <c r="J16" t="str">
        <f t="shared" si="2"/>
        <v>img_path_incendio = os.path.join(IMAGES_PATH, r_val['incendio'])</v>
      </c>
      <c r="K16" t="str">
        <f t="shared" si="3"/>
        <v>if os.path.exists(img_path_incendio):</v>
      </c>
      <c r="L16" t="str">
        <f t="shared" si="4"/>
        <v>incendio = InlineImage(docx_tpl, img_path_incendio, height=Mm(70))</v>
      </c>
      <c r="M16" t="s">
        <v>567</v>
      </c>
      <c r="N16" t="str">
        <f t="shared" si="5"/>
        <v>print(f'Advertencia: No se encontró la imagen {r_val['incendio']}')</v>
      </c>
      <c r="O16" t="str">
        <f t="shared" si="6"/>
        <v>incendio = ''</v>
      </c>
      <c r="P16" t="s">
        <v>566</v>
      </c>
      <c r="Q16" t="str">
        <f t="shared" si="7"/>
        <v>print(f'Advertencia: No se pudo cargar la imagen {r_val['incendio']}: {e}')</v>
      </c>
      <c r="R16" t="str">
        <f t="shared" si="8"/>
        <v>incendio = ''</v>
      </c>
    </row>
    <row r="17" spans="1:18" x14ac:dyDescent="0.3">
      <c r="A17" t="s">
        <v>36</v>
      </c>
      <c r="B17" t="s">
        <v>93</v>
      </c>
      <c r="C17" t="s">
        <v>359</v>
      </c>
      <c r="D17">
        <v>70</v>
      </c>
      <c r="E17" t="s">
        <v>158</v>
      </c>
      <c r="F17" t="s">
        <v>247</v>
      </c>
      <c r="G17" t="str">
        <f t="shared" si="0"/>
        <v>'inicio_operaciones' : r_val['inicio_operaciones'],</v>
      </c>
      <c r="H17" t="str">
        <f t="shared" si="1"/>
        <v>'influenza': influenza,</v>
      </c>
      <c r="I17" t="s">
        <v>565</v>
      </c>
      <c r="J17" t="str">
        <f t="shared" si="2"/>
        <v>img_path_influenza = os.path.join(IMAGES_PATH, r_val['influenza'])</v>
      </c>
      <c r="K17" t="str">
        <f t="shared" si="3"/>
        <v>if os.path.exists(img_path_influenza):</v>
      </c>
      <c r="L17" t="str">
        <f t="shared" si="4"/>
        <v>influenza = InlineImage(docx_tpl, img_path_influenza, height=Mm(70))</v>
      </c>
      <c r="M17" t="s">
        <v>567</v>
      </c>
      <c r="N17" t="str">
        <f t="shared" si="5"/>
        <v>print(f'Advertencia: No se encontró la imagen {r_val['influenza']}')</v>
      </c>
      <c r="O17" t="str">
        <f t="shared" si="6"/>
        <v>influenza = ''</v>
      </c>
      <c r="P17" t="s">
        <v>566</v>
      </c>
      <c r="Q17" t="str">
        <f t="shared" si="7"/>
        <v>print(f'Advertencia: No se pudo cargar la imagen {r_val['influenza']}: {e}')</v>
      </c>
      <c r="R17" t="str">
        <f t="shared" si="8"/>
        <v>influenza = ''</v>
      </c>
    </row>
    <row r="18" spans="1:18" x14ac:dyDescent="0.3">
      <c r="A18" t="s">
        <v>37</v>
      </c>
      <c r="B18" t="s">
        <v>94</v>
      </c>
      <c r="C18" t="s">
        <v>360</v>
      </c>
      <c r="D18">
        <v>70</v>
      </c>
      <c r="E18" t="s">
        <v>159</v>
      </c>
      <c r="F18" t="s">
        <v>248</v>
      </c>
      <c r="G18" t="str">
        <f t="shared" si="0"/>
        <v>'mod_estructurales' : r_val['mod_estructurales'],</v>
      </c>
      <c r="H18" t="str">
        <f t="shared" si="1"/>
        <v>'radiacion': radiacion,</v>
      </c>
      <c r="I18" t="s">
        <v>565</v>
      </c>
      <c r="J18" t="str">
        <f t="shared" si="2"/>
        <v>img_path_radiacion = os.path.join(IMAGES_PATH, r_val['radiacion'])</v>
      </c>
      <c r="K18" t="str">
        <f t="shared" si="3"/>
        <v>if os.path.exists(img_path_radiacion):</v>
      </c>
      <c r="L18" t="str">
        <f t="shared" si="4"/>
        <v>radiacion = InlineImage(docx_tpl, img_path_radiacion, height=Mm(70))</v>
      </c>
      <c r="M18" t="s">
        <v>567</v>
      </c>
      <c r="N18" t="str">
        <f t="shared" si="5"/>
        <v>print(f'Advertencia: No se encontró la imagen {r_val['radiacion']}')</v>
      </c>
      <c r="O18" t="str">
        <f t="shared" si="6"/>
        <v>radiacion = ''</v>
      </c>
      <c r="P18" t="s">
        <v>566</v>
      </c>
      <c r="Q18" t="str">
        <f t="shared" si="7"/>
        <v>print(f'Advertencia: No se pudo cargar la imagen {r_val['radiacion']}: {e}')</v>
      </c>
      <c r="R18" t="str">
        <f t="shared" si="8"/>
        <v>radiacion = ''</v>
      </c>
    </row>
    <row r="19" spans="1:18" x14ac:dyDescent="0.3">
      <c r="A19" t="s">
        <v>38</v>
      </c>
      <c r="B19" t="s">
        <v>95</v>
      </c>
      <c r="C19" t="s">
        <v>361</v>
      </c>
      <c r="D19">
        <v>60</v>
      </c>
      <c r="E19" t="s">
        <v>160</v>
      </c>
      <c r="F19" t="s">
        <v>249</v>
      </c>
      <c r="G19" t="str">
        <f t="shared" si="0"/>
        <v>'mod_arquitect' : r_val['mod_arquitect'],</v>
      </c>
      <c r="H19" t="str">
        <f t="shared" si="1"/>
        <v>'ext1': ext1,</v>
      </c>
      <c r="I19" t="s">
        <v>565</v>
      </c>
      <c r="J19" t="str">
        <f t="shared" si="2"/>
        <v>img_path_ext1 = os.path.join(IMAGES_PATH, r_val['ext1'])</v>
      </c>
      <c r="K19" t="str">
        <f t="shared" si="3"/>
        <v>if os.path.exists(img_path_ext1):</v>
      </c>
      <c r="L19" t="str">
        <f t="shared" si="4"/>
        <v>ext1 = InlineImage(docx_tpl, img_path_ext1, height=Mm(60))</v>
      </c>
      <c r="M19" t="s">
        <v>567</v>
      </c>
      <c r="N19" t="str">
        <f t="shared" si="5"/>
        <v>print(f'Advertencia: No se encontró la imagen {r_val['ext1']}')</v>
      </c>
      <c r="O19" t="str">
        <f t="shared" si="6"/>
        <v>ext1 = ''</v>
      </c>
      <c r="P19" t="s">
        <v>566</v>
      </c>
      <c r="Q19" t="str">
        <f t="shared" si="7"/>
        <v>print(f'Advertencia: No se pudo cargar la imagen {r_val['ext1']}: {e}')</v>
      </c>
      <c r="R19" t="str">
        <f t="shared" si="8"/>
        <v>ext1 = ''</v>
      </c>
    </row>
    <row r="20" spans="1:18" x14ac:dyDescent="0.3">
      <c r="A20" t="s">
        <v>39</v>
      </c>
      <c r="B20" t="s">
        <v>96</v>
      </c>
      <c r="C20" t="s">
        <v>362</v>
      </c>
      <c r="D20">
        <v>60</v>
      </c>
      <c r="E20" t="s">
        <v>161</v>
      </c>
      <c r="F20" t="s">
        <v>250</v>
      </c>
      <c r="G20" t="str">
        <f t="shared" si="0"/>
        <v>'terreno_m2' : r_val['terreno_m2'],</v>
      </c>
      <c r="H20" t="str">
        <f t="shared" si="1"/>
        <v>'ext2': ext2,</v>
      </c>
      <c r="I20" t="s">
        <v>565</v>
      </c>
      <c r="J20" t="str">
        <f t="shared" si="2"/>
        <v>img_path_ext2 = os.path.join(IMAGES_PATH, r_val['ext2'])</v>
      </c>
      <c r="K20" t="str">
        <f t="shared" si="3"/>
        <v>if os.path.exists(img_path_ext2):</v>
      </c>
      <c r="L20" t="str">
        <f t="shared" si="4"/>
        <v>ext2 = InlineImage(docx_tpl, img_path_ext2, height=Mm(60))</v>
      </c>
      <c r="M20" t="s">
        <v>567</v>
      </c>
      <c r="N20" t="str">
        <f t="shared" si="5"/>
        <v>print(f'Advertencia: No se encontró la imagen {r_val['ext2']}')</v>
      </c>
      <c r="O20" t="str">
        <f t="shared" si="6"/>
        <v>ext2 = ''</v>
      </c>
      <c r="P20" t="s">
        <v>566</v>
      </c>
      <c r="Q20" t="str">
        <f t="shared" si="7"/>
        <v>print(f'Advertencia: No se pudo cargar la imagen {r_val['ext2']}: {e}')</v>
      </c>
      <c r="R20" t="str">
        <f t="shared" si="8"/>
        <v>ext2 = ''</v>
      </c>
    </row>
    <row r="21" spans="1:18" x14ac:dyDescent="0.3">
      <c r="A21" t="s">
        <v>40</v>
      </c>
      <c r="B21" t="s">
        <v>97</v>
      </c>
      <c r="C21" t="s">
        <v>363</v>
      </c>
      <c r="D21">
        <v>60</v>
      </c>
      <c r="E21" t="s">
        <v>162</v>
      </c>
      <c r="F21" t="s">
        <v>251</v>
      </c>
      <c r="G21" t="str">
        <f t="shared" si="0"/>
        <v>'construccion_m2' : r_val['construccion_m2'],</v>
      </c>
      <c r="H21" t="str">
        <f t="shared" si="1"/>
        <v>'ext3': ext3,</v>
      </c>
      <c r="I21" t="s">
        <v>565</v>
      </c>
      <c r="J21" t="str">
        <f t="shared" si="2"/>
        <v>img_path_ext3 = os.path.join(IMAGES_PATH, r_val['ext3'])</v>
      </c>
      <c r="K21" t="str">
        <f t="shared" si="3"/>
        <v>if os.path.exists(img_path_ext3):</v>
      </c>
      <c r="L21" t="str">
        <f t="shared" si="4"/>
        <v>ext3 = InlineImage(docx_tpl, img_path_ext3, height=Mm(60))</v>
      </c>
      <c r="M21" t="s">
        <v>567</v>
      </c>
      <c r="N21" t="str">
        <f t="shared" si="5"/>
        <v>print(f'Advertencia: No se encontró la imagen {r_val['ext3']}')</v>
      </c>
      <c r="O21" t="str">
        <f t="shared" si="6"/>
        <v>ext3 = ''</v>
      </c>
      <c r="P21" t="s">
        <v>566</v>
      </c>
      <c r="Q21" t="str">
        <f t="shared" si="7"/>
        <v>print(f'Advertencia: No se pudo cargar la imagen {r_val['ext3']}: {e}')</v>
      </c>
      <c r="R21" t="str">
        <f t="shared" si="8"/>
        <v>ext3 = ''</v>
      </c>
    </row>
    <row r="22" spans="1:18" x14ac:dyDescent="0.3">
      <c r="A22" t="s">
        <v>41</v>
      </c>
      <c r="B22" t="s">
        <v>98</v>
      </c>
      <c r="C22" t="s">
        <v>364</v>
      </c>
      <c r="D22">
        <v>60</v>
      </c>
      <c r="E22" t="s">
        <v>163</v>
      </c>
      <c r="F22" t="s">
        <v>252</v>
      </c>
      <c r="G22" t="str">
        <f t="shared" si="0"/>
        <v>'edificios' : r_val['edificios'],</v>
      </c>
      <c r="H22" t="str">
        <f t="shared" si="1"/>
        <v>'ext4': ext4,</v>
      </c>
      <c r="I22" t="s">
        <v>565</v>
      </c>
      <c r="J22" t="str">
        <f t="shared" si="2"/>
        <v>img_path_ext4 = os.path.join(IMAGES_PATH, r_val['ext4'])</v>
      </c>
      <c r="K22" t="str">
        <f t="shared" si="3"/>
        <v>if os.path.exists(img_path_ext4):</v>
      </c>
      <c r="L22" t="str">
        <f t="shared" si="4"/>
        <v>ext4 = InlineImage(docx_tpl, img_path_ext4, height=Mm(60))</v>
      </c>
      <c r="M22" t="s">
        <v>567</v>
      </c>
      <c r="N22" t="str">
        <f t="shared" si="5"/>
        <v>print(f'Advertencia: No se encontró la imagen {r_val['ext4']}')</v>
      </c>
      <c r="O22" t="str">
        <f t="shared" si="6"/>
        <v>ext4 = ''</v>
      </c>
      <c r="P22" t="s">
        <v>566</v>
      </c>
      <c r="Q22" t="str">
        <f t="shared" si="7"/>
        <v>print(f'Advertencia: No se pudo cargar la imagen {r_val['ext4']}: {e}')</v>
      </c>
      <c r="R22" t="str">
        <f t="shared" si="8"/>
        <v>ext4 = ''</v>
      </c>
    </row>
    <row r="23" spans="1:18" x14ac:dyDescent="0.3">
      <c r="A23" t="s">
        <v>42</v>
      </c>
      <c r="B23" t="s">
        <v>99</v>
      </c>
      <c r="C23" t="s">
        <v>273</v>
      </c>
      <c r="D23">
        <v>60</v>
      </c>
      <c r="E23" t="s">
        <v>164</v>
      </c>
      <c r="F23" t="s">
        <v>253</v>
      </c>
      <c r="G23" t="str">
        <f t="shared" si="0"/>
        <v>'niveles' : r_val['niveles'],</v>
      </c>
      <c r="H23" t="str">
        <f t="shared" si="1"/>
        <v>'botiquin': botiquin,</v>
      </c>
      <c r="I23" t="s">
        <v>565</v>
      </c>
      <c r="J23" t="str">
        <f t="shared" si="2"/>
        <v>img_path_botiquin = os.path.join(IMAGES_PATH, r_val['botiquin'])</v>
      </c>
      <c r="K23" t="str">
        <f t="shared" si="3"/>
        <v>if os.path.exists(img_path_botiquin):</v>
      </c>
      <c r="L23" t="str">
        <f t="shared" si="4"/>
        <v>botiquin = InlineImage(docx_tpl, img_path_botiquin, height=Mm(60))</v>
      </c>
      <c r="M23" t="s">
        <v>567</v>
      </c>
      <c r="N23" t="str">
        <f t="shared" si="5"/>
        <v>print(f'Advertencia: No se encontró la imagen {r_val['botiquin']}')</v>
      </c>
      <c r="O23" t="str">
        <f t="shared" si="6"/>
        <v>botiquin = ''</v>
      </c>
      <c r="P23" t="s">
        <v>566</v>
      </c>
      <c r="Q23" t="str">
        <f t="shared" si="7"/>
        <v>print(f'Advertencia: No se pudo cargar la imagen {r_val['botiquin']}: {e}')</v>
      </c>
      <c r="R23" t="str">
        <f t="shared" si="8"/>
        <v>botiquin = ''</v>
      </c>
    </row>
    <row r="24" spans="1:18" x14ac:dyDescent="0.3">
      <c r="A24" t="s">
        <v>43</v>
      </c>
      <c r="B24" t="s">
        <v>100</v>
      </c>
      <c r="C24" t="s">
        <v>365</v>
      </c>
      <c r="D24">
        <v>50</v>
      </c>
      <c r="E24" t="s">
        <v>165</v>
      </c>
      <c r="F24" t="s">
        <v>254</v>
      </c>
      <c r="G24" t="str">
        <f t="shared" si="0"/>
        <v>'accesos' : r_val['accesos'],</v>
      </c>
      <c r="H24" t="str">
        <f t="shared" si="1"/>
        <v>'ruta1': ruta1,</v>
      </c>
      <c r="I24" t="s">
        <v>565</v>
      </c>
      <c r="J24" t="str">
        <f t="shared" si="2"/>
        <v>img_path_ruta1 = os.path.join(IMAGES_PATH, r_val['ruta1'])</v>
      </c>
      <c r="K24" t="str">
        <f t="shared" si="3"/>
        <v>if os.path.exists(img_path_ruta1):</v>
      </c>
      <c r="L24" t="str">
        <f t="shared" si="4"/>
        <v>ruta1 = InlineImage(docx_tpl, img_path_ruta1, height=Mm(50))</v>
      </c>
      <c r="M24" t="s">
        <v>567</v>
      </c>
      <c r="N24" t="str">
        <f t="shared" si="5"/>
        <v>print(f'Advertencia: No se encontró la imagen {r_val['ruta1']}')</v>
      </c>
      <c r="O24" t="str">
        <f t="shared" si="6"/>
        <v>ruta1 = ''</v>
      </c>
      <c r="P24" t="s">
        <v>566</v>
      </c>
      <c r="Q24" t="str">
        <f t="shared" si="7"/>
        <v>print(f'Advertencia: No se pudo cargar la imagen {r_val['ruta1']}: {e}')</v>
      </c>
      <c r="R24" t="str">
        <f t="shared" si="8"/>
        <v>ruta1 = ''</v>
      </c>
    </row>
    <row r="25" spans="1:18" x14ac:dyDescent="0.3">
      <c r="A25" t="s">
        <v>44</v>
      </c>
      <c r="B25" t="s">
        <v>101</v>
      </c>
      <c r="C25" t="s">
        <v>366</v>
      </c>
      <c r="D25">
        <v>50</v>
      </c>
      <c r="E25" t="s">
        <v>166</v>
      </c>
      <c r="F25" t="s">
        <v>255</v>
      </c>
      <c r="G25" t="str">
        <f t="shared" si="0"/>
        <v>'salidas_emergencia' : r_val['salidas_emergencia'],</v>
      </c>
      <c r="H25" t="str">
        <f t="shared" si="1"/>
        <v>'ruta2': ruta2,</v>
      </c>
      <c r="I25" t="s">
        <v>565</v>
      </c>
      <c r="J25" t="str">
        <f t="shared" si="2"/>
        <v>img_path_ruta2 = os.path.join(IMAGES_PATH, r_val['ruta2'])</v>
      </c>
      <c r="K25" t="str">
        <f t="shared" si="3"/>
        <v>if os.path.exists(img_path_ruta2):</v>
      </c>
      <c r="L25" t="str">
        <f t="shared" si="4"/>
        <v>ruta2 = InlineImage(docx_tpl, img_path_ruta2, height=Mm(50))</v>
      </c>
      <c r="M25" t="s">
        <v>567</v>
      </c>
      <c r="N25" t="str">
        <f t="shared" si="5"/>
        <v>print(f'Advertencia: No se encontró la imagen {r_val['ruta2']}')</v>
      </c>
      <c r="O25" t="str">
        <f t="shared" si="6"/>
        <v>ruta2 = ''</v>
      </c>
      <c r="P25" t="s">
        <v>566</v>
      </c>
      <c r="Q25" t="str">
        <f t="shared" si="7"/>
        <v>print(f'Advertencia: No se pudo cargar la imagen {r_val['ruta2']}: {e}')</v>
      </c>
      <c r="R25" t="str">
        <f t="shared" si="8"/>
        <v>ruta2 = ''</v>
      </c>
    </row>
    <row r="26" spans="1:18" x14ac:dyDescent="0.3">
      <c r="A26" t="s">
        <v>346</v>
      </c>
      <c r="B26" t="s">
        <v>102</v>
      </c>
      <c r="C26" t="s">
        <v>367</v>
      </c>
      <c r="D26">
        <v>50</v>
      </c>
      <c r="E26" t="s">
        <v>5</v>
      </c>
      <c r="F26" t="s">
        <v>256</v>
      </c>
      <c r="G26" t="str">
        <f t="shared" si="0"/>
        <v>'escaleras' : r_val['escaleras'],</v>
      </c>
      <c r="H26" t="str">
        <f t="shared" si="1"/>
        <v>'ruta3': ruta3,</v>
      </c>
      <c r="I26" t="s">
        <v>565</v>
      </c>
      <c r="J26" t="str">
        <f t="shared" si="2"/>
        <v>img_path_ruta3 = os.path.join(IMAGES_PATH, r_val['ruta3'])</v>
      </c>
      <c r="K26" t="str">
        <f t="shared" si="3"/>
        <v>if os.path.exists(img_path_ruta3):</v>
      </c>
      <c r="L26" t="str">
        <f t="shared" si="4"/>
        <v>ruta3 = InlineImage(docx_tpl, img_path_ruta3, height=Mm(50))</v>
      </c>
      <c r="M26" t="s">
        <v>567</v>
      </c>
      <c r="N26" t="str">
        <f t="shared" si="5"/>
        <v>print(f'Advertencia: No se encontró la imagen {r_val['ruta3']}')</v>
      </c>
      <c r="O26" t="str">
        <f t="shared" si="6"/>
        <v>ruta3 = ''</v>
      </c>
      <c r="P26" t="s">
        <v>566</v>
      </c>
      <c r="Q26" t="str">
        <f t="shared" si="7"/>
        <v>print(f'Advertencia: No se pudo cargar la imagen {r_val['ruta3']}: {e}')</v>
      </c>
      <c r="R26" t="str">
        <f t="shared" si="8"/>
        <v>ruta3 = ''</v>
      </c>
    </row>
    <row r="27" spans="1:18" x14ac:dyDescent="0.3">
      <c r="A27" t="s">
        <v>45</v>
      </c>
      <c r="B27" t="s">
        <v>103</v>
      </c>
      <c r="C27" t="s">
        <v>368</v>
      </c>
      <c r="D27">
        <v>50</v>
      </c>
      <c r="E27" t="s">
        <v>167</v>
      </c>
      <c r="F27" t="s">
        <v>257</v>
      </c>
      <c r="G27" t="str">
        <f t="shared" si="0"/>
        <v>'escaleras_emergencia' : r_val['escaleras_emergencia'],</v>
      </c>
      <c r="H27" t="str">
        <f t="shared" si="1"/>
        <v>'salida': salida,</v>
      </c>
      <c r="I27" t="s">
        <v>565</v>
      </c>
      <c r="J27" t="str">
        <f t="shared" si="2"/>
        <v>img_path_salida = os.path.join(IMAGES_PATH, r_val['salida'])</v>
      </c>
      <c r="K27" t="str">
        <f t="shared" si="3"/>
        <v>if os.path.exists(img_path_salida):</v>
      </c>
      <c r="L27" t="str">
        <f t="shared" si="4"/>
        <v>salida = InlineImage(docx_tpl, img_path_salida, height=Mm(50))</v>
      </c>
      <c r="M27" t="s">
        <v>567</v>
      </c>
      <c r="N27" t="str">
        <f t="shared" si="5"/>
        <v>print(f'Advertencia: No se encontró la imagen {r_val['salida']}')</v>
      </c>
      <c r="O27" t="str">
        <f t="shared" si="6"/>
        <v>salida = ''</v>
      </c>
      <c r="P27" t="s">
        <v>566</v>
      </c>
      <c r="Q27" t="str">
        <f t="shared" si="7"/>
        <v>print(f'Advertencia: No se pudo cargar la imagen {r_val['salida']}: {e}')</v>
      </c>
      <c r="R27" t="str">
        <f t="shared" si="8"/>
        <v>salida = ''</v>
      </c>
    </row>
    <row r="28" spans="1:18" x14ac:dyDescent="0.3">
      <c r="A28" t="s">
        <v>46</v>
      </c>
      <c r="B28" t="s">
        <v>104</v>
      </c>
      <c r="C28" t="s">
        <v>283</v>
      </c>
      <c r="D28">
        <v>60</v>
      </c>
      <c r="E28" t="s">
        <v>168</v>
      </c>
      <c r="F28" t="s">
        <v>258</v>
      </c>
      <c r="G28" t="str">
        <f t="shared" si="0"/>
        <v>'estacionamiento' : r_val['estacionamiento'],</v>
      </c>
      <c r="H28" t="str">
        <f t="shared" si="1"/>
        <v>'alarma': alarma,</v>
      </c>
      <c r="I28" t="s">
        <v>565</v>
      </c>
      <c r="J28" t="str">
        <f t="shared" si="2"/>
        <v>img_path_alarma = os.path.join(IMAGES_PATH, r_val['alarma'])</v>
      </c>
      <c r="K28" t="str">
        <f t="shared" si="3"/>
        <v>if os.path.exists(img_path_alarma):</v>
      </c>
      <c r="L28" t="str">
        <f t="shared" si="4"/>
        <v>alarma = InlineImage(docx_tpl, img_path_alarma, height=Mm(60))</v>
      </c>
      <c r="M28" t="s">
        <v>567</v>
      </c>
      <c r="N28" t="str">
        <f t="shared" si="5"/>
        <v>print(f'Advertencia: No se encontró la imagen {r_val['alarma']}')</v>
      </c>
      <c r="O28" t="str">
        <f t="shared" si="6"/>
        <v>alarma = ''</v>
      </c>
      <c r="P28" t="s">
        <v>566</v>
      </c>
      <c r="Q28" t="str">
        <f t="shared" si="7"/>
        <v>print(f'Advertencia: No se pudo cargar la imagen {r_val['alarma']}: {e}')</v>
      </c>
      <c r="R28" t="str">
        <f t="shared" si="8"/>
        <v>alarma = ''</v>
      </c>
    </row>
    <row r="29" spans="1:18" x14ac:dyDescent="0.3">
      <c r="A29" t="s">
        <v>47</v>
      </c>
      <c r="B29" t="s">
        <v>105</v>
      </c>
      <c r="C29" t="s">
        <v>369</v>
      </c>
      <c r="D29">
        <v>50</v>
      </c>
      <c r="E29" t="s">
        <v>169</v>
      </c>
      <c r="F29" t="s">
        <v>259</v>
      </c>
      <c r="G29" t="str">
        <f t="shared" si="0"/>
        <v>'representante_legal' : r_val['representante_legal'],</v>
      </c>
      <c r="H29" t="str">
        <f t="shared" si="1"/>
        <v>'prohib1': prohib1,</v>
      </c>
      <c r="I29" t="s">
        <v>565</v>
      </c>
      <c r="J29" t="str">
        <f t="shared" si="2"/>
        <v>img_path_prohib1 = os.path.join(IMAGES_PATH, r_val['prohib1'])</v>
      </c>
      <c r="K29" t="str">
        <f t="shared" si="3"/>
        <v>if os.path.exists(img_path_prohib1):</v>
      </c>
      <c r="L29" t="str">
        <f t="shared" si="4"/>
        <v>prohib1 = InlineImage(docx_tpl, img_path_prohib1, height=Mm(50))</v>
      </c>
      <c r="M29" t="s">
        <v>567</v>
      </c>
      <c r="N29" t="str">
        <f t="shared" si="5"/>
        <v>print(f'Advertencia: No se encontró la imagen {r_val['prohib1']}')</v>
      </c>
      <c r="O29" t="str">
        <f t="shared" si="6"/>
        <v>prohib1 = ''</v>
      </c>
      <c r="P29" t="s">
        <v>566</v>
      </c>
      <c r="Q29" t="str">
        <f t="shared" si="7"/>
        <v>print(f'Advertencia: No se pudo cargar la imagen {r_val['prohib1']}: {e}')</v>
      </c>
      <c r="R29" t="str">
        <f t="shared" si="8"/>
        <v>prohib1 = ''</v>
      </c>
    </row>
    <row r="30" spans="1:18" x14ac:dyDescent="0.3">
      <c r="A30" t="s">
        <v>48</v>
      </c>
      <c r="B30" t="s">
        <v>106</v>
      </c>
      <c r="C30" t="s">
        <v>370</v>
      </c>
      <c r="D30">
        <v>50</v>
      </c>
      <c r="E30" t="s">
        <v>170</v>
      </c>
      <c r="F30" t="s">
        <v>260</v>
      </c>
      <c r="G30" t="str">
        <f t="shared" si="0"/>
        <v>'responsable_pipc' : r_val['responsable_pipc'],</v>
      </c>
      <c r="H30" t="str">
        <f t="shared" si="1"/>
        <v>'prohib2': prohib2,</v>
      </c>
      <c r="I30" t="s">
        <v>565</v>
      </c>
      <c r="J30" t="str">
        <f t="shared" si="2"/>
        <v>img_path_prohib2 = os.path.join(IMAGES_PATH, r_val['prohib2'])</v>
      </c>
      <c r="K30" t="str">
        <f t="shared" si="3"/>
        <v>if os.path.exists(img_path_prohib2):</v>
      </c>
      <c r="L30" t="str">
        <f t="shared" si="4"/>
        <v>prohib2 = InlineImage(docx_tpl, img_path_prohib2, height=Mm(50))</v>
      </c>
      <c r="M30" t="s">
        <v>567</v>
      </c>
      <c r="N30" t="str">
        <f t="shared" si="5"/>
        <v>print(f'Advertencia: No se encontró la imagen {r_val['prohib2']}')</v>
      </c>
      <c r="O30" t="str">
        <f t="shared" si="6"/>
        <v>prohib2 = ''</v>
      </c>
      <c r="P30" t="s">
        <v>566</v>
      </c>
      <c r="Q30" t="str">
        <f t="shared" si="7"/>
        <v>print(f'Advertencia: No se pudo cargar la imagen {r_val['prohib2']}: {e}')</v>
      </c>
      <c r="R30" t="str">
        <f t="shared" si="8"/>
        <v>prohib2 = ''</v>
      </c>
    </row>
    <row r="31" spans="1:18" x14ac:dyDescent="0.3">
      <c r="A31" t="s">
        <v>49</v>
      </c>
      <c r="B31" t="s">
        <v>107</v>
      </c>
      <c r="C31" t="s">
        <v>371</v>
      </c>
      <c r="D31">
        <v>50</v>
      </c>
      <c r="E31" t="s">
        <v>171</v>
      </c>
      <c r="F31" t="s">
        <v>261</v>
      </c>
      <c r="G31" t="str">
        <f t="shared" si="0"/>
        <v>'trabajadores' : r_val['trabajadores'],</v>
      </c>
      <c r="H31" t="str">
        <f t="shared" si="1"/>
        <v>'prohib3': prohib3,</v>
      </c>
      <c r="I31" t="s">
        <v>565</v>
      </c>
      <c r="J31" t="str">
        <f t="shared" si="2"/>
        <v>img_path_prohib3 = os.path.join(IMAGES_PATH, r_val['prohib3'])</v>
      </c>
      <c r="K31" t="str">
        <f t="shared" si="3"/>
        <v>if os.path.exists(img_path_prohib3):</v>
      </c>
      <c r="L31" t="str">
        <f t="shared" si="4"/>
        <v>prohib3 = InlineImage(docx_tpl, img_path_prohib3, height=Mm(50))</v>
      </c>
      <c r="M31" t="s">
        <v>567</v>
      </c>
      <c r="N31" t="str">
        <f t="shared" si="5"/>
        <v>print(f'Advertencia: No se encontró la imagen {r_val['prohib3']}')</v>
      </c>
      <c r="O31" t="str">
        <f t="shared" si="6"/>
        <v>prohib3 = ''</v>
      </c>
      <c r="P31" t="s">
        <v>566</v>
      </c>
      <c r="Q31" t="str">
        <f t="shared" si="7"/>
        <v>print(f'Advertencia: No se pudo cargar la imagen {r_val['prohib3']}: {e}')</v>
      </c>
      <c r="R31" t="str">
        <f t="shared" si="8"/>
        <v>prohib3 = ''</v>
      </c>
    </row>
    <row r="32" spans="1:18" x14ac:dyDescent="0.3">
      <c r="A32" t="s">
        <v>50</v>
      </c>
      <c r="B32" t="s">
        <v>108</v>
      </c>
      <c r="C32" t="s">
        <v>372</v>
      </c>
      <c r="D32">
        <v>50</v>
      </c>
      <c r="E32" t="s">
        <v>172</v>
      </c>
      <c r="F32" t="s">
        <v>262</v>
      </c>
      <c r="G32" t="str">
        <f t="shared" si="0"/>
        <v>'poblacion_discapacidad' : r_val['poblacion_discapacidad'],</v>
      </c>
      <c r="H32" t="str">
        <f t="shared" si="1"/>
        <v>'prohib4': prohib4,</v>
      </c>
      <c r="I32" t="s">
        <v>565</v>
      </c>
      <c r="J32" t="str">
        <f t="shared" si="2"/>
        <v>img_path_prohib4 = os.path.join(IMAGES_PATH, r_val['prohib4'])</v>
      </c>
      <c r="K32" t="str">
        <f t="shared" si="3"/>
        <v>if os.path.exists(img_path_prohib4):</v>
      </c>
      <c r="L32" t="str">
        <f t="shared" si="4"/>
        <v>prohib4 = InlineImage(docx_tpl, img_path_prohib4, height=Mm(50))</v>
      </c>
      <c r="M32" t="s">
        <v>567</v>
      </c>
      <c r="N32" t="str">
        <f t="shared" si="5"/>
        <v>print(f'Advertencia: No se encontró la imagen {r_val['prohib4']}')</v>
      </c>
      <c r="O32" t="str">
        <f t="shared" si="6"/>
        <v>prohib4 = ''</v>
      </c>
      <c r="P32" t="s">
        <v>566</v>
      </c>
      <c r="Q32" t="str">
        <f t="shared" si="7"/>
        <v>print(f'Advertencia: No se pudo cargar la imagen {r_val['prohib4']}: {e}')</v>
      </c>
      <c r="R32" t="str">
        <f t="shared" si="8"/>
        <v>prohib4 = ''</v>
      </c>
    </row>
    <row r="33" spans="1:18" x14ac:dyDescent="0.3">
      <c r="A33" t="s">
        <v>51</v>
      </c>
      <c r="B33" t="s">
        <v>109</v>
      </c>
      <c r="C33" t="s">
        <v>373</v>
      </c>
      <c r="D33">
        <v>160</v>
      </c>
      <c r="E33" t="s">
        <v>173</v>
      </c>
      <c r="F33" t="s">
        <v>263</v>
      </c>
      <c r="G33" t="str">
        <f t="shared" si="0"/>
        <v>'hombres' : r_val['hombres'],</v>
      </c>
      <c r="H33" t="str">
        <f t="shared" si="1"/>
        <v>'layout': layout,</v>
      </c>
      <c r="I33" t="s">
        <v>565</v>
      </c>
      <c r="J33" t="str">
        <f t="shared" si="2"/>
        <v>img_path_layout = os.path.join(IMAGES_PATH, r_val['layout'])</v>
      </c>
      <c r="K33" t="str">
        <f t="shared" si="3"/>
        <v>if os.path.exists(img_path_layout):</v>
      </c>
      <c r="L33" t="str">
        <f t="shared" si="4"/>
        <v>layout = InlineImage(docx_tpl, img_path_layout, height=Mm(160))</v>
      </c>
      <c r="M33" t="s">
        <v>567</v>
      </c>
      <c r="N33" t="str">
        <f t="shared" si="5"/>
        <v>print(f'Advertencia: No se encontró la imagen {r_val['layout']}')</v>
      </c>
      <c r="O33" t="str">
        <f t="shared" si="6"/>
        <v>layout = ''</v>
      </c>
      <c r="P33" t="s">
        <v>566</v>
      </c>
      <c r="Q33" t="str">
        <f t="shared" si="7"/>
        <v>print(f'Advertencia: No se pudo cargar la imagen {r_val['layout']}: {e}')</v>
      </c>
      <c r="R33" t="str">
        <f t="shared" si="8"/>
        <v>layout = ''</v>
      </c>
    </row>
    <row r="34" spans="1:18" x14ac:dyDescent="0.3">
      <c r="A34" t="s">
        <v>52</v>
      </c>
      <c r="B34" t="s">
        <v>110</v>
      </c>
      <c r="C34" t="s">
        <v>374</v>
      </c>
      <c r="D34">
        <v>60</v>
      </c>
      <c r="E34" t="s">
        <v>174</v>
      </c>
      <c r="F34" t="s">
        <v>264</v>
      </c>
      <c r="G34" t="str">
        <f t="shared" si="0"/>
        <v>'mujeres' : r_val['mujeres'],</v>
      </c>
      <c r="H34" t="str">
        <f t="shared" si="1"/>
        <v>'cap1': cap1,</v>
      </c>
      <c r="I34" t="s">
        <v>565</v>
      </c>
      <c r="J34" t="str">
        <f t="shared" si="2"/>
        <v>img_path_cap1 = os.path.join(IMAGES_PATH, r_val['cap1'])</v>
      </c>
      <c r="K34" t="str">
        <f t="shared" si="3"/>
        <v>if os.path.exists(img_path_cap1):</v>
      </c>
      <c r="L34" t="str">
        <f t="shared" si="4"/>
        <v>cap1 = InlineImage(docx_tpl, img_path_cap1, height=Mm(60))</v>
      </c>
      <c r="M34" t="s">
        <v>567</v>
      </c>
      <c r="N34" t="str">
        <f t="shared" si="5"/>
        <v>print(f'Advertencia: No se encontró la imagen {r_val['cap1']}')</v>
      </c>
      <c r="O34" t="str">
        <f t="shared" si="6"/>
        <v>cap1 = ''</v>
      </c>
      <c r="P34" t="s">
        <v>566</v>
      </c>
      <c r="Q34" t="str">
        <f t="shared" si="7"/>
        <v>print(f'Advertencia: No se pudo cargar la imagen {r_val['cap1']}: {e}')</v>
      </c>
      <c r="R34" t="str">
        <f t="shared" si="8"/>
        <v>cap1 = ''</v>
      </c>
    </row>
    <row r="35" spans="1:18" x14ac:dyDescent="0.3">
      <c r="A35" t="s">
        <v>53</v>
      </c>
      <c r="B35" t="s">
        <v>111</v>
      </c>
      <c r="C35" t="s">
        <v>375</v>
      </c>
      <c r="D35">
        <v>60</v>
      </c>
      <c r="E35" t="s">
        <v>175</v>
      </c>
      <c r="F35" t="s">
        <v>265</v>
      </c>
      <c r="G35" t="str">
        <f t="shared" si="0"/>
        <v>'hombre_dicapacidad' : r_val['hombre_dicapacidad'],</v>
      </c>
      <c r="H35" t="str">
        <f t="shared" si="1"/>
        <v>'cap2': cap2,</v>
      </c>
      <c r="I35" t="s">
        <v>565</v>
      </c>
      <c r="J35" t="str">
        <f t="shared" si="2"/>
        <v>img_path_cap2 = os.path.join(IMAGES_PATH, r_val['cap2'])</v>
      </c>
      <c r="K35" t="str">
        <f t="shared" si="3"/>
        <v>if os.path.exists(img_path_cap2):</v>
      </c>
      <c r="L35" t="str">
        <f t="shared" si="4"/>
        <v>cap2 = InlineImage(docx_tpl, img_path_cap2, height=Mm(60))</v>
      </c>
      <c r="M35" t="s">
        <v>567</v>
      </c>
      <c r="N35" t="str">
        <f t="shared" si="5"/>
        <v>print(f'Advertencia: No se encontró la imagen {r_val['cap2']}')</v>
      </c>
      <c r="O35" t="str">
        <f t="shared" si="6"/>
        <v>cap2 = ''</v>
      </c>
      <c r="P35" t="s">
        <v>566</v>
      </c>
      <c r="Q35" t="str">
        <f t="shared" si="7"/>
        <v>print(f'Advertencia: No se pudo cargar la imagen {r_val['cap2']}: {e}')</v>
      </c>
      <c r="R35" t="str">
        <f t="shared" si="8"/>
        <v>cap2 = ''</v>
      </c>
    </row>
    <row r="36" spans="1:18" x14ac:dyDescent="0.3">
      <c r="A36" t="s">
        <v>54</v>
      </c>
      <c r="B36" t="s">
        <v>112</v>
      </c>
      <c r="C36" t="s">
        <v>376</v>
      </c>
      <c r="D36">
        <v>60</v>
      </c>
      <c r="E36" t="s">
        <v>176</v>
      </c>
      <c r="F36" t="s">
        <v>266</v>
      </c>
      <c r="G36" t="str">
        <f t="shared" si="0"/>
        <v>'mujeres_discapacidad' : r_val['mujeres_discapacidad'],</v>
      </c>
      <c r="H36" t="str">
        <f t="shared" si="1"/>
        <v>'cap3': cap3,</v>
      </c>
      <c r="I36" t="s">
        <v>565</v>
      </c>
      <c r="J36" t="str">
        <f t="shared" si="2"/>
        <v>img_path_cap3 = os.path.join(IMAGES_PATH, r_val['cap3'])</v>
      </c>
      <c r="K36" t="str">
        <f t="shared" si="3"/>
        <v>if os.path.exists(img_path_cap3):</v>
      </c>
      <c r="L36" t="str">
        <f t="shared" si="4"/>
        <v>cap3 = InlineImage(docx_tpl, img_path_cap3, height=Mm(60))</v>
      </c>
      <c r="M36" t="s">
        <v>567</v>
      </c>
      <c r="N36" t="str">
        <f t="shared" si="5"/>
        <v>print(f'Advertencia: No se encontró la imagen {r_val['cap3']}')</v>
      </c>
      <c r="O36" t="str">
        <f t="shared" si="6"/>
        <v>cap3 = ''</v>
      </c>
      <c r="P36" t="s">
        <v>566</v>
      </c>
      <c r="Q36" t="str">
        <f t="shared" si="7"/>
        <v>print(f'Advertencia: No se pudo cargar la imagen {r_val['cap3']}: {e}')</v>
      </c>
      <c r="R36" t="str">
        <f t="shared" si="8"/>
        <v>cap3 = ''</v>
      </c>
    </row>
    <row r="37" spans="1:18" x14ac:dyDescent="0.3">
      <c r="A37" t="s">
        <v>55</v>
      </c>
      <c r="B37" t="s">
        <v>113</v>
      </c>
      <c r="C37" t="s">
        <v>377</v>
      </c>
      <c r="D37">
        <v>60</v>
      </c>
      <c r="E37" t="s">
        <v>177</v>
      </c>
      <c r="F37" t="s">
        <v>267</v>
      </c>
      <c r="G37" t="str">
        <f t="shared" si="0"/>
        <v>'turnos' : r_val['turnos'],</v>
      </c>
      <c r="H37" t="str">
        <f t="shared" si="1"/>
        <v>'cap4': cap4,</v>
      </c>
      <c r="I37" t="s">
        <v>565</v>
      </c>
      <c r="J37" t="str">
        <f t="shared" si="2"/>
        <v>img_path_cap4 = os.path.join(IMAGES_PATH, r_val['cap4'])</v>
      </c>
      <c r="K37" t="str">
        <f t="shared" si="3"/>
        <v>if os.path.exists(img_path_cap4):</v>
      </c>
      <c r="L37" t="str">
        <f t="shared" si="4"/>
        <v>cap4 = InlineImage(docx_tpl, img_path_cap4, height=Mm(60))</v>
      </c>
      <c r="M37" t="s">
        <v>567</v>
      </c>
      <c r="N37" t="str">
        <f t="shared" si="5"/>
        <v>print(f'Advertencia: No se encontró la imagen {r_val['cap4']}')</v>
      </c>
      <c r="O37" t="str">
        <f t="shared" si="6"/>
        <v>cap4 = ''</v>
      </c>
      <c r="P37" t="s">
        <v>566</v>
      </c>
      <c r="Q37" t="str">
        <f t="shared" si="7"/>
        <v>print(f'Advertencia: No se pudo cargar la imagen {r_val['cap4']}: {e}')</v>
      </c>
      <c r="R37" t="str">
        <f t="shared" si="8"/>
        <v>cap4 = ''</v>
      </c>
    </row>
    <row r="38" spans="1:18" x14ac:dyDescent="0.3">
      <c r="A38" t="s">
        <v>56</v>
      </c>
      <c r="B38" t="s">
        <v>114</v>
      </c>
      <c r="C38" t="s">
        <v>378</v>
      </c>
      <c r="D38">
        <v>60</v>
      </c>
      <c r="E38" t="s">
        <v>178</v>
      </c>
      <c r="F38" t="s">
        <v>268</v>
      </c>
      <c r="G38" t="str">
        <f t="shared" si="0"/>
        <v>'visitantes' : r_val['visitantes'],</v>
      </c>
      <c r="H38" t="str">
        <f t="shared" si="1"/>
        <v>'cap5': cap5,</v>
      </c>
      <c r="I38" t="s">
        <v>565</v>
      </c>
      <c r="J38" t="str">
        <f t="shared" si="2"/>
        <v>img_path_cap5 = os.path.join(IMAGES_PATH, r_val['cap5'])</v>
      </c>
      <c r="K38" t="str">
        <f t="shared" si="3"/>
        <v>if os.path.exists(img_path_cap5):</v>
      </c>
      <c r="L38" t="str">
        <f t="shared" si="4"/>
        <v>cap5 = InlineImage(docx_tpl, img_path_cap5, height=Mm(60))</v>
      </c>
      <c r="M38" t="s">
        <v>567</v>
      </c>
      <c r="N38" t="str">
        <f t="shared" si="5"/>
        <v>print(f'Advertencia: No se encontró la imagen {r_val['cap5']}')</v>
      </c>
      <c r="O38" t="str">
        <f t="shared" si="6"/>
        <v>cap5 = ''</v>
      </c>
      <c r="P38" t="s">
        <v>566</v>
      </c>
      <c r="Q38" t="str">
        <f t="shared" si="7"/>
        <v>print(f'Advertencia: No se pudo cargar la imagen {r_val['cap5']}: {e}')</v>
      </c>
      <c r="R38" t="str">
        <f t="shared" si="8"/>
        <v>cap5 = ''</v>
      </c>
    </row>
    <row r="39" spans="1:18" x14ac:dyDescent="0.3">
      <c r="A39" t="s">
        <v>57</v>
      </c>
      <c r="B39" t="s">
        <v>115</v>
      </c>
      <c r="C39" t="s">
        <v>379</v>
      </c>
      <c r="D39">
        <v>60</v>
      </c>
      <c r="E39" t="s">
        <v>179</v>
      </c>
      <c r="F39" t="s">
        <v>269</v>
      </c>
      <c r="G39" t="str">
        <f t="shared" si="0"/>
        <v>'proveedores' : r_val['proveedores'],</v>
      </c>
      <c r="H39" t="str">
        <f t="shared" si="1"/>
        <v>'cap6': cap6,</v>
      </c>
      <c r="I39" t="s">
        <v>565</v>
      </c>
      <c r="J39" t="str">
        <f t="shared" si="2"/>
        <v>img_path_cap6 = os.path.join(IMAGES_PATH, r_val['cap6'])</v>
      </c>
      <c r="K39" t="str">
        <f t="shared" si="3"/>
        <v>if os.path.exists(img_path_cap6):</v>
      </c>
      <c r="L39" t="str">
        <f t="shared" si="4"/>
        <v>cap6 = InlineImage(docx_tpl, img_path_cap6, height=Mm(60))</v>
      </c>
      <c r="M39" t="s">
        <v>567</v>
      </c>
      <c r="N39" t="str">
        <f t="shared" si="5"/>
        <v>print(f'Advertencia: No se encontró la imagen {r_val['cap6']}')</v>
      </c>
      <c r="O39" t="str">
        <f t="shared" si="6"/>
        <v>cap6 = ''</v>
      </c>
      <c r="P39" t="s">
        <v>566</v>
      </c>
      <c r="Q39" t="str">
        <f t="shared" si="7"/>
        <v>print(f'Advertencia: No se pudo cargar la imagen {r_val['cap6']}: {e}')</v>
      </c>
      <c r="R39" t="str">
        <f t="shared" si="8"/>
        <v>cap6 = ''</v>
      </c>
    </row>
    <row r="40" spans="1:18" x14ac:dyDescent="0.3">
      <c r="A40" t="s">
        <v>58</v>
      </c>
      <c r="B40" t="s">
        <v>116</v>
      </c>
      <c r="C40" t="s">
        <v>380</v>
      </c>
      <c r="D40">
        <v>60</v>
      </c>
      <c r="E40" t="s">
        <v>180</v>
      </c>
      <c r="F40" t="s">
        <v>270</v>
      </c>
      <c r="G40" t="str">
        <f t="shared" si="0"/>
        <v>'dias' : r_val['dias'],</v>
      </c>
      <c r="H40" t="str">
        <f t="shared" si="1"/>
        <v>'cap7': cap7,</v>
      </c>
      <c r="I40" t="s">
        <v>565</v>
      </c>
      <c r="J40" t="str">
        <f t="shared" si="2"/>
        <v>img_path_cap7 = os.path.join(IMAGES_PATH, r_val['cap7'])</v>
      </c>
      <c r="K40" t="str">
        <f t="shared" si="3"/>
        <v>if os.path.exists(img_path_cap7):</v>
      </c>
      <c r="L40" t="str">
        <f t="shared" si="4"/>
        <v>cap7 = InlineImage(docx_tpl, img_path_cap7, height=Mm(60))</v>
      </c>
      <c r="M40" t="s">
        <v>567</v>
      </c>
      <c r="N40" t="str">
        <f t="shared" si="5"/>
        <v>print(f'Advertencia: No se encontró la imagen {r_val['cap7']}')</v>
      </c>
      <c r="O40" t="str">
        <f t="shared" si="6"/>
        <v>cap7 = ''</v>
      </c>
      <c r="P40" t="s">
        <v>566</v>
      </c>
      <c r="Q40" t="str">
        <f t="shared" si="7"/>
        <v>print(f'Advertencia: No se pudo cargar la imagen {r_val['cap7']}: {e}')</v>
      </c>
      <c r="R40" t="str">
        <f t="shared" si="8"/>
        <v>cap7 = ''</v>
      </c>
    </row>
    <row r="41" spans="1:18" x14ac:dyDescent="0.3">
      <c r="A41" t="s">
        <v>59</v>
      </c>
      <c r="B41" t="s">
        <v>117</v>
      </c>
      <c r="C41" t="s">
        <v>381</v>
      </c>
      <c r="D41">
        <v>60</v>
      </c>
      <c r="E41" t="s">
        <v>181</v>
      </c>
      <c r="F41" t="s">
        <v>271</v>
      </c>
      <c r="G41" t="str">
        <f t="shared" si="0"/>
        <v>'horario' : r_val['horario'],</v>
      </c>
      <c r="H41" t="str">
        <f t="shared" si="1"/>
        <v>'cap8': cap8,</v>
      </c>
      <c r="I41" t="s">
        <v>565</v>
      </c>
      <c r="J41" t="str">
        <f t="shared" si="2"/>
        <v>img_path_cap8 = os.path.join(IMAGES_PATH, r_val['cap8'])</v>
      </c>
      <c r="K41" t="str">
        <f t="shared" si="3"/>
        <v>if os.path.exists(img_path_cap8):</v>
      </c>
      <c r="L41" t="str">
        <f t="shared" si="4"/>
        <v>cap8 = InlineImage(docx_tpl, img_path_cap8, height=Mm(60))</v>
      </c>
      <c r="M41" t="s">
        <v>567</v>
      </c>
      <c r="N41" t="str">
        <f t="shared" si="5"/>
        <v>print(f'Advertencia: No se encontró la imagen {r_val['cap8']}')</v>
      </c>
      <c r="O41" t="str">
        <f t="shared" si="6"/>
        <v>cap8 = ''</v>
      </c>
      <c r="P41" t="s">
        <v>566</v>
      </c>
      <c r="Q41" t="str">
        <f t="shared" si="7"/>
        <v>print(f'Advertencia: No se pudo cargar la imagen {r_val['cap8']}: {e}')</v>
      </c>
      <c r="R41" t="str">
        <f t="shared" si="8"/>
        <v>cap8 = ''</v>
      </c>
    </row>
    <row r="42" spans="1:18" x14ac:dyDescent="0.3">
      <c r="A42" t="s">
        <v>60</v>
      </c>
      <c r="B42" t="s">
        <v>118</v>
      </c>
      <c r="C42" t="s">
        <v>382</v>
      </c>
      <c r="D42">
        <v>60</v>
      </c>
      <c r="E42" t="s">
        <v>182</v>
      </c>
      <c r="F42" t="s">
        <v>272</v>
      </c>
      <c r="G42" t="str">
        <f t="shared" si="0"/>
        <v>'senial_informacion' : r_val['senial_informacion'],</v>
      </c>
      <c r="H42" t="str">
        <f t="shared" si="1"/>
        <v>'cap9': cap9,</v>
      </c>
      <c r="I42" t="s">
        <v>565</v>
      </c>
      <c r="J42" t="str">
        <f t="shared" si="2"/>
        <v>img_path_cap9 = os.path.join(IMAGES_PATH, r_val['cap9'])</v>
      </c>
      <c r="K42" t="str">
        <f t="shared" si="3"/>
        <v>if os.path.exists(img_path_cap9):</v>
      </c>
      <c r="L42" t="str">
        <f t="shared" si="4"/>
        <v>cap9 = InlineImage(docx_tpl, img_path_cap9, height=Mm(60))</v>
      </c>
      <c r="M42" t="s">
        <v>567</v>
      </c>
      <c r="N42" t="str">
        <f t="shared" si="5"/>
        <v>print(f'Advertencia: No se encontró la imagen {r_val['cap9']}')</v>
      </c>
      <c r="O42" t="str">
        <f t="shared" si="6"/>
        <v>cap9 = ''</v>
      </c>
      <c r="P42" t="s">
        <v>566</v>
      </c>
      <c r="Q42" t="str">
        <f t="shared" si="7"/>
        <v>print(f'Advertencia: No se pudo cargar la imagen {r_val['cap9']}: {e}')</v>
      </c>
      <c r="R42" t="str">
        <f t="shared" si="8"/>
        <v>cap9 = ''</v>
      </c>
    </row>
    <row r="43" spans="1:18" x14ac:dyDescent="0.3">
      <c r="A43" t="s">
        <v>61</v>
      </c>
      <c r="B43" t="s">
        <v>119</v>
      </c>
      <c r="C43" t="s">
        <v>383</v>
      </c>
      <c r="D43">
        <v>60</v>
      </c>
      <c r="E43" t="s">
        <v>417</v>
      </c>
      <c r="F43" t="s">
        <v>273</v>
      </c>
      <c r="G43" t="str">
        <f t="shared" si="0"/>
        <v>'botiquin_emer' : r_val['botiquin_emer'],</v>
      </c>
      <c r="H43" t="str">
        <f t="shared" si="1"/>
        <v>'cap10': cap10,</v>
      </c>
      <c r="I43" t="s">
        <v>565</v>
      </c>
      <c r="J43" t="str">
        <f t="shared" si="2"/>
        <v>img_path_cap10 = os.path.join(IMAGES_PATH, r_val['cap10'])</v>
      </c>
      <c r="K43" t="str">
        <f t="shared" si="3"/>
        <v>if os.path.exists(img_path_cap10):</v>
      </c>
      <c r="L43" t="str">
        <f t="shared" si="4"/>
        <v>cap10 = InlineImage(docx_tpl, img_path_cap10, height=Mm(60))</v>
      </c>
      <c r="M43" t="s">
        <v>567</v>
      </c>
      <c r="N43" t="str">
        <f t="shared" si="5"/>
        <v>print(f'Advertencia: No se encontró la imagen {r_val['cap10']}')</v>
      </c>
      <c r="O43" t="str">
        <f t="shared" si="6"/>
        <v>cap10 = ''</v>
      </c>
      <c r="P43" t="s">
        <v>566</v>
      </c>
      <c r="Q43" t="str">
        <f t="shared" si="7"/>
        <v>print(f'Advertencia: No se pudo cargar la imagen {r_val['cap10']}: {e}')</v>
      </c>
      <c r="R43" t="str">
        <f t="shared" si="8"/>
        <v>cap10 = ''</v>
      </c>
    </row>
    <row r="44" spans="1:18" x14ac:dyDescent="0.3">
      <c r="A44" t="s">
        <v>62</v>
      </c>
      <c r="B44" t="s">
        <v>120</v>
      </c>
      <c r="C44" t="s">
        <v>384</v>
      </c>
      <c r="D44">
        <v>60</v>
      </c>
      <c r="E44" t="s">
        <v>183</v>
      </c>
      <c r="F44" t="s">
        <v>274</v>
      </c>
      <c r="G44" t="str">
        <f t="shared" si="0"/>
        <v>'ubicación_bot' : r_val['ubicación_bot'],</v>
      </c>
      <c r="H44" t="str">
        <f t="shared" si="1"/>
        <v>'cap11': cap11,</v>
      </c>
      <c r="I44" t="s">
        <v>565</v>
      </c>
      <c r="J44" t="str">
        <f t="shared" si="2"/>
        <v>img_path_cap11 = os.path.join(IMAGES_PATH, r_val['cap11'])</v>
      </c>
      <c r="K44" t="str">
        <f t="shared" si="3"/>
        <v>if os.path.exists(img_path_cap11):</v>
      </c>
      <c r="L44" t="str">
        <f t="shared" si="4"/>
        <v>cap11 = InlineImage(docx_tpl, img_path_cap11, height=Mm(60))</v>
      </c>
      <c r="M44" t="s">
        <v>567</v>
      </c>
      <c r="N44" t="str">
        <f t="shared" si="5"/>
        <v>print(f'Advertencia: No se encontró la imagen {r_val['cap11']}')</v>
      </c>
      <c r="O44" t="str">
        <f t="shared" si="6"/>
        <v>cap11 = ''</v>
      </c>
      <c r="P44" t="s">
        <v>566</v>
      </c>
      <c r="Q44" t="str">
        <f t="shared" si="7"/>
        <v>print(f'Advertencia: No se pudo cargar la imagen {r_val['cap11']}: {e}')</v>
      </c>
      <c r="R44" t="str">
        <f t="shared" si="8"/>
        <v>cap11 = ''</v>
      </c>
    </row>
    <row r="45" spans="1:18" x14ac:dyDescent="0.3">
      <c r="A45" t="s">
        <v>63</v>
      </c>
      <c r="B45" t="s">
        <v>121</v>
      </c>
      <c r="C45" t="s">
        <v>385</v>
      </c>
      <c r="D45">
        <v>60</v>
      </c>
      <c r="E45" t="s">
        <v>184</v>
      </c>
      <c r="F45" t="s">
        <v>275</v>
      </c>
      <c r="G45" t="str">
        <f t="shared" si="0"/>
        <v>'extintor' : r_val['extintor'],</v>
      </c>
      <c r="H45" t="str">
        <f t="shared" si="1"/>
        <v>'cap12': cap12,</v>
      </c>
      <c r="I45" t="s">
        <v>565</v>
      </c>
      <c r="J45" t="str">
        <f t="shared" si="2"/>
        <v>img_path_cap12 = os.path.join(IMAGES_PATH, r_val['cap12'])</v>
      </c>
      <c r="K45" t="str">
        <f t="shared" si="3"/>
        <v>if os.path.exists(img_path_cap12):</v>
      </c>
      <c r="L45" t="str">
        <f t="shared" si="4"/>
        <v>cap12 = InlineImage(docx_tpl, img_path_cap12, height=Mm(60))</v>
      </c>
      <c r="M45" t="s">
        <v>567</v>
      </c>
      <c r="N45" t="str">
        <f t="shared" si="5"/>
        <v>print(f'Advertencia: No se encontró la imagen {r_val['cap12']}')</v>
      </c>
      <c r="O45" t="str">
        <f t="shared" si="6"/>
        <v>cap12 = ''</v>
      </c>
      <c r="P45" t="s">
        <v>566</v>
      </c>
      <c r="Q45" t="str">
        <f t="shared" si="7"/>
        <v>print(f'Advertencia: No se pudo cargar la imagen {r_val['cap12']}: {e}')</v>
      </c>
      <c r="R45" t="str">
        <f t="shared" si="8"/>
        <v>cap12 = ''</v>
      </c>
    </row>
    <row r="46" spans="1:18" x14ac:dyDescent="0.3">
      <c r="A46" t="s">
        <v>64</v>
      </c>
      <c r="B46" t="s">
        <v>122</v>
      </c>
      <c r="C46" t="s">
        <v>386</v>
      </c>
      <c r="D46">
        <v>60</v>
      </c>
      <c r="E46" t="s">
        <v>185</v>
      </c>
      <c r="F46" t="s">
        <v>276</v>
      </c>
      <c r="G46" t="str">
        <f t="shared" si="0"/>
        <v>'ubicación_ext' : r_val['ubicación_ext'],</v>
      </c>
      <c r="H46" t="str">
        <f t="shared" si="1"/>
        <v>'sim1': sim1,</v>
      </c>
      <c r="I46" t="s">
        <v>565</v>
      </c>
      <c r="J46" t="str">
        <f t="shared" si="2"/>
        <v>img_path_sim1 = os.path.join(IMAGES_PATH, r_val['sim1'])</v>
      </c>
      <c r="K46" t="str">
        <f t="shared" si="3"/>
        <v>if os.path.exists(img_path_sim1):</v>
      </c>
      <c r="L46" t="str">
        <f t="shared" si="4"/>
        <v>sim1 = InlineImage(docx_tpl, img_path_sim1, height=Mm(60))</v>
      </c>
      <c r="M46" t="s">
        <v>567</v>
      </c>
      <c r="N46" t="str">
        <f t="shared" si="5"/>
        <v>print(f'Advertencia: No se encontró la imagen {r_val['sim1']}')</v>
      </c>
      <c r="O46" t="str">
        <f t="shared" si="6"/>
        <v>sim1 = ''</v>
      </c>
      <c r="P46" t="s">
        <v>566</v>
      </c>
      <c r="Q46" t="str">
        <f t="shared" si="7"/>
        <v>print(f'Advertencia: No se pudo cargar la imagen {r_val['sim1']}: {e}')</v>
      </c>
      <c r="R46" t="str">
        <f t="shared" si="8"/>
        <v>sim1 = ''</v>
      </c>
    </row>
    <row r="47" spans="1:18" x14ac:dyDescent="0.3">
      <c r="A47" t="s">
        <v>65</v>
      </c>
      <c r="B47" t="s">
        <v>123</v>
      </c>
      <c r="C47" t="s">
        <v>387</v>
      </c>
      <c r="D47">
        <v>60</v>
      </c>
      <c r="E47" t="s">
        <v>706</v>
      </c>
      <c r="F47" t="s">
        <v>708</v>
      </c>
      <c r="G47" t="str">
        <f t="shared" ref="G47:G78" si="9">+_xlfn.CONCAT("'",E47,"' : r_val['",E47,"'],")</f>
        <v>'ext_pqs' : r_val['ext_pqs'],</v>
      </c>
      <c r="H47" t="str">
        <f t="shared" si="1"/>
        <v>'sim2': sim2,</v>
      </c>
      <c r="I47" t="s">
        <v>565</v>
      </c>
      <c r="J47" t="str">
        <f t="shared" si="2"/>
        <v>img_path_sim2 = os.path.join(IMAGES_PATH, r_val['sim2'])</v>
      </c>
      <c r="K47" t="str">
        <f t="shared" si="3"/>
        <v>if os.path.exists(img_path_sim2):</v>
      </c>
      <c r="L47" t="str">
        <f t="shared" si="4"/>
        <v>sim2 = InlineImage(docx_tpl, img_path_sim2, height=Mm(60))</v>
      </c>
      <c r="M47" t="s">
        <v>567</v>
      </c>
      <c r="N47" t="str">
        <f t="shared" si="5"/>
        <v>print(f'Advertencia: No se encontró la imagen {r_val['sim2']}')</v>
      </c>
      <c r="O47" t="str">
        <f t="shared" si="6"/>
        <v>sim2 = ''</v>
      </c>
      <c r="P47" t="s">
        <v>566</v>
      </c>
      <c r="Q47" t="str">
        <f t="shared" si="7"/>
        <v>print(f'Advertencia: No se pudo cargar la imagen {r_val['sim2']}: {e}')</v>
      </c>
      <c r="R47" t="str">
        <f t="shared" si="8"/>
        <v>sim2 = ''</v>
      </c>
    </row>
    <row r="48" spans="1:18" x14ac:dyDescent="0.3">
      <c r="A48" t="s">
        <v>66</v>
      </c>
      <c r="B48" t="s">
        <v>124</v>
      </c>
      <c r="C48" t="s">
        <v>388</v>
      </c>
      <c r="D48">
        <v>60</v>
      </c>
      <c r="E48" t="s">
        <v>707</v>
      </c>
      <c r="F48" t="s">
        <v>709</v>
      </c>
      <c r="G48" t="str">
        <f t="shared" si="9"/>
        <v>'ext_co2' : r_val['ext_co2'],</v>
      </c>
      <c r="H48" t="str">
        <f t="shared" si="1"/>
        <v>'sim3': sim3,</v>
      </c>
      <c r="I48" t="s">
        <v>565</v>
      </c>
      <c r="J48" t="str">
        <f t="shared" si="2"/>
        <v>img_path_sim3 = os.path.join(IMAGES_PATH, r_val['sim3'])</v>
      </c>
      <c r="K48" t="str">
        <f t="shared" si="3"/>
        <v>if os.path.exists(img_path_sim3):</v>
      </c>
      <c r="L48" t="str">
        <f t="shared" si="4"/>
        <v>sim3 = InlineImage(docx_tpl, img_path_sim3, height=Mm(60))</v>
      </c>
      <c r="M48" t="s">
        <v>567</v>
      </c>
      <c r="N48" t="str">
        <f t="shared" si="5"/>
        <v>print(f'Advertencia: No se encontró la imagen {r_val['sim3']}')</v>
      </c>
      <c r="O48" t="str">
        <f t="shared" si="6"/>
        <v>sim3 = ''</v>
      </c>
      <c r="P48" t="s">
        <v>566</v>
      </c>
      <c r="Q48" t="str">
        <f t="shared" si="7"/>
        <v>print(f'Advertencia: No se pudo cargar la imagen {r_val['sim3']}: {e}')</v>
      </c>
      <c r="R48" t="str">
        <f t="shared" si="8"/>
        <v>sim3 = ''</v>
      </c>
    </row>
    <row r="49" spans="1:18" x14ac:dyDescent="0.3">
      <c r="A49" t="s">
        <v>67</v>
      </c>
      <c r="B49" t="s">
        <v>125</v>
      </c>
      <c r="C49" t="s">
        <v>389</v>
      </c>
      <c r="D49">
        <v>60</v>
      </c>
      <c r="E49" t="s">
        <v>186</v>
      </c>
      <c r="F49" t="s">
        <v>277</v>
      </c>
      <c r="G49" t="str">
        <f t="shared" si="9"/>
        <v>'paros_emergencia' : r_val['paros_emergencia'],</v>
      </c>
      <c r="H49" t="str">
        <f t="shared" si="1"/>
        <v>'sim4': sim4,</v>
      </c>
      <c r="I49" t="s">
        <v>565</v>
      </c>
      <c r="J49" t="str">
        <f t="shared" si="2"/>
        <v>img_path_sim4 = os.path.join(IMAGES_PATH, r_val['sim4'])</v>
      </c>
      <c r="K49" t="str">
        <f t="shared" si="3"/>
        <v>if os.path.exists(img_path_sim4):</v>
      </c>
      <c r="L49" t="str">
        <f t="shared" si="4"/>
        <v>sim4 = InlineImage(docx_tpl, img_path_sim4, height=Mm(60))</v>
      </c>
      <c r="M49" t="s">
        <v>567</v>
      </c>
      <c r="N49" t="str">
        <f t="shared" si="5"/>
        <v>print(f'Advertencia: No se encontró la imagen {r_val['sim4']}')</v>
      </c>
      <c r="O49" t="str">
        <f t="shared" si="6"/>
        <v>sim4 = ''</v>
      </c>
      <c r="P49" t="s">
        <v>566</v>
      </c>
      <c r="Q49" t="str">
        <f t="shared" si="7"/>
        <v>print(f'Advertencia: No se pudo cargar la imagen {r_val['sim4']}: {e}')</v>
      </c>
      <c r="R49" t="str">
        <f t="shared" si="8"/>
        <v>sim4 = ''</v>
      </c>
    </row>
    <row r="50" spans="1:18" x14ac:dyDescent="0.3">
      <c r="A50" t="s">
        <v>68</v>
      </c>
      <c r="B50" t="s">
        <v>126</v>
      </c>
      <c r="C50" t="s">
        <v>390</v>
      </c>
      <c r="D50">
        <v>60</v>
      </c>
      <c r="E50" t="s">
        <v>187</v>
      </c>
      <c r="F50" t="s">
        <v>278</v>
      </c>
      <c r="G50" t="str">
        <f t="shared" si="9"/>
        <v>'ubicación_pe' : r_val['ubicación_pe'],</v>
      </c>
      <c r="H50" t="str">
        <f t="shared" si="1"/>
        <v>'sim5': sim5,</v>
      </c>
      <c r="I50" t="s">
        <v>565</v>
      </c>
      <c r="J50" t="str">
        <f t="shared" si="2"/>
        <v>img_path_sim5 = os.path.join(IMAGES_PATH, r_val['sim5'])</v>
      </c>
      <c r="K50" t="str">
        <f t="shared" si="3"/>
        <v>if os.path.exists(img_path_sim5):</v>
      </c>
      <c r="L50" t="str">
        <f t="shared" si="4"/>
        <v>sim5 = InlineImage(docx_tpl, img_path_sim5, height=Mm(60))</v>
      </c>
      <c r="M50" t="s">
        <v>567</v>
      </c>
      <c r="N50" t="str">
        <f t="shared" si="5"/>
        <v>print(f'Advertencia: No se encontró la imagen {r_val['sim5']}')</v>
      </c>
      <c r="O50" t="str">
        <f t="shared" si="6"/>
        <v>sim5 = ''</v>
      </c>
      <c r="P50" t="s">
        <v>566</v>
      </c>
      <c r="Q50" t="str">
        <f t="shared" si="7"/>
        <v>print(f'Advertencia: No se pudo cargar la imagen {r_val['sim5']}: {e}')</v>
      </c>
      <c r="R50" t="str">
        <f t="shared" si="8"/>
        <v>sim5 = ''</v>
      </c>
    </row>
    <row r="51" spans="1:18" x14ac:dyDescent="0.3">
      <c r="A51" t="s">
        <v>69</v>
      </c>
      <c r="B51" t="s">
        <v>127</v>
      </c>
      <c r="C51" t="s">
        <v>391</v>
      </c>
      <c r="D51">
        <v>60</v>
      </c>
      <c r="E51" t="s">
        <v>406</v>
      </c>
      <c r="F51" t="s">
        <v>407</v>
      </c>
      <c r="G51" t="str">
        <f t="shared" si="9"/>
        <v>'venteo_sist' : r_val['venteo_sist'],</v>
      </c>
      <c r="H51" t="str">
        <f>+_xlfn.CONCAT("'",A51,"': ",A51,",")</f>
        <v>'sim6': sim6,</v>
      </c>
      <c r="I51" t="s">
        <v>565</v>
      </c>
      <c r="J51" t="str">
        <f t="shared" si="2"/>
        <v>img_path_sim6 = os.path.join(IMAGES_PATH, r_val['sim6'])</v>
      </c>
      <c r="K51" t="str">
        <f t="shared" si="3"/>
        <v>if os.path.exists(img_path_sim6):</v>
      </c>
      <c r="L51" t="str">
        <f t="shared" si="4"/>
        <v>sim6 = InlineImage(docx_tpl, img_path_sim6, height=Mm(60))</v>
      </c>
      <c r="M51" t="s">
        <v>567</v>
      </c>
      <c r="N51" t="str">
        <f t="shared" si="5"/>
        <v>print(f'Advertencia: No se encontró la imagen {r_val['sim6']}')</v>
      </c>
      <c r="O51" t="str">
        <f t="shared" si="6"/>
        <v>sim6 = ''</v>
      </c>
      <c r="P51" t="s">
        <v>566</v>
      </c>
      <c r="Q51" t="str">
        <f t="shared" si="7"/>
        <v>print(f'Advertencia: No se pudo cargar la imagen {r_val['sim6']}: {e}')</v>
      </c>
      <c r="R51" t="str">
        <f t="shared" si="8"/>
        <v>sim6 = ''</v>
      </c>
    </row>
    <row r="52" spans="1:18" x14ac:dyDescent="0.3">
      <c r="A52" t="s">
        <v>70</v>
      </c>
      <c r="B52" t="s">
        <v>128</v>
      </c>
      <c r="C52" t="s">
        <v>392</v>
      </c>
      <c r="D52">
        <v>60</v>
      </c>
      <c r="E52" t="s">
        <v>189</v>
      </c>
      <c r="F52" t="s">
        <v>280</v>
      </c>
      <c r="G52" t="str">
        <f t="shared" si="9"/>
        <v>'ubicación_vent' : r_val['ubicación_vent'],</v>
      </c>
      <c r="H52" t="str">
        <f t="shared" si="1"/>
        <v>'techo': techo,</v>
      </c>
      <c r="I52" t="s">
        <v>565</v>
      </c>
      <c r="J52" t="str">
        <f t="shared" si="2"/>
        <v>img_path_techo = os.path.join(IMAGES_PATH, r_val['techo'])</v>
      </c>
      <c r="K52" t="str">
        <f t="shared" si="3"/>
        <v>if os.path.exists(img_path_techo):</v>
      </c>
      <c r="L52" t="str">
        <f t="shared" si="4"/>
        <v>techo = InlineImage(docx_tpl, img_path_techo, height=Mm(60))</v>
      </c>
      <c r="M52" t="s">
        <v>567</v>
      </c>
      <c r="N52" t="str">
        <f t="shared" si="5"/>
        <v>print(f'Advertencia: No se encontró la imagen {r_val['techo']}')</v>
      </c>
      <c r="O52" t="str">
        <f t="shared" si="6"/>
        <v>techo = ''</v>
      </c>
      <c r="P52" t="s">
        <v>566</v>
      </c>
      <c r="Q52" t="str">
        <f t="shared" si="7"/>
        <v>print(f'Advertencia: No se pudo cargar la imagen {r_val['techo']}: {e}')</v>
      </c>
      <c r="R52" t="str">
        <f t="shared" si="8"/>
        <v>techo = ''</v>
      </c>
    </row>
    <row r="53" spans="1:18" x14ac:dyDescent="0.3">
      <c r="A53" t="s">
        <v>71</v>
      </c>
      <c r="B53" t="s">
        <v>129</v>
      </c>
      <c r="C53" t="s">
        <v>393</v>
      </c>
      <c r="D53">
        <v>60</v>
      </c>
      <c r="E53" t="s">
        <v>418</v>
      </c>
      <c r="F53" t="s">
        <v>419</v>
      </c>
      <c r="G53" t="str">
        <f t="shared" si="9"/>
        <v>'planta_emer' : r_val['planta_emer'],</v>
      </c>
      <c r="H53" t="str">
        <f t="shared" si="1"/>
        <v>'pisos': pisos,</v>
      </c>
      <c r="I53" t="s">
        <v>565</v>
      </c>
      <c r="J53" t="str">
        <f t="shared" si="2"/>
        <v>img_path_pisos = os.path.join(IMAGES_PATH, r_val['pisos'])</v>
      </c>
      <c r="K53" t="str">
        <f t="shared" si="3"/>
        <v>if os.path.exists(img_path_pisos):</v>
      </c>
      <c r="L53" t="str">
        <f t="shared" si="4"/>
        <v>pisos = InlineImage(docx_tpl, img_path_pisos, height=Mm(60))</v>
      </c>
      <c r="M53" t="s">
        <v>567</v>
      </c>
      <c r="N53" t="str">
        <f t="shared" si="5"/>
        <v>print(f'Advertencia: No se encontró la imagen {r_val['pisos']}')</v>
      </c>
      <c r="O53" t="str">
        <f t="shared" si="6"/>
        <v>pisos = ''</v>
      </c>
      <c r="P53" t="s">
        <v>566</v>
      </c>
      <c r="Q53" t="str">
        <f t="shared" si="7"/>
        <v>print(f'Advertencia: No se pudo cargar la imagen {r_val['pisos']}: {e}')</v>
      </c>
      <c r="R53" t="str">
        <f t="shared" si="8"/>
        <v>pisos = ''</v>
      </c>
    </row>
    <row r="54" spans="1:18" x14ac:dyDescent="0.3">
      <c r="A54" t="s">
        <v>72</v>
      </c>
      <c r="B54" t="s">
        <v>130</v>
      </c>
      <c r="C54" t="s">
        <v>394</v>
      </c>
      <c r="D54">
        <v>60</v>
      </c>
      <c r="E54" t="s">
        <v>190</v>
      </c>
      <c r="F54" t="s">
        <v>282</v>
      </c>
      <c r="G54" t="str">
        <f t="shared" si="9"/>
        <v>'ubicación_plant' : r_val['ubicación_plant'],</v>
      </c>
      <c r="H54" t="str">
        <f t="shared" si="1"/>
        <v>'puerta': puerta,</v>
      </c>
      <c r="I54" t="s">
        <v>565</v>
      </c>
      <c r="J54" t="str">
        <f t="shared" si="2"/>
        <v>img_path_puerta = os.path.join(IMAGES_PATH, r_val['puerta'])</v>
      </c>
      <c r="K54" t="str">
        <f t="shared" si="3"/>
        <v>if os.path.exists(img_path_puerta):</v>
      </c>
      <c r="L54" t="str">
        <f t="shared" si="4"/>
        <v>puerta = InlineImage(docx_tpl, img_path_puerta, height=Mm(60))</v>
      </c>
      <c r="M54" t="s">
        <v>567</v>
      </c>
      <c r="N54" t="str">
        <f t="shared" si="5"/>
        <v>print(f'Advertencia: No se encontró la imagen {r_val['puerta']}')</v>
      </c>
      <c r="O54" t="str">
        <f t="shared" si="6"/>
        <v>puerta = ''</v>
      </c>
      <c r="P54" t="s">
        <v>566</v>
      </c>
      <c r="Q54" t="str">
        <f t="shared" si="7"/>
        <v>print(f'Advertencia: No se pudo cargar la imagen {r_val['puerta']}: {e}')</v>
      </c>
      <c r="R54" t="str">
        <f t="shared" si="8"/>
        <v>puerta = ''</v>
      </c>
    </row>
    <row r="55" spans="1:18" x14ac:dyDescent="0.3">
      <c r="A55" t="s">
        <v>73</v>
      </c>
      <c r="B55" t="s">
        <v>131</v>
      </c>
      <c r="C55" t="s">
        <v>395</v>
      </c>
      <c r="D55">
        <v>60</v>
      </c>
      <c r="E55" t="s">
        <v>415</v>
      </c>
      <c r="F55" t="s">
        <v>416</v>
      </c>
      <c r="G55" t="str">
        <f t="shared" si="9"/>
        <v>'met_alarma' : r_val['met_alarma'],</v>
      </c>
      <c r="H55" t="str">
        <f t="shared" si="1"/>
        <v>'estantes': estantes,</v>
      </c>
      <c r="I55" t="s">
        <v>565</v>
      </c>
      <c r="J55" t="str">
        <f t="shared" si="2"/>
        <v>img_path_estantes = os.path.join(IMAGES_PATH, r_val['estantes'])</v>
      </c>
      <c r="K55" t="str">
        <f t="shared" si="3"/>
        <v>if os.path.exists(img_path_estantes):</v>
      </c>
      <c r="L55" t="str">
        <f t="shared" si="4"/>
        <v>estantes = InlineImage(docx_tpl, img_path_estantes, height=Mm(60))</v>
      </c>
      <c r="M55" t="s">
        <v>567</v>
      </c>
      <c r="N55" t="str">
        <f t="shared" si="5"/>
        <v>print(f'Advertencia: No se encontró la imagen {r_val['estantes']}')</v>
      </c>
      <c r="O55" t="str">
        <f t="shared" si="6"/>
        <v>estantes = ''</v>
      </c>
      <c r="P55" t="s">
        <v>566</v>
      </c>
      <c r="Q55" t="str">
        <f t="shared" si="7"/>
        <v>print(f'Advertencia: No se pudo cargar la imagen {r_val['estantes']}: {e}')</v>
      </c>
      <c r="R55" t="str">
        <f t="shared" si="8"/>
        <v>estantes = ''</v>
      </c>
    </row>
    <row r="56" spans="1:18" x14ac:dyDescent="0.3">
      <c r="A56" t="s">
        <v>14</v>
      </c>
      <c r="B56" t="s">
        <v>132</v>
      </c>
      <c r="C56" t="s">
        <v>301</v>
      </c>
      <c r="D56">
        <v>60</v>
      </c>
      <c r="E56" t="s">
        <v>7</v>
      </c>
      <c r="F56" t="s">
        <v>284</v>
      </c>
      <c r="G56" t="str">
        <f t="shared" si="9"/>
        <v>'tipo_alarma' : r_val['tipo_alarma'],</v>
      </c>
      <c r="H56" t="str">
        <f t="shared" si="1"/>
        <v>'site': site,</v>
      </c>
      <c r="I56" t="s">
        <v>565</v>
      </c>
      <c r="J56" t="str">
        <f t="shared" si="2"/>
        <v>img_path_site = os.path.join(IMAGES_PATH, r_val['site'])</v>
      </c>
      <c r="K56" t="str">
        <f t="shared" si="3"/>
        <v>if os.path.exists(img_path_site):</v>
      </c>
      <c r="L56" t="str">
        <f t="shared" si="4"/>
        <v>site = InlineImage(docx_tpl, img_path_site, height=Mm(60))</v>
      </c>
      <c r="M56" t="s">
        <v>567</v>
      </c>
      <c r="N56" t="str">
        <f t="shared" si="5"/>
        <v>print(f'Advertencia: No se encontró la imagen {r_val['site']}')</v>
      </c>
      <c r="O56" t="str">
        <f t="shared" si="6"/>
        <v>site = ''</v>
      </c>
      <c r="P56" t="s">
        <v>566</v>
      </c>
      <c r="Q56" t="str">
        <f t="shared" si="7"/>
        <v>print(f'Advertencia: No se pudo cargar la imagen {r_val['site']}: {e}')</v>
      </c>
      <c r="R56" t="str">
        <f t="shared" si="8"/>
        <v>site = ''</v>
      </c>
    </row>
    <row r="57" spans="1:18" x14ac:dyDescent="0.3">
      <c r="A57" t="s">
        <v>74</v>
      </c>
      <c r="B57" t="s">
        <v>133</v>
      </c>
      <c r="C57" t="s">
        <v>396</v>
      </c>
      <c r="D57">
        <v>60</v>
      </c>
      <c r="E57" t="s">
        <v>710</v>
      </c>
      <c r="F57" t="s">
        <v>711</v>
      </c>
      <c r="G57" t="str">
        <f t="shared" si="9"/>
        <v>'silbato' : r_val['silbato'],</v>
      </c>
      <c r="H57" t="str">
        <f t="shared" si="1"/>
        <v>'dh': dh,</v>
      </c>
      <c r="I57" t="s">
        <v>565</v>
      </c>
      <c r="J57" t="str">
        <f t="shared" si="2"/>
        <v>img_path_dh = os.path.join(IMAGES_PATH, r_val['dh'])</v>
      </c>
      <c r="K57" t="str">
        <f t="shared" si="3"/>
        <v>if os.path.exists(img_path_dh):</v>
      </c>
      <c r="L57" t="str">
        <f t="shared" si="4"/>
        <v>dh = InlineImage(docx_tpl, img_path_dh, height=Mm(60))</v>
      </c>
      <c r="M57" t="s">
        <v>567</v>
      </c>
      <c r="N57" t="str">
        <f t="shared" si="5"/>
        <v>print(f'Advertencia: No se encontró la imagen {r_val['dh']}')</v>
      </c>
      <c r="O57" t="str">
        <f t="shared" si="6"/>
        <v>dh = ''</v>
      </c>
      <c r="P57" t="s">
        <v>566</v>
      </c>
      <c r="Q57" t="str">
        <f t="shared" si="7"/>
        <v>print(f'Advertencia: No se pudo cargar la imagen {r_val['dh']}: {e}')</v>
      </c>
      <c r="R57" t="str">
        <f t="shared" si="8"/>
        <v>dh = ''</v>
      </c>
    </row>
    <row r="58" spans="1:18" x14ac:dyDescent="0.3">
      <c r="A58" t="s">
        <v>75</v>
      </c>
      <c r="B58" t="s">
        <v>134</v>
      </c>
      <c r="C58" t="s">
        <v>397</v>
      </c>
      <c r="D58">
        <v>60</v>
      </c>
      <c r="E58" t="s">
        <v>712</v>
      </c>
      <c r="F58" t="s">
        <v>713</v>
      </c>
      <c r="G58" t="str">
        <f t="shared" si="9"/>
        <v>'estrobo' : r_val['estrobo'],</v>
      </c>
      <c r="H58" t="str">
        <f t="shared" si="1"/>
        <v>'ventanas': ventanas,</v>
      </c>
      <c r="I58" t="s">
        <v>565</v>
      </c>
      <c r="J58" t="str">
        <f t="shared" si="2"/>
        <v>img_path_ventanas = os.path.join(IMAGES_PATH, r_val['ventanas'])</v>
      </c>
      <c r="K58" t="str">
        <f t="shared" si="3"/>
        <v>if os.path.exists(img_path_ventanas):</v>
      </c>
      <c r="L58" t="str">
        <f t="shared" si="4"/>
        <v>ventanas = InlineImage(docx_tpl, img_path_ventanas, height=Mm(60))</v>
      </c>
      <c r="M58" t="s">
        <v>567</v>
      </c>
      <c r="N58" t="str">
        <f t="shared" si="5"/>
        <v>print(f'Advertencia: No se encontró la imagen {r_val['ventanas']}')</v>
      </c>
      <c r="O58" t="str">
        <f t="shared" si="6"/>
        <v>ventanas = ''</v>
      </c>
      <c r="P58" t="s">
        <v>566</v>
      </c>
      <c r="Q58" t="str">
        <f t="shared" si="7"/>
        <v>print(f'Advertencia: No se pudo cargar la imagen {r_val['ventanas']}: {e}')</v>
      </c>
      <c r="R58" t="str">
        <f t="shared" si="8"/>
        <v>ventanas = ''</v>
      </c>
    </row>
    <row r="59" spans="1:18" x14ac:dyDescent="0.3">
      <c r="A59" t="s">
        <v>76</v>
      </c>
      <c r="B59" t="s">
        <v>135</v>
      </c>
      <c r="C59" t="s">
        <v>398</v>
      </c>
      <c r="D59">
        <v>60</v>
      </c>
      <c r="E59" t="s">
        <v>8</v>
      </c>
      <c r="F59" t="s">
        <v>285</v>
      </c>
      <c r="G59" t="str">
        <f t="shared" si="9"/>
        <v>'ubicacion_alarma' : r_val['ubicacion_alarma'],</v>
      </c>
      <c r="H59" t="str">
        <f t="shared" si="1"/>
        <v>'compresor': compresor,</v>
      </c>
      <c r="I59" t="s">
        <v>565</v>
      </c>
      <c r="J59" t="str">
        <f t="shared" si="2"/>
        <v>img_path_compresor = os.path.join(IMAGES_PATH, r_val['compresor'])</v>
      </c>
      <c r="K59" t="str">
        <f t="shared" si="3"/>
        <v>if os.path.exists(img_path_compresor):</v>
      </c>
      <c r="L59" t="str">
        <f t="shared" si="4"/>
        <v>compresor = InlineImage(docx_tpl, img_path_compresor, height=Mm(60))</v>
      </c>
      <c r="M59" t="s">
        <v>567</v>
      </c>
      <c r="N59" t="str">
        <f t="shared" si="5"/>
        <v>print(f'Advertencia: No se encontró la imagen {r_val['compresor']}')</v>
      </c>
      <c r="O59" t="str">
        <f t="shared" si="6"/>
        <v>compresor = ''</v>
      </c>
      <c r="P59" t="s">
        <v>566</v>
      </c>
      <c r="Q59" t="str">
        <f t="shared" si="7"/>
        <v>print(f'Advertencia: No se pudo cargar la imagen {r_val['compresor']}: {e}')</v>
      </c>
      <c r="R59" t="str">
        <f t="shared" si="8"/>
        <v>compresor = ''</v>
      </c>
    </row>
    <row r="60" spans="1:18" x14ac:dyDescent="0.3">
      <c r="A60" t="s">
        <v>77</v>
      </c>
      <c r="B60" t="s">
        <v>136</v>
      </c>
      <c r="C60" t="s">
        <v>399</v>
      </c>
      <c r="D60">
        <v>60</v>
      </c>
      <c r="E60" t="s">
        <v>3</v>
      </c>
      <c r="F60" t="s">
        <v>286</v>
      </c>
      <c r="G60" t="str">
        <f t="shared" si="9"/>
        <v>'detectores_humo' : r_val['detectores_humo'],</v>
      </c>
      <c r="H60" t="str">
        <f t="shared" si="1"/>
        <v>'quimicos': quimicos,</v>
      </c>
      <c r="I60" t="s">
        <v>565</v>
      </c>
      <c r="J60" t="str">
        <f t="shared" si="2"/>
        <v>img_path_quimicos = os.path.join(IMAGES_PATH, r_val['quimicos'])</v>
      </c>
      <c r="K60" t="str">
        <f t="shared" si="3"/>
        <v>if os.path.exists(img_path_quimicos):</v>
      </c>
      <c r="L60" t="str">
        <f t="shared" si="4"/>
        <v>quimicos = InlineImage(docx_tpl, img_path_quimicos, height=Mm(60))</v>
      </c>
      <c r="M60" t="s">
        <v>567</v>
      </c>
      <c r="N60" t="str">
        <f t="shared" si="5"/>
        <v>print(f'Advertencia: No se encontró la imagen {r_val['quimicos']}')</v>
      </c>
      <c r="O60" t="str">
        <f t="shared" si="6"/>
        <v>quimicos = ''</v>
      </c>
      <c r="P60" t="s">
        <v>566</v>
      </c>
      <c r="Q60" t="str">
        <f t="shared" si="7"/>
        <v>print(f'Advertencia: No se pudo cargar la imagen {r_val['quimicos']}: {e}')</v>
      </c>
      <c r="R60" t="str">
        <f t="shared" si="8"/>
        <v>quimicos = ''</v>
      </c>
    </row>
    <row r="61" spans="1:18" x14ac:dyDescent="0.3">
      <c r="A61" t="s">
        <v>78</v>
      </c>
      <c r="B61" t="s">
        <v>137</v>
      </c>
      <c r="C61" t="s">
        <v>400</v>
      </c>
      <c r="D61">
        <v>60</v>
      </c>
      <c r="E61" t="s">
        <v>4</v>
      </c>
      <c r="F61" t="s">
        <v>287</v>
      </c>
      <c r="G61" t="str">
        <f t="shared" si="9"/>
        <v>'ubicación_dh' : r_val['ubicación_dh'],</v>
      </c>
      <c r="H61" t="str">
        <f t="shared" si="1"/>
        <v>'tanques_gaso': tanques_gaso,</v>
      </c>
      <c r="I61" t="s">
        <v>565</v>
      </c>
      <c r="J61" t="str">
        <f t="shared" si="2"/>
        <v>img_path_tanques_gaso = os.path.join(IMAGES_PATH, r_val['tanques_gaso'])</v>
      </c>
      <c r="K61" t="str">
        <f t="shared" si="3"/>
        <v>if os.path.exists(img_path_tanques_gaso):</v>
      </c>
      <c r="L61" t="str">
        <f t="shared" si="4"/>
        <v>tanques_gaso = InlineImage(docx_tpl, img_path_tanques_gaso, height=Mm(60))</v>
      </c>
      <c r="M61" t="s">
        <v>567</v>
      </c>
      <c r="N61" t="str">
        <f t="shared" si="5"/>
        <v>print(f'Advertencia: No se encontró la imagen {r_val['tanques_gaso']}')</v>
      </c>
      <c r="O61" t="str">
        <f t="shared" si="6"/>
        <v>tanques_gaso = ''</v>
      </c>
      <c r="P61" t="s">
        <v>566</v>
      </c>
      <c r="Q61" t="str">
        <f t="shared" si="7"/>
        <v>print(f'Advertencia: No se pudo cargar la imagen {r_val['tanques_gaso']}: {e}')</v>
      </c>
      <c r="R61" t="str">
        <f t="shared" si="8"/>
        <v>tanques_gaso = ''</v>
      </c>
    </row>
    <row r="62" spans="1:18" x14ac:dyDescent="0.3">
      <c r="A62" t="s">
        <v>79</v>
      </c>
      <c r="B62" t="s">
        <v>138</v>
      </c>
      <c r="C62" t="s">
        <v>401</v>
      </c>
      <c r="D62">
        <v>60</v>
      </c>
      <c r="E62" t="s">
        <v>191</v>
      </c>
      <c r="F62" t="s">
        <v>288</v>
      </c>
      <c r="G62" t="str">
        <f t="shared" si="9"/>
        <v>'ruta_evac' : r_val['ruta_evac'],</v>
      </c>
      <c r="H62" t="str">
        <f t="shared" si="1"/>
        <v>'paro': paro,</v>
      </c>
      <c r="I62" t="s">
        <v>565</v>
      </c>
      <c r="J62" t="str">
        <f t="shared" si="2"/>
        <v>img_path_paro = os.path.join(IMAGES_PATH, r_val['paro'])</v>
      </c>
      <c r="K62" t="str">
        <f t="shared" si="3"/>
        <v>if os.path.exists(img_path_paro):</v>
      </c>
      <c r="L62" t="str">
        <f t="shared" si="4"/>
        <v>paro = InlineImage(docx_tpl, img_path_paro, height=Mm(60))</v>
      </c>
      <c r="M62" t="s">
        <v>567</v>
      </c>
      <c r="N62" t="str">
        <f t="shared" si="5"/>
        <v>print(f'Advertencia: No se encontró la imagen {r_val['paro']}')</v>
      </c>
      <c r="O62" t="str">
        <f t="shared" si="6"/>
        <v>paro = ''</v>
      </c>
      <c r="P62" t="s">
        <v>566</v>
      </c>
      <c r="Q62" t="str">
        <f t="shared" si="7"/>
        <v>print(f'Advertencia: No se pudo cargar la imagen {r_val['paro']}: {e}')</v>
      </c>
      <c r="R62" t="str">
        <f t="shared" si="8"/>
        <v>paro = ''</v>
      </c>
    </row>
    <row r="63" spans="1:18" x14ac:dyDescent="0.3">
      <c r="A63" t="s">
        <v>80</v>
      </c>
      <c r="B63" t="s">
        <v>139</v>
      </c>
      <c r="C63" t="s">
        <v>402</v>
      </c>
      <c r="D63">
        <v>60</v>
      </c>
      <c r="E63" t="s">
        <v>5</v>
      </c>
      <c r="F63" t="s">
        <v>256</v>
      </c>
      <c r="G63" t="str">
        <f t="shared" si="9"/>
        <v>'escaleras' : r_val['escaleras'],</v>
      </c>
      <c r="H63" t="str">
        <f t="shared" si="1"/>
        <v>'trampa_grasa': trampa_grasa,</v>
      </c>
      <c r="I63" t="s">
        <v>565</v>
      </c>
      <c r="J63" t="str">
        <f t="shared" si="2"/>
        <v>img_path_trampa_grasa = os.path.join(IMAGES_PATH, r_val['trampa_grasa'])</v>
      </c>
      <c r="K63" t="str">
        <f t="shared" si="3"/>
        <v>if os.path.exists(img_path_trampa_grasa):</v>
      </c>
      <c r="L63" t="str">
        <f t="shared" si="4"/>
        <v>trampa_grasa = InlineImage(docx_tpl, img_path_trampa_grasa, height=Mm(60))</v>
      </c>
      <c r="M63" t="s">
        <v>567</v>
      </c>
      <c r="N63" t="str">
        <f t="shared" si="5"/>
        <v>print(f'Advertencia: No se encontró la imagen {r_val['trampa_grasa']}')</v>
      </c>
      <c r="O63" t="str">
        <f t="shared" si="6"/>
        <v>trampa_grasa = ''</v>
      </c>
      <c r="P63" t="s">
        <v>566</v>
      </c>
      <c r="Q63" t="str">
        <f t="shared" si="7"/>
        <v>print(f'Advertencia: No se pudo cargar la imagen {r_val['trampa_grasa']}: {e}')</v>
      </c>
      <c r="R63" t="str">
        <f t="shared" si="8"/>
        <v>trampa_grasa = ''</v>
      </c>
    </row>
    <row r="64" spans="1:18" x14ac:dyDescent="0.3">
      <c r="A64" t="s">
        <v>21</v>
      </c>
      <c r="B64" t="s">
        <v>420</v>
      </c>
      <c r="C64" t="s">
        <v>281</v>
      </c>
      <c r="D64">
        <v>60</v>
      </c>
      <c r="E64" t="s">
        <v>192</v>
      </c>
      <c r="F64" t="s">
        <v>289</v>
      </c>
      <c r="G64" t="str">
        <f t="shared" si="9"/>
        <v>'salida_emerg' : r_val['salida_emerg'],</v>
      </c>
      <c r="H64" t="str">
        <f t="shared" si="1"/>
        <v>'planta': planta,</v>
      </c>
      <c r="I64" t="s">
        <v>565</v>
      </c>
      <c r="J64" t="str">
        <f t="shared" si="2"/>
        <v>img_path_planta = os.path.join(IMAGES_PATH, r_val['planta'])</v>
      </c>
      <c r="K64" t="str">
        <f t="shared" si="3"/>
        <v>if os.path.exists(img_path_planta):</v>
      </c>
      <c r="L64" t="str">
        <f t="shared" si="4"/>
        <v>planta = InlineImage(docx_tpl, img_path_planta, height=Mm(60))</v>
      </c>
      <c r="M64" t="s">
        <v>567</v>
      </c>
      <c r="N64" t="str">
        <f t="shared" si="5"/>
        <v>print(f'Advertencia: No se encontró la imagen {r_val['planta']}')</v>
      </c>
      <c r="O64" t="str">
        <f t="shared" si="6"/>
        <v>planta = ''</v>
      </c>
      <c r="P64" t="s">
        <v>566</v>
      </c>
      <c r="Q64" t="str">
        <f t="shared" si="7"/>
        <v>print(f'Advertencia: No se pudo cargar la imagen {r_val['planta']}: {e}')</v>
      </c>
      <c r="R64" t="str">
        <f t="shared" si="8"/>
        <v>planta = ''</v>
      </c>
    </row>
    <row r="65" spans="1:18" x14ac:dyDescent="0.3">
      <c r="A65" t="s">
        <v>421</v>
      </c>
      <c r="B65" t="s">
        <v>422</v>
      </c>
      <c r="C65" t="s">
        <v>423</v>
      </c>
      <c r="D65">
        <v>60</v>
      </c>
      <c r="E65" t="s">
        <v>193</v>
      </c>
      <c r="F65" t="s">
        <v>290</v>
      </c>
      <c r="G65" t="str">
        <f t="shared" si="9"/>
        <v>'zona_menor_rg' : r_val['zona_menor_rg'],</v>
      </c>
      <c r="H65" t="str">
        <f t="shared" si="1"/>
        <v>'deposito': deposito,</v>
      </c>
      <c r="I65" t="s">
        <v>565</v>
      </c>
      <c r="J65" t="str">
        <f t="shared" si="2"/>
        <v>img_path_deposito = os.path.join(IMAGES_PATH, r_val['deposito'])</v>
      </c>
      <c r="K65" t="str">
        <f t="shared" si="3"/>
        <v>if os.path.exists(img_path_deposito):</v>
      </c>
      <c r="L65" t="str">
        <f t="shared" si="4"/>
        <v>deposito = InlineImage(docx_tpl, img_path_deposito, height=Mm(60))</v>
      </c>
      <c r="M65" t="s">
        <v>567</v>
      </c>
      <c r="N65" t="str">
        <f t="shared" si="5"/>
        <v>print(f'Advertencia: No se encontró la imagen {r_val['deposito']}')</v>
      </c>
      <c r="O65" t="str">
        <f t="shared" si="6"/>
        <v>deposito = ''</v>
      </c>
      <c r="P65" t="s">
        <v>566</v>
      </c>
      <c r="Q65" t="str">
        <f t="shared" si="7"/>
        <v>print(f'Advertencia: No se pudo cargar la imagen {r_val['deposito']}: {e}')</v>
      </c>
      <c r="R65" t="str">
        <f t="shared" si="8"/>
        <v>deposito = ''</v>
      </c>
    </row>
    <row r="66" spans="1:18" x14ac:dyDescent="0.3">
      <c r="A66" t="s">
        <v>609</v>
      </c>
      <c r="B66" t="s">
        <v>610</v>
      </c>
      <c r="C66" t="s">
        <v>608</v>
      </c>
      <c r="D66">
        <v>140</v>
      </c>
      <c r="E66" t="s">
        <v>194</v>
      </c>
      <c r="F66" t="s">
        <v>291</v>
      </c>
      <c r="G66" t="str">
        <f t="shared" si="9"/>
        <v>'punto_reunion' : r_val['punto_reunion'],</v>
      </c>
      <c r="H66" t="str">
        <f t="shared" si="1"/>
        <v>'mapa_satel': mapa_satel,</v>
      </c>
      <c r="I66" t="s">
        <v>565</v>
      </c>
      <c r="J66" t="str">
        <f>+_xlfn.CONCAT("img_path_",A66," = os.path.join(IMAGES_PATH, r_val[""",A66,"""])")</f>
        <v>img_path_mapa_satel = os.path.join(IMAGES_PATH, r_val["mapa_satel"])</v>
      </c>
      <c r="K66" t="str">
        <f t="shared" ref="K66" si="10">+_xlfn.CONCAT("if os.path.exists(img_path_",A66,"):")</f>
        <v>if os.path.exists(img_path_mapa_satel):</v>
      </c>
      <c r="L66" t="str">
        <f>+_xlfn.CONCAT(A66," = InlineImage(docx_tpl, img_path_",A66,", width=Mm(",D66,"))")</f>
        <v>mapa_satel = InlineImage(docx_tpl, img_path_mapa_satel, width=Mm(140))</v>
      </c>
      <c r="M66" t="s">
        <v>567</v>
      </c>
      <c r="N66" t="str">
        <f>+_xlfn.CONCAT("print(f'Advertencia: No se encontró la imagen {r_val[""",A66,"""]}')")</f>
        <v>print(f'Advertencia: No se encontró la imagen {r_val["mapa_satel"]}')</v>
      </c>
      <c r="O66" t="str">
        <f t="shared" ref="O66" si="11">+_xlfn.CONCAT(A66," = ''")</f>
        <v>mapa_satel = ''</v>
      </c>
      <c r="P66" t="s">
        <v>566</v>
      </c>
      <c r="Q66" t="str">
        <f>+_xlfn.CONCAT("print(f'Advertencia: No se pudo cargar la imagen {r_val[""",A66,"""]}: {e}')")</f>
        <v>print(f'Advertencia: No se pudo cargar la imagen {r_val["mapa_satel"]}: {e}')</v>
      </c>
      <c r="R66" t="str">
        <f t="shared" ref="R66" si="12">+_xlfn.CONCAT(A66," = ''")</f>
        <v>mapa_satel = ''</v>
      </c>
    </row>
    <row r="67" spans="1:18" x14ac:dyDescent="0.3">
      <c r="A67" t="s">
        <v>611</v>
      </c>
      <c r="B67" t="s">
        <v>612</v>
      </c>
      <c r="C67" t="s">
        <v>613</v>
      </c>
      <c r="D67">
        <v>200</v>
      </c>
      <c r="E67" t="s">
        <v>6</v>
      </c>
      <c r="F67" t="s">
        <v>292</v>
      </c>
      <c r="G67" t="str">
        <f t="shared" si="9"/>
        <v>'sismo_incendio' : r_val['sismo_incendio'],</v>
      </c>
      <c r="H67" t="str">
        <f t="shared" ref="H67:H90" si="13">+_xlfn.CONCAT("'",A67,"': ",A67,",")</f>
        <v>'plano': plano,</v>
      </c>
      <c r="I67" t="s">
        <v>565</v>
      </c>
      <c r="J67" t="str">
        <f t="shared" ref="J67:J90" si="14">+_xlfn.CONCAT("img_path_",A67," = os.path.join(IMAGES_PATH, r_val[""",A67,"""])")</f>
        <v>img_path_plano = os.path.join(IMAGES_PATH, r_val["plano"])</v>
      </c>
      <c r="K67" t="str">
        <f t="shared" ref="K67:K90" si="15">+_xlfn.CONCAT("if os.path.exists(img_path_",A67,"):")</f>
        <v>if os.path.exists(img_path_plano):</v>
      </c>
      <c r="L67" t="str">
        <f t="shared" ref="L67:L90" si="16">+_xlfn.CONCAT(A67," = InlineImage(docx_tpl, img_path_",A67,", height=Mm(",D67,"))")</f>
        <v>plano = InlineImage(docx_tpl, img_path_plano, height=Mm(200))</v>
      </c>
      <c r="M67" t="s">
        <v>567</v>
      </c>
      <c r="N67" t="str">
        <f t="shared" ref="N67:N90" si="17">+_xlfn.CONCAT("print(f'Advertencia: No se encontró la imagen {r_val[""",A67,"""]}')")</f>
        <v>print(f'Advertencia: No se encontró la imagen {r_val["plano"]}')</v>
      </c>
      <c r="O67" t="str">
        <f t="shared" ref="O67:O90" si="18">+_xlfn.CONCAT(A67," = ''")</f>
        <v>plano = ''</v>
      </c>
      <c r="P67" t="s">
        <v>566</v>
      </c>
      <c r="Q67" t="str">
        <f t="shared" ref="Q67:Q90" si="19">+_xlfn.CONCAT("print(f'Advertencia: No se pudo cargar la imagen {r_val[""",A67,"""]}: {e}')")</f>
        <v>print(f'Advertencia: No se pudo cargar la imagen {r_val["plano"]}: {e}')</v>
      </c>
      <c r="R67" t="str">
        <f t="shared" ref="R67:R90" si="20">+_xlfn.CONCAT(A67," = ''")</f>
        <v>plano = ''</v>
      </c>
    </row>
    <row r="68" spans="1:18" x14ac:dyDescent="0.3">
      <c r="A68" t="s">
        <v>614</v>
      </c>
      <c r="B68" t="s">
        <v>615</v>
      </c>
      <c r="C68" t="s">
        <v>616</v>
      </c>
      <c r="D68">
        <v>60</v>
      </c>
      <c r="E68" t="s">
        <v>195</v>
      </c>
      <c r="F68" t="s">
        <v>293</v>
      </c>
      <c r="G68" t="str">
        <f t="shared" si="9"/>
        <v>'riesgo_electrico' : r_val['riesgo_electrico'],</v>
      </c>
      <c r="H68" t="str">
        <f t="shared" si="13"/>
        <v>'inmueble1': inmueble1,</v>
      </c>
      <c r="I68" t="s">
        <v>565</v>
      </c>
      <c r="J68" t="str">
        <f t="shared" si="14"/>
        <v>img_path_inmueble1 = os.path.join(IMAGES_PATH, r_val["inmueble1"])</v>
      </c>
      <c r="K68" t="str">
        <f t="shared" si="15"/>
        <v>if os.path.exists(img_path_inmueble1):</v>
      </c>
      <c r="L68" t="str">
        <f t="shared" si="16"/>
        <v>inmueble1 = InlineImage(docx_tpl, img_path_inmueble1, height=Mm(60))</v>
      </c>
      <c r="M68" t="s">
        <v>567</v>
      </c>
      <c r="N68" t="str">
        <f t="shared" si="17"/>
        <v>print(f'Advertencia: No se encontró la imagen {r_val["inmueble1"]}')</v>
      </c>
      <c r="O68" t="str">
        <f t="shared" si="18"/>
        <v>inmueble1 = ''</v>
      </c>
      <c r="P68" t="s">
        <v>566</v>
      </c>
      <c r="Q68" t="str">
        <f t="shared" si="19"/>
        <v>print(f'Advertencia: No se pudo cargar la imagen {r_val["inmueble1"]}: {e}')</v>
      </c>
      <c r="R68" t="str">
        <f t="shared" si="20"/>
        <v>inmueble1 = ''</v>
      </c>
    </row>
    <row r="69" spans="1:18" x14ac:dyDescent="0.3">
      <c r="A69" t="s">
        <v>617</v>
      </c>
      <c r="B69" t="s">
        <v>618</v>
      </c>
      <c r="C69" t="s">
        <v>619</v>
      </c>
      <c r="D69">
        <v>60</v>
      </c>
      <c r="E69" t="s">
        <v>196</v>
      </c>
      <c r="F69" t="s">
        <v>294</v>
      </c>
      <c r="G69" t="str">
        <f t="shared" si="9"/>
        <v>'senial_prohibicion' : r_val['senial_prohibicion'],</v>
      </c>
      <c r="H69" t="str">
        <f t="shared" si="13"/>
        <v>'inmueble2': inmueble2,</v>
      </c>
      <c r="I69" t="s">
        <v>565</v>
      </c>
      <c r="J69" t="str">
        <f t="shared" si="14"/>
        <v>img_path_inmueble2 = os.path.join(IMAGES_PATH, r_val["inmueble2"])</v>
      </c>
      <c r="K69" t="str">
        <f t="shared" si="15"/>
        <v>if os.path.exists(img_path_inmueble2):</v>
      </c>
      <c r="L69" t="str">
        <f t="shared" si="16"/>
        <v>inmueble2 = InlineImage(docx_tpl, img_path_inmueble2, height=Mm(60))</v>
      </c>
      <c r="M69" t="s">
        <v>567</v>
      </c>
      <c r="N69" t="str">
        <f t="shared" si="17"/>
        <v>print(f'Advertencia: No se encontró la imagen {r_val["inmueble2"]}')</v>
      </c>
      <c r="O69" t="str">
        <f t="shared" si="18"/>
        <v>inmueble2 = ''</v>
      </c>
      <c r="P69" t="s">
        <v>566</v>
      </c>
      <c r="Q69" t="str">
        <f t="shared" si="19"/>
        <v>print(f'Advertencia: No se pudo cargar la imagen {r_val["inmueble2"]}: {e}')</v>
      </c>
      <c r="R69" t="str">
        <f t="shared" si="20"/>
        <v>inmueble2 = ''</v>
      </c>
    </row>
    <row r="70" spans="1:18" x14ac:dyDescent="0.3">
      <c r="A70" t="s">
        <v>620</v>
      </c>
      <c r="B70" t="s">
        <v>621</v>
      </c>
      <c r="C70" t="s">
        <v>622</v>
      </c>
      <c r="D70">
        <v>60</v>
      </c>
      <c r="E70" t="s">
        <v>197</v>
      </c>
      <c r="F70" t="s">
        <v>295</v>
      </c>
      <c r="G70" t="str">
        <f t="shared" si="9"/>
        <v>'no_fumar' : r_val['no_fumar'],</v>
      </c>
      <c r="H70" t="str">
        <f t="shared" si="13"/>
        <v>'banio1': banio1,</v>
      </c>
      <c r="I70" t="s">
        <v>565</v>
      </c>
      <c r="J70" t="str">
        <f t="shared" si="14"/>
        <v>img_path_banio1 = os.path.join(IMAGES_PATH, r_val["banio1"])</v>
      </c>
      <c r="K70" t="str">
        <f t="shared" si="15"/>
        <v>if os.path.exists(img_path_banio1):</v>
      </c>
      <c r="L70" t="str">
        <f t="shared" si="16"/>
        <v>banio1 = InlineImage(docx_tpl, img_path_banio1, height=Mm(60))</v>
      </c>
      <c r="M70" t="s">
        <v>567</v>
      </c>
      <c r="N70" t="str">
        <f t="shared" si="17"/>
        <v>print(f'Advertencia: No se encontró la imagen {r_val["banio1"]}')</v>
      </c>
      <c r="O70" t="str">
        <f t="shared" si="18"/>
        <v>banio1 = ''</v>
      </c>
      <c r="P70" t="s">
        <v>566</v>
      </c>
      <c r="Q70" t="str">
        <f t="shared" si="19"/>
        <v>print(f'Advertencia: No se pudo cargar la imagen {r_val["banio1"]}: {e}')</v>
      </c>
      <c r="R70" t="str">
        <f t="shared" si="20"/>
        <v>banio1 = ''</v>
      </c>
    </row>
    <row r="71" spans="1:18" x14ac:dyDescent="0.3">
      <c r="A71" t="s">
        <v>623</v>
      </c>
      <c r="B71" t="s">
        <v>624</v>
      </c>
      <c r="C71" t="s">
        <v>625</v>
      </c>
      <c r="D71">
        <v>60</v>
      </c>
      <c r="E71" t="s">
        <v>547</v>
      </c>
      <c r="F71" t="s">
        <v>548</v>
      </c>
      <c r="G71" t="str">
        <f t="shared" si="9"/>
        <v>'area_restrig ' : r_val['area_restrig '],</v>
      </c>
      <c r="H71" t="str">
        <f t="shared" si="13"/>
        <v>'electrico1': electrico1,</v>
      </c>
      <c r="I71" t="s">
        <v>565</v>
      </c>
      <c r="J71" t="str">
        <f t="shared" si="14"/>
        <v>img_path_electrico1 = os.path.join(IMAGES_PATH, r_val["electrico1"])</v>
      </c>
      <c r="K71" t="str">
        <f t="shared" si="15"/>
        <v>if os.path.exists(img_path_electrico1):</v>
      </c>
      <c r="L71" t="str">
        <f t="shared" si="16"/>
        <v>electrico1 = InlineImage(docx_tpl, img_path_electrico1, height=Mm(60))</v>
      </c>
      <c r="M71" t="s">
        <v>567</v>
      </c>
      <c r="N71" t="str">
        <f t="shared" si="17"/>
        <v>print(f'Advertencia: No se encontró la imagen {r_val["electrico1"]}')</v>
      </c>
      <c r="O71" t="str">
        <f t="shared" si="18"/>
        <v>electrico1 = ''</v>
      </c>
      <c r="P71" t="s">
        <v>566</v>
      </c>
      <c r="Q71" t="str">
        <f t="shared" si="19"/>
        <v>print(f'Advertencia: No se pudo cargar la imagen {r_val["electrico1"]}: {e}')</v>
      </c>
      <c r="R71" t="str">
        <f t="shared" si="20"/>
        <v>electrico1 = ''</v>
      </c>
    </row>
    <row r="72" spans="1:18" x14ac:dyDescent="0.3">
      <c r="A72" t="s">
        <v>714</v>
      </c>
      <c r="B72" t="s">
        <v>715</v>
      </c>
      <c r="C72" t="s">
        <v>716</v>
      </c>
      <c r="D72">
        <v>60</v>
      </c>
      <c r="E72" t="s">
        <v>9</v>
      </c>
      <c r="F72" t="s">
        <v>296</v>
      </c>
      <c r="G72" t="str">
        <f t="shared" si="9"/>
        <v>'apague_motor' : r_val['apague_motor'],</v>
      </c>
      <c r="H72" t="str">
        <f t="shared" si="13"/>
        <v>'fachada1': fachada1,</v>
      </c>
      <c r="I72" t="s">
        <v>565</v>
      </c>
      <c r="J72" t="str">
        <f t="shared" si="14"/>
        <v>img_path_fachada1 = os.path.join(IMAGES_PATH, r_val["fachada1"])</v>
      </c>
      <c r="K72" t="str">
        <f t="shared" si="15"/>
        <v>if os.path.exists(img_path_fachada1):</v>
      </c>
      <c r="L72" t="str">
        <f t="shared" si="16"/>
        <v>fachada1 = InlineImage(docx_tpl, img_path_fachada1, height=Mm(60))</v>
      </c>
      <c r="M72" t="s">
        <v>567</v>
      </c>
      <c r="N72" t="str">
        <f t="shared" si="17"/>
        <v>print(f'Advertencia: No se encontró la imagen {r_val["fachada1"]}')</v>
      </c>
      <c r="O72" t="str">
        <f t="shared" si="18"/>
        <v>fachada1 = ''</v>
      </c>
      <c r="P72" t="s">
        <v>566</v>
      </c>
      <c r="Q72" t="str">
        <f t="shared" si="19"/>
        <v>print(f'Advertencia: No se pudo cargar la imagen {r_val["fachada1"]}: {e}')</v>
      </c>
      <c r="R72" t="str">
        <f t="shared" si="20"/>
        <v>fachada1 = ''</v>
      </c>
    </row>
    <row r="73" spans="1:18" x14ac:dyDescent="0.3">
      <c r="A73" t="s">
        <v>719</v>
      </c>
      <c r="B73" t="s">
        <v>720</v>
      </c>
      <c r="C73" t="s">
        <v>721</v>
      </c>
      <c r="D73">
        <v>60</v>
      </c>
      <c r="E73" t="s">
        <v>10</v>
      </c>
      <c r="F73" t="s">
        <v>297</v>
      </c>
      <c r="G73" t="str">
        <f t="shared" si="9"/>
        <v>'no_celular' : r_val['no_celular'],</v>
      </c>
      <c r="H73" t="str">
        <f t="shared" si="13"/>
        <v>'bateria': bateria,</v>
      </c>
      <c r="I73" t="s">
        <v>565</v>
      </c>
      <c r="J73" t="str">
        <f t="shared" si="14"/>
        <v>img_path_bateria = os.path.join(IMAGES_PATH, r_val["bateria"])</v>
      </c>
      <c r="K73" t="str">
        <f t="shared" si="15"/>
        <v>if os.path.exists(img_path_bateria):</v>
      </c>
      <c r="L73" t="str">
        <f t="shared" si="16"/>
        <v>bateria = InlineImage(docx_tpl, img_path_bateria, height=Mm(60))</v>
      </c>
      <c r="M73" t="s">
        <v>567</v>
      </c>
      <c r="N73" t="str">
        <f t="shared" si="17"/>
        <v>print(f'Advertencia: No se encontró la imagen {r_val["bateria"]}')</v>
      </c>
      <c r="O73" t="str">
        <f t="shared" si="18"/>
        <v>bateria = ''</v>
      </c>
      <c r="P73" t="s">
        <v>566</v>
      </c>
      <c r="Q73" t="str">
        <f t="shared" si="19"/>
        <v>print(f'Advertencia: No se pudo cargar la imagen {r_val["bateria"]}: {e}')</v>
      </c>
      <c r="R73" t="str">
        <f t="shared" si="20"/>
        <v>bateria = ''</v>
      </c>
    </row>
    <row r="74" spans="1:18" x14ac:dyDescent="0.3">
      <c r="A74" t="s">
        <v>722</v>
      </c>
      <c r="B74" t="str">
        <f>+_xlfn.CONCAT(A74,".png")</f>
        <v>acta1.png</v>
      </c>
      <c r="C74" t="str">
        <f>+_xlfn.CONCAT("{{ ",A74," }}")</f>
        <v>{{ acta1 }}</v>
      </c>
      <c r="D74">
        <v>190</v>
      </c>
      <c r="E74" t="s">
        <v>11</v>
      </c>
      <c r="F74" t="s">
        <v>298</v>
      </c>
      <c r="G74" t="str">
        <f t="shared" si="9"/>
        <v>'no_gorra_lentes' : r_val['no_gorra_lentes'],</v>
      </c>
      <c r="H74" t="str">
        <f t="shared" si="13"/>
        <v>'acta1': acta1,</v>
      </c>
      <c r="I74" t="s">
        <v>565</v>
      </c>
      <c r="J74" t="str">
        <f t="shared" si="14"/>
        <v>img_path_acta1 = os.path.join(IMAGES_PATH, r_val["acta1"])</v>
      </c>
      <c r="K74" t="str">
        <f t="shared" si="15"/>
        <v>if os.path.exists(img_path_acta1):</v>
      </c>
      <c r="L74" t="str">
        <f t="shared" si="16"/>
        <v>acta1 = InlineImage(docx_tpl, img_path_acta1, height=Mm(190))</v>
      </c>
      <c r="M74" t="s">
        <v>567</v>
      </c>
      <c r="N74" t="str">
        <f t="shared" si="17"/>
        <v>print(f'Advertencia: No se encontró la imagen {r_val["acta1"]}')</v>
      </c>
      <c r="O74" t="str">
        <f t="shared" si="18"/>
        <v>acta1 = ''</v>
      </c>
      <c r="P74" t="s">
        <v>566</v>
      </c>
      <c r="Q74" t="str">
        <f t="shared" si="19"/>
        <v>print(f'Advertencia: No se pudo cargar la imagen {r_val["acta1"]}: {e}')</v>
      </c>
      <c r="R74" t="str">
        <f t="shared" si="20"/>
        <v>acta1 = ''</v>
      </c>
    </row>
    <row r="75" spans="1:18" x14ac:dyDescent="0.3">
      <c r="A75" t="s">
        <v>723</v>
      </c>
      <c r="B75" t="str">
        <f t="shared" ref="B75:B90" si="21">+_xlfn.CONCAT(A75,".png")</f>
        <v>acta2.png</v>
      </c>
      <c r="C75" t="str">
        <f t="shared" ref="C75:C90" si="22">+_xlfn.CONCAT("{{ ",A75," }}")</f>
        <v>{{ acta2 }}</v>
      </c>
      <c r="D75">
        <v>190</v>
      </c>
      <c r="E75" t="s">
        <v>12</v>
      </c>
      <c r="F75" t="s">
        <v>299</v>
      </c>
      <c r="G75" t="str">
        <f t="shared" si="9"/>
        <v>'uso_epp' : r_val['uso_epp'],</v>
      </c>
      <c r="H75" t="str">
        <f t="shared" si="13"/>
        <v>'acta2': acta2,</v>
      </c>
      <c r="I75" t="s">
        <v>565</v>
      </c>
      <c r="J75" t="str">
        <f t="shared" si="14"/>
        <v>img_path_acta2 = os.path.join(IMAGES_PATH, r_val["acta2"])</v>
      </c>
      <c r="K75" t="str">
        <f t="shared" si="15"/>
        <v>if os.path.exists(img_path_acta2):</v>
      </c>
      <c r="L75" t="str">
        <f t="shared" si="16"/>
        <v>acta2 = InlineImage(docx_tpl, img_path_acta2, height=Mm(190))</v>
      </c>
      <c r="M75" t="s">
        <v>567</v>
      </c>
      <c r="N75" t="str">
        <f t="shared" si="17"/>
        <v>print(f'Advertencia: No se encontró la imagen {r_val["acta2"]}')</v>
      </c>
      <c r="O75" t="str">
        <f t="shared" si="18"/>
        <v>acta2 = ''</v>
      </c>
      <c r="P75" t="s">
        <v>566</v>
      </c>
      <c r="Q75" t="str">
        <f t="shared" si="19"/>
        <v>print(f'Advertencia: No se pudo cargar la imagen {r_val["acta2"]}: {e}')</v>
      </c>
      <c r="R75" t="str">
        <f t="shared" si="20"/>
        <v>acta2 = ''</v>
      </c>
    </row>
    <row r="76" spans="1:18" x14ac:dyDescent="0.3">
      <c r="A76" t="s">
        <v>724</v>
      </c>
      <c r="B76" t="str">
        <f t="shared" si="21"/>
        <v>crono_anual.png</v>
      </c>
      <c r="C76" t="str">
        <f t="shared" si="22"/>
        <v>{{ crono_anual }}</v>
      </c>
      <c r="D76">
        <v>190</v>
      </c>
      <c r="E76" t="s">
        <v>13</v>
      </c>
      <c r="F76" t="s">
        <v>300</v>
      </c>
      <c r="G76" t="str">
        <f t="shared" si="9"/>
        <v>'detectores_mov' : r_val['detectores_mov'],</v>
      </c>
      <c r="H76" t="str">
        <f t="shared" si="13"/>
        <v>'crono_anual': crono_anual,</v>
      </c>
      <c r="I76" t="s">
        <v>565</v>
      </c>
      <c r="J76" t="str">
        <f t="shared" si="14"/>
        <v>img_path_crono_anual = os.path.join(IMAGES_PATH, r_val["crono_anual"])</v>
      </c>
      <c r="K76" t="str">
        <f t="shared" si="15"/>
        <v>if os.path.exists(img_path_crono_anual):</v>
      </c>
      <c r="L76" t="str">
        <f t="shared" si="16"/>
        <v>crono_anual = InlineImage(docx_tpl, img_path_crono_anual, height=Mm(190))</v>
      </c>
      <c r="M76" t="s">
        <v>567</v>
      </c>
      <c r="N76" t="str">
        <f t="shared" si="17"/>
        <v>print(f'Advertencia: No se encontró la imagen {r_val["crono_anual"]}')</v>
      </c>
      <c r="O76" t="str">
        <f t="shared" si="18"/>
        <v>crono_anual = ''</v>
      </c>
      <c r="P76" t="s">
        <v>566</v>
      </c>
      <c r="Q76" t="str">
        <f t="shared" si="19"/>
        <v>print(f'Advertencia: No se pudo cargar la imagen {r_val["crono_anual"]}: {e}')</v>
      </c>
      <c r="R76" t="str">
        <f t="shared" si="20"/>
        <v>crono_anual = ''</v>
      </c>
    </row>
    <row r="77" spans="1:18" x14ac:dyDescent="0.3">
      <c r="A77" t="s">
        <v>725</v>
      </c>
      <c r="B77" t="str">
        <f t="shared" si="21"/>
        <v>mantto.png</v>
      </c>
      <c r="C77" t="str">
        <f t="shared" si="22"/>
        <v>{{ mantto }}</v>
      </c>
      <c r="D77">
        <v>190</v>
      </c>
      <c r="E77" t="s">
        <v>575</v>
      </c>
      <c r="F77" t="s">
        <v>574</v>
      </c>
      <c r="G77" t="str">
        <f t="shared" si="9"/>
        <v>'ubicación_mov' : r_val['ubicación_mov'],</v>
      </c>
      <c r="H77" t="str">
        <f t="shared" si="13"/>
        <v>'mantto': mantto,</v>
      </c>
      <c r="I77" t="s">
        <v>565</v>
      </c>
      <c r="J77" t="str">
        <f t="shared" si="14"/>
        <v>img_path_mantto = os.path.join(IMAGES_PATH, r_val["mantto"])</v>
      </c>
      <c r="K77" t="str">
        <f t="shared" si="15"/>
        <v>if os.path.exists(img_path_mantto):</v>
      </c>
      <c r="L77" t="str">
        <f t="shared" si="16"/>
        <v>mantto = InlineImage(docx_tpl, img_path_mantto, height=Mm(190))</v>
      </c>
      <c r="M77" t="s">
        <v>567</v>
      </c>
      <c r="N77" t="str">
        <f t="shared" si="17"/>
        <v>print(f'Advertencia: No se encontró la imagen {r_val["mantto"]}')</v>
      </c>
      <c r="O77" t="str">
        <f t="shared" si="18"/>
        <v>mantto = ''</v>
      </c>
      <c r="P77" t="s">
        <v>566</v>
      </c>
      <c r="Q77" t="str">
        <f t="shared" si="19"/>
        <v>print(f'Advertencia: No se pudo cargar la imagen {r_val["mantto"]}: {e}')</v>
      </c>
      <c r="R77" t="str">
        <f t="shared" si="20"/>
        <v>mantto = ''</v>
      </c>
    </row>
    <row r="78" spans="1:18" x14ac:dyDescent="0.3">
      <c r="A78" t="s">
        <v>726</v>
      </c>
      <c r="B78" t="str">
        <f t="shared" si="21"/>
        <v>simulacro.png</v>
      </c>
      <c r="C78" t="str">
        <f t="shared" si="22"/>
        <v>{{ simulacro }}</v>
      </c>
      <c r="D78">
        <v>95</v>
      </c>
      <c r="E78" t="s">
        <v>582</v>
      </c>
      <c r="F78" t="s">
        <v>583</v>
      </c>
      <c r="G78" t="str">
        <f t="shared" si="9"/>
        <v>'site_emer' : r_val['site_emer'],</v>
      </c>
      <c r="H78" t="str">
        <f t="shared" si="13"/>
        <v>'simulacro': simulacro,</v>
      </c>
      <c r="I78" t="s">
        <v>565</v>
      </c>
      <c r="J78" t="str">
        <f t="shared" si="14"/>
        <v>img_path_simulacro = os.path.join(IMAGES_PATH, r_val["simulacro"])</v>
      </c>
      <c r="K78" t="str">
        <f t="shared" si="15"/>
        <v>if os.path.exists(img_path_simulacro):</v>
      </c>
      <c r="L78" t="str">
        <f t="shared" si="16"/>
        <v>simulacro = InlineImage(docx_tpl, img_path_simulacro, height=Mm(95))</v>
      </c>
      <c r="M78" t="s">
        <v>567</v>
      </c>
      <c r="N78" t="str">
        <f t="shared" si="17"/>
        <v>print(f'Advertencia: No se encontró la imagen {r_val["simulacro"]}')</v>
      </c>
      <c r="O78" t="str">
        <f t="shared" si="18"/>
        <v>simulacro = ''</v>
      </c>
      <c r="P78" t="s">
        <v>566</v>
      </c>
      <c r="Q78" t="str">
        <f t="shared" si="19"/>
        <v>print(f'Advertencia: No se pudo cargar la imagen {r_val["simulacro"]}: {e}')</v>
      </c>
      <c r="R78" t="str">
        <f t="shared" si="20"/>
        <v>simulacro = ''</v>
      </c>
    </row>
    <row r="79" spans="1:18" x14ac:dyDescent="0.3">
      <c r="A79" t="s">
        <v>727</v>
      </c>
      <c r="B79" t="str">
        <f t="shared" si="21"/>
        <v>capacitacion.png</v>
      </c>
      <c r="C79" t="str">
        <f t="shared" si="22"/>
        <v>{{ capacitacion }}</v>
      </c>
      <c r="D79">
        <v>95</v>
      </c>
      <c r="E79" t="s">
        <v>581</v>
      </c>
      <c r="F79" t="s">
        <v>580</v>
      </c>
      <c r="G79" t="str">
        <f t="shared" ref="G79:G110" si="23">+_xlfn.CONCAT("'",E79,"' : r_val['",E79,"'],")</f>
        <v>'ubicacion_site' : r_val['ubicacion_site'],</v>
      </c>
      <c r="H79" t="str">
        <f t="shared" si="13"/>
        <v>'capacitacion': capacitacion,</v>
      </c>
      <c r="I79" t="s">
        <v>565</v>
      </c>
      <c r="J79" t="str">
        <f t="shared" si="14"/>
        <v>img_path_capacitacion = os.path.join(IMAGES_PATH, r_val["capacitacion"])</v>
      </c>
      <c r="K79" t="str">
        <f t="shared" si="15"/>
        <v>if os.path.exists(img_path_capacitacion):</v>
      </c>
      <c r="L79" t="str">
        <f t="shared" si="16"/>
        <v>capacitacion = InlineImage(docx_tpl, img_path_capacitacion, height=Mm(95))</v>
      </c>
      <c r="M79" t="s">
        <v>567</v>
      </c>
      <c r="N79" t="str">
        <f t="shared" si="17"/>
        <v>print(f'Advertencia: No se encontró la imagen {r_val["capacitacion"]}')</v>
      </c>
      <c r="O79" t="str">
        <f t="shared" si="18"/>
        <v>capacitacion = ''</v>
      </c>
      <c r="P79" t="s">
        <v>566</v>
      </c>
      <c r="Q79" t="str">
        <f t="shared" si="19"/>
        <v>print(f'Advertencia: No se pudo cargar la imagen {r_val["capacitacion"]}: {e}')</v>
      </c>
      <c r="R79" t="str">
        <f t="shared" si="20"/>
        <v>capacitacion = ''</v>
      </c>
    </row>
    <row r="80" spans="1:18" x14ac:dyDescent="0.3">
      <c r="A80" t="s">
        <v>728</v>
      </c>
      <c r="B80" t="str">
        <f t="shared" si="21"/>
        <v>inv_quim.png</v>
      </c>
      <c r="C80" t="str">
        <f t="shared" si="22"/>
        <v>{{ inv_quim }}</v>
      </c>
      <c r="D80">
        <v>190</v>
      </c>
      <c r="E80" t="s">
        <v>15</v>
      </c>
      <c r="F80" t="s">
        <v>302</v>
      </c>
      <c r="G80" t="str">
        <f t="shared" si="23"/>
        <v>'hidrantes' : r_val['hidrantes'],</v>
      </c>
      <c r="H80" t="str">
        <f t="shared" si="13"/>
        <v>'inv_quim': inv_quim,</v>
      </c>
      <c r="I80" t="s">
        <v>565</v>
      </c>
      <c r="J80" t="str">
        <f t="shared" si="14"/>
        <v>img_path_inv_quim = os.path.join(IMAGES_PATH, r_val["inv_quim"])</v>
      </c>
      <c r="K80" t="str">
        <f t="shared" si="15"/>
        <v>if os.path.exists(img_path_inv_quim):</v>
      </c>
      <c r="L80" t="str">
        <f t="shared" si="16"/>
        <v>inv_quim = InlineImage(docx_tpl, img_path_inv_quim, height=Mm(190))</v>
      </c>
      <c r="M80" t="s">
        <v>567</v>
      </c>
      <c r="N80" t="str">
        <f t="shared" si="17"/>
        <v>print(f'Advertencia: No se encontró la imagen {r_val["inv_quim"]}')</v>
      </c>
      <c r="O80" t="str">
        <f t="shared" si="18"/>
        <v>inv_quim = ''</v>
      </c>
      <c r="P80" t="s">
        <v>566</v>
      </c>
      <c r="Q80" t="str">
        <f t="shared" si="19"/>
        <v>print(f'Advertencia: No se pudo cargar la imagen {r_val["inv_quim"]}: {e}')</v>
      </c>
      <c r="R80" t="str">
        <f t="shared" si="20"/>
        <v>inv_quim = ''</v>
      </c>
    </row>
    <row r="81" spans="1:18" x14ac:dyDescent="0.3">
      <c r="A81" t="s">
        <v>729</v>
      </c>
      <c r="B81" t="str">
        <f t="shared" si="21"/>
        <v>inv_emer.png</v>
      </c>
      <c r="C81" t="str">
        <f t="shared" si="22"/>
        <v>{{ inv_emer }}</v>
      </c>
      <c r="D81">
        <v>190</v>
      </c>
      <c r="E81" t="s">
        <v>16</v>
      </c>
      <c r="F81" t="s">
        <v>303</v>
      </c>
      <c r="G81" t="str">
        <f t="shared" si="23"/>
        <v>'aspersores' : r_val['aspersores'],</v>
      </c>
      <c r="H81" t="str">
        <f t="shared" si="13"/>
        <v>'inv_emer': inv_emer,</v>
      </c>
      <c r="I81" t="s">
        <v>565</v>
      </c>
      <c r="J81" t="str">
        <f t="shared" si="14"/>
        <v>img_path_inv_emer = os.path.join(IMAGES_PATH, r_val["inv_emer"])</v>
      </c>
      <c r="K81" t="str">
        <f t="shared" si="15"/>
        <v>if os.path.exists(img_path_inv_emer):</v>
      </c>
      <c r="L81" t="str">
        <f t="shared" si="16"/>
        <v>inv_emer = InlineImage(docx_tpl, img_path_inv_emer, height=Mm(190))</v>
      </c>
      <c r="M81" t="s">
        <v>567</v>
      </c>
      <c r="N81" t="str">
        <f t="shared" si="17"/>
        <v>print(f'Advertencia: No se encontró la imagen {r_val["inv_emer"]}')</v>
      </c>
      <c r="O81" t="str">
        <f t="shared" si="18"/>
        <v>inv_emer = ''</v>
      </c>
      <c r="P81" t="s">
        <v>566</v>
      </c>
      <c r="Q81" t="str">
        <f t="shared" si="19"/>
        <v>print(f'Advertencia: No se pudo cargar la imagen {r_val["inv_emer"]}: {e}')</v>
      </c>
      <c r="R81" t="str">
        <f t="shared" si="20"/>
        <v>inv_emer = ''</v>
      </c>
    </row>
    <row r="82" spans="1:18" x14ac:dyDescent="0.3">
      <c r="A82" t="s">
        <v>730</v>
      </c>
      <c r="B82" t="str">
        <f t="shared" si="21"/>
        <v>bit_emer.png</v>
      </c>
      <c r="C82" t="str">
        <f t="shared" si="22"/>
        <v>{{ bit_emer }}</v>
      </c>
      <c r="D82">
        <v>190</v>
      </c>
      <c r="E82" t="s">
        <v>17</v>
      </c>
      <c r="F82" t="s">
        <v>304</v>
      </c>
      <c r="G82" t="str">
        <f t="shared" si="23"/>
        <v>'bomberos' : r_val['bomberos'],</v>
      </c>
      <c r="H82" t="str">
        <f t="shared" si="13"/>
        <v>'bit_emer': bit_emer,</v>
      </c>
      <c r="I82" t="s">
        <v>565</v>
      </c>
      <c r="J82" t="str">
        <f t="shared" si="14"/>
        <v>img_path_bit_emer = os.path.join(IMAGES_PATH, r_val["bit_emer"])</v>
      </c>
      <c r="K82" t="str">
        <f t="shared" si="15"/>
        <v>if os.path.exists(img_path_bit_emer):</v>
      </c>
      <c r="L82" t="str">
        <f t="shared" si="16"/>
        <v>bit_emer = InlineImage(docx_tpl, img_path_bit_emer, height=Mm(190))</v>
      </c>
      <c r="M82" t="s">
        <v>567</v>
      </c>
      <c r="N82" t="str">
        <f t="shared" si="17"/>
        <v>print(f'Advertencia: No se encontró la imagen {r_val["bit_emer"]}')</v>
      </c>
      <c r="O82" t="str">
        <f t="shared" si="18"/>
        <v>bit_emer = ''</v>
      </c>
      <c r="P82" t="s">
        <v>566</v>
      </c>
      <c r="Q82" t="str">
        <f t="shared" si="19"/>
        <v>print(f'Advertencia: No se pudo cargar la imagen {r_val["bit_emer"]}: {e}')</v>
      </c>
      <c r="R82" t="str">
        <f t="shared" si="20"/>
        <v>bit_emer = ''</v>
      </c>
    </row>
    <row r="83" spans="1:18" x14ac:dyDescent="0.3">
      <c r="A83" t="s">
        <v>731</v>
      </c>
      <c r="B83" t="str">
        <f t="shared" si="21"/>
        <v>insp_bot.png</v>
      </c>
      <c r="C83" t="str">
        <f t="shared" si="22"/>
        <v>{{ insp_bot }}</v>
      </c>
      <c r="D83">
        <v>190</v>
      </c>
      <c r="E83" t="s">
        <v>573</v>
      </c>
      <c r="F83" t="s">
        <v>572</v>
      </c>
      <c r="G83" t="str">
        <f t="shared" si="23"/>
        <v>'ubicacion_bombero' : r_val['ubicacion_bombero'],</v>
      </c>
      <c r="H83" t="str">
        <f t="shared" si="13"/>
        <v>'insp_bot': insp_bot,</v>
      </c>
      <c r="I83" t="s">
        <v>565</v>
      </c>
      <c r="J83" t="str">
        <f t="shared" si="14"/>
        <v>img_path_insp_bot = os.path.join(IMAGES_PATH, r_val["insp_bot"])</v>
      </c>
      <c r="K83" t="str">
        <f t="shared" si="15"/>
        <v>if os.path.exists(img_path_insp_bot):</v>
      </c>
      <c r="L83" t="str">
        <f t="shared" si="16"/>
        <v>insp_bot = InlineImage(docx_tpl, img_path_insp_bot, height=Mm(190))</v>
      </c>
      <c r="M83" t="s">
        <v>567</v>
      </c>
      <c r="N83" t="str">
        <f t="shared" si="17"/>
        <v>print(f'Advertencia: No se encontró la imagen {r_val["insp_bot"]}')</v>
      </c>
      <c r="O83" t="str">
        <f t="shared" si="18"/>
        <v>insp_bot = ''</v>
      </c>
      <c r="P83" t="s">
        <v>566</v>
      </c>
      <c r="Q83" t="str">
        <f t="shared" si="19"/>
        <v>print(f'Advertencia: No se pudo cargar la imagen {r_val["insp_bot"]}: {e}')</v>
      </c>
      <c r="R83" t="str">
        <f t="shared" si="20"/>
        <v>insp_bot = ''</v>
      </c>
    </row>
    <row r="84" spans="1:18" x14ac:dyDescent="0.3">
      <c r="A84" t="s">
        <v>732</v>
      </c>
      <c r="B84" t="str">
        <f t="shared" si="21"/>
        <v>insp_ext.png</v>
      </c>
      <c r="C84" t="str">
        <f t="shared" si="22"/>
        <v>{{ insp_ext }}</v>
      </c>
      <c r="D84">
        <v>190</v>
      </c>
      <c r="E84" t="s">
        <v>18</v>
      </c>
      <c r="F84" t="s">
        <v>305</v>
      </c>
      <c r="G84" t="str">
        <f t="shared" si="23"/>
        <v>'detector_gas' : r_val['detector_gas'],</v>
      </c>
      <c r="H84" t="str">
        <f t="shared" si="13"/>
        <v>'insp_ext': insp_ext,</v>
      </c>
      <c r="I84" t="s">
        <v>565</v>
      </c>
      <c r="J84" t="str">
        <f t="shared" si="14"/>
        <v>img_path_insp_ext = os.path.join(IMAGES_PATH, r_val["insp_ext"])</v>
      </c>
      <c r="K84" t="str">
        <f t="shared" si="15"/>
        <v>if os.path.exists(img_path_insp_ext):</v>
      </c>
      <c r="L84" t="str">
        <f t="shared" si="16"/>
        <v>insp_ext = InlineImage(docx_tpl, img_path_insp_ext, height=Mm(190))</v>
      </c>
      <c r="M84" t="s">
        <v>567</v>
      </c>
      <c r="N84" t="str">
        <f t="shared" si="17"/>
        <v>print(f'Advertencia: No se encontró la imagen {r_val["insp_ext"]}')</v>
      </c>
      <c r="O84" t="str">
        <f t="shared" si="18"/>
        <v>insp_ext = ''</v>
      </c>
      <c r="P84" t="s">
        <v>566</v>
      </c>
      <c r="Q84" t="str">
        <f t="shared" si="19"/>
        <v>print(f'Advertencia: No se pudo cargar la imagen {r_val["insp_ext"]}: {e}')</v>
      </c>
      <c r="R84" t="str">
        <f t="shared" si="20"/>
        <v>insp_ext = ''</v>
      </c>
    </row>
    <row r="85" spans="1:18" x14ac:dyDescent="0.3">
      <c r="A85" t="s">
        <v>736</v>
      </c>
      <c r="B85" t="str">
        <f t="shared" si="21"/>
        <v>insp_dh.png</v>
      </c>
      <c r="C85" t="str">
        <f t="shared" si="22"/>
        <v>{{ insp_dh }}</v>
      </c>
      <c r="D85">
        <v>190</v>
      </c>
      <c r="E85" t="s">
        <v>577</v>
      </c>
      <c r="F85" t="s">
        <v>576</v>
      </c>
      <c r="G85" t="str">
        <f t="shared" si="23"/>
        <v>'ubicación_gas' : r_val['ubicación_gas'],</v>
      </c>
      <c r="H85" t="str">
        <f t="shared" si="13"/>
        <v>'insp_dh': insp_dh,</v>
      </c>
      <c r="I85" t="s">
        <v>565</v>
      </c>
      <c r="J85" t="str">
        <f t="shared" si="14"/>
        <v>img_path_insp_dh = os.path.join(IMAGES_PATH, r_val["insp_dh"])</v>
      </c>
      <c r="K85" t="str">
        <f t="shared" si="15"/>
        <v>if os.path.exists(img_path_insp_dh):</v>
      </c>
      <c r="L85" t="str">
        <f t="shared" si="16"/>
        <v>insp_dh = InlineImage(docx_tpl, img_path_insp_dh, height=Mm(190))</v>
      </c>
      <c r="M85" t="s">
        <v>567</v>
      </c>
      <c r="N85" t="str">
        <f t="shared" si="17"/>
        <v>print(f'Advertencia: No se encontró la imagen {r_val["insp_dh"]}')</v>
      </c>
      <c r="O85" t="str">
        <f t="shared" si="18"/>
        <v>insp_dh = ''</v>
      </c>
      <c r="P85" t="s">
        <v>566</v>
      </c>
      <c r="Q85" t="str">
        <f t="shared" si="19"/>
        <v>print(f'Advertencia: No se pudo cargar la imagen {r_val["insp_dh"]}: {e}')</v>
      </c>
      <c r="R85" t="str">
        <f t="shared" si="20"/>
        <v>insp_dh = ''</v>
      </c>
    </row>
    <row r="86" spans="1:18" x14ac:dyDescent="0.3">
      <c r="A86" t="s">
        <v>737</v>
      </c>
      <c r="B86" t="str">
        <f t="shared" si="21"/>
        <v>insp_lamp.png</v>
      </c>
      <c r="C86" t="str">
        <f t="shared" si="22"/>
        <v>{{ insp_lamp }}</v>
      </c>
      <c r="D86">
        <v>190</v>
      </c>
      <c r="E86" t="s">
        <v>19</v>
      </c>
      <c r="F86" t="s">
        <v>306</v>
      </c>
      <c r="G86" t="str">
        <f t="shared" si="23"/>
        <v>'equipo_brigada' : r_val['equipo_brigada'],</v>
      </c>
      <c r="H86" t="str">
        <f t="shared" si="13"/>
        <v>'insp_lamp': insp_lamp,</v>
      </c>
      <c r="I86" t="s">
        <v>565</v>
      </c>
      <c r="J86" t="str">
        <f t="shared" si="14"/>
        <v>img_path_insp_lamp = os.path.join(IMAGES_PATH, r_val["insp_lamp"])</v>
      </c>
      <c r="K86" t="str">
        <f t="shared" si="15"/>
        <v>if os.path.exists(img_path_insp_lamp):</v>
      </c>
      <c r="L86" t="str">
        <f t="shared" si="16"/>
        <v>insp_lamp = InlineImage(docx_tpl, img_path_insp_lamp, height=Mm(190))</v>
      </c>
      <c r="M86" t="s">
        <v>567</v>
      </c>
      <c r="N86" t="str">
        <f t="shared" si="17"/>
        <v>print(f'Advertencia: No se encontró la imagen {r_val["insp_lamp"]}')</v>
      </c>
      <c r="O86" t="str">
        <f t="shared" si="18"/>
        <v>insp_lamp = ''</v>
      </c>
      <c r="P86" t="s">
        <v>566</v>
      </c>
      <c r="Q86" t="str">
        <f t="shared" si="19"/>
        <v>print(f'Advertencia: No se pudo cargar la imagen {r_val["insp_lamp"]}: {e}')</v>
      </c>
      <c r="R86" t="str">
        <f t="shared" si="20"/>
        <v>insp_lamp = ''</v>
      </c>
    </row>
    <row r="87" spans="1:18" x14ac:dyDescent="0.3">
      <c r="A87" t="s">
        <v>738</v>
      </c>
      <c r="B87" t="str">
        <f t="shared" si="21"/>
        <v>insp_alarm.png</v>
      </c>
      <c r="C87" t="str">
        <f t="shared" si="22"/>
        <v>{{ insp_alarm }}</v>
      </c>
      <c r="D87">
        <v>190</v>
      </c>
      <c r="E87" t="s">
        <v>585</v>
      </c>
      <c r="F87" t="s">
        <v>584</v>
      </c>
      <c r="G87" t="str">
        <f t="shared" si="23"/>
        <v>'ubicacion_brigada' : r_val['ubicacion_brigada'],</v>
      </c>
      <c r="H87" t="str">
        <f t="shared" si="13"/>
        <v>'insp_alarm': insp_alarm,</v>
      </c>
      <c r="I87" t="s">
        <v>565</v>
      </c>
      <c r="J87" t="str">
        <f t="shared" si="14"/>
        <v>img_path_insp_alarm = os.path.join(IMAGES_PATH, r_val["insp_alarm"])</v>
      </c>
      <c r="K87" t="str">
        <f t="shared" si="15"/>
        <v>if os.path.exists(img_path_insp_alarm):</v>
      </c>
      <c r="L87" t="str">
        <f t="shared" si="16"/>
        <v>insp_alarm = InlineImage(docx_tpl, img_path_insp_alarm, height=Mm(190))</v>
      </c>
      <c r="M87" t="s">
        <v>567</v>
      </c>
      <c r="N87" t="str">
        <f t="shared" si="17"/>
        <v>print(f'Advertencia: No se encontró la imagen {r_val["insp_alarm"]}')</v>
      </c>
      <c r="O87" t="str">
        <f t="shared" si="18"/>
        <v>insp_alarm = ''</v>
      </c>
      <c r="P87" t="s">
        <v>566</v>
      </c>
      <c r="Q87" t="str">
        <f t="shared" si="19"/>
        <v>print(f'Advertencia: No se pudo cargar la imagen {r_val["insp_alarm"]}: {e}')</v>
      </c>
      <c r="R87" t="str">
        <f t="shared" si="20"/>
        <v>insp_alarm = ''</v>
      </c>
    </row>
    <row r="88" spans="1:18" x14ac:dyDescent="0.3">
      <c r="A88" t="s">
        <v>733</v>
      </c>
      <c r="B88" t="str">
        <f t="shared" si="21"/>
        <v>ev_sim1.png</v>
      </c>
      <c r="C88" t="str">
        <f t="shared" si="22"/>
        <v>{{ ev_sim1 }}</v>
      </c>
      <c r="D88">
        <v>190</v>
      </c>
      <c r="E88" t="s">
        <v>717</v>
      </c>
      <c r="F88" t="s">
        <v>718</v>
      </c>
      <c r="G88" t="str">
        <f t="shared" si="23"/>
        <v>'ubiacion_brigadas' : r_val['ubiacion_brigadas'],</v>
      </c>
      <c r="H88" t="str">
        <f t="shared" si="13"/>
        <v>'ev_sim1': ev_sim1,</v>
      </c>
      <c r="I88" t="s">
        <v>565</v>
      </c>
      <c r="J88" t="str">
        <f t="shared" si="14"/>
        <v>img_path_ev_sim1 = os.path.join(IMAGES_PATH, r_val["ev_sim1"])</v>
      </c>
      <c r="K88" t="str">
        <f t="shared" si="15"/>
        <v>if os.path.exists(img_path_ev_sim1):</v>
      </c>
      <c r="L88" t="str">
        <f t="shared" si="16"/>
        <v>ev_sim1 = InlineImage(docx_tpl, img_path_ev_sim1, height=Mm(190))</v>
      </c>
      <c r="M88" t="s">
        <v>567</v>
      </c>
      <c r="N88" t="str">
        <f t="shared" si="17"/>
        <v>print(f'Advertencia: No se encontró la imagen {r_val["ev_sim1"]}')</v>
      </c>
      <c r="O88" t="str">
        <f t="shared" si="18"/>
        <v>ev_sim1 = ''</v>
      </c>
      <c r="P88" t="s">
        <v>566</v>
      </c>
      <c r="Q88" t="str">
        <f t="shared" si="19"/>
        <v>print(f'Advertencia: No se pudo cargar la imagen {r_val["ev_sim1"]}: {e}')</v>
      </c>
      <c r="R88" t="str">
        <f t="shared" si="20"/>
        <v>ev_sim1 = ''</v>
      </c>
    </row>
    <row r="89" spans="1:18" x14ac:dyDescent="0.3">
      <c r="A89" t="s">
        <v>734</v>
      </c>
      <c r="B89" t="str">
        <f t="shared" si="21"/>
        <v>ev_sim2.png</v>
      </c>
      <c r="C89" t="str">
        <f t="shared" si="22"/>
        <v>{{ ev_sim2 }}</v>
      </c>
      <c r="D89">
        <v>190</v>
      </c>
      <c r="E89" t="s">
        <v>20</v>
      </c>
      <c r="F89" t="s">
        <v>307</v>
      </c>
      <c r="G89" t="str">
        <f t="shared" si="23"/>
        <v>'lampara' : r_val['lampara'],</v>
      </c>
      <c r="H89" t="str">
        <f t="shared" si="13"/>
        <v>'ev_sim2': ev_sim2,</v>
      </c>
      <c r="I89" t="s">
        <v>565</v>
      </c>
      <c r="J89" t="str">
        <f t="shared" si="14"/>
        <v>img_path_ev_sim2 = os.path.join(IMAGES_PATH, r_val["ev_sim2"])</v>
      </c>
      <c r="K89" t="str">
        <f t="shared" si="15"/>
        <v>if os.path.exists(img_path_ev_sim2):</v>
      </c>
      <c r="L89" t="str">
        <f t="shared" si="16"/>
        <v>ev_sim2 = InlineImage(docx_tpl, img_path_ev_sim2, height=Mm(190))</v>
      </c>
      <c r="M89" t="s">
        <v>567</v>
      </c>
      <c r="N89" t="str">
        <f t="shared" si="17"/>
        <v>print(f'Advertencia: No se encontró la imagen {r_val["ev_sim2"]}')</v>
      </c>
      <c r="O89" t="str">
        <f t="shared" si="18"/>
        <v>ev_sim2 = ''</v>
      </c>
      <c r="P89" t="s">
        <v>566</v>
      </c>
      <c r="Q89" t="str">
        <f t="shared" si="19"/>
        <v>print(f'Advertencia: No se pudo cargar la imagen {r_val["ev_sim2"]}: {e}')</v>
      </c>
      <c r="R89" t="str">
        <f t="shared" si="20"/>
        <v>ev_sim2 = ''</v>
      </c>
    </row>
    <row r="90" spans="1:18" x14ac:dyDescent="0.3">
      <c r="A90" t="s">
        <v>735</v>
      </c>
      <c r="B90" t="str">
        <f t="shared" si="21"/>
        <v>visitas.png</v>
      </c>
      <c r="C90" t="str">
        <f t="shared" si="22"/>
        <v>{{ visitas }}</v>
      </c>
      <c r="D90">
        <v>190</v>
      </c>
      <c r="E90" t="s">
        <v>569</v>
      </c>
      <c r="F90" t="s">
        <v>568</v>
      </c>
      <c r="G90" t="str">
        <f t="shared" si="23"/>
        <v>'ubicacion_lampara' : r_val['ubicacion_lampara'],</v>
      </c>
      <c r="H90" t="str">
        <f t="shared" si="13"/>
        <v>'visitas': visitas,</v>
      </c>
      <c r="I90" t="s">
        <v>565</v>
      </c>
      <c r="J90" t="str">
        <f t="shared" si="14"/>
        <v>img_path_visitas = os.path.join(IMAGES_PATH, r_val["visitas"])</v>
      </c>
      <c r="K90" t="str">
        <f t="shared" si="15"/>
        <v>if os.path.exists(img_path_visitas):</v>
      </c>
      <c r="L90" t="str">
        <f t="shared" si="16"/>
        <v>visitas = InlineImage(docx_tpl, img_path_visitas, height=Mm(190))</v>
      </c>
      <c r="M90" t="s">
        <v>567</v>
      </c>
      <c r="N90" t="str">
        <f t="shared" si="17"/>
        <v>print(f'Advertencia: No se encontró la imagen {r_val["visitas"]}')</v>
      </c>
      <c r="O90" t="str">
        <f t="shared" si="18"/>
        <v>visitas = ''</v>
      </c>
      <c r="P90" t="s">
        <v>566</v>
      </c>
      <c r="Q90" t="str">
        <f t="shared" si="19"/>
        <v>print(f'Advertencia: No se pudo cargar la imagen {r_val["visitas"]}: {e}')</v>
      </c>
      <c r="R90" t="str">
        <f t="shared" si="20"/>
        <v>visitas = ''</v>
      </c>
    </row>
    <row r="91" spans="1:18" x14ac:dyDescent="0.3">
      <c r="E91" t="s">
        <v>22</v>
      </c>
      <c r="F91" t="s">
        <v>308</v>
      </c>
      <c r="G91" t="str">
        <f t="shared" si="23"/>
        <v>'baterias' : r_val['baterias'],</v>
      </c>
    </row>
    <row r="92" spans="1:18" x14ac:dyDescent="0.3">
      <c r="E92" t="s">
        <v>579</v>
      </c>
      <c r="F92" t="s">
        <v>578</v>
      </c>
      <c r="G92" t="str">
        <f t="shared" si="23"/>
        <v>'ubiacion_baterias' : r_val['ubiacion_baterias'],</v>
      </c>
    </row>
    <row r="93" spans="1:18" x14ac:dyDescent="0.3">
      <c r="E93" t="s">
        <v>23</v>
      </c>
      <c r="F93" t="s">
        <v>309</v>
      </c>
      <c r="G93" t="str">
        <f t="shared" si="23"/>
        <v>'tambo_arena' : r_val['tambo_arena'],</v>
      </c>
    </row>
    <row r="94" spans="1:18" x14ac:dyDescent="0.3">
      <c r="E94" t="s">
        <v>571</v>
      </c>
      <c r="F94" t="s">
        <v>570</v>
      </c>
      <c r="G94" t="str">
        <f t="shared" si="23"/>
        <v>'ubicacion_tambo' : r_val['ubicacion_tambo'],</v>
      </c>
    </row>
    <row r="95" spans="1:18" x14ac:dyDescent="0.3">
      <c r="E95" t="s">
        <v>198</v>
      </c>
      <c r="F95" t="s">
        <v>310</v>
      </c>
      <c r="G95" t="str">
        <f t="shared" si="23"/>
        <v>'tanques' : r_val['tanques'],</v>
      </c>
    </row>
    <row r="96" spans="1:18" x14ac:dyDescent="0.3">
      <c r="E96" t="s">
        <v>199</v>
      </c>
      <c r="F96" t="s">
        <v>311</v>
      </c>
      <c r="G96" t="str">
        <f t="shared" si="23"/>
        <v>'tanque_1' : r_val['tanque_1'],</v>
      </c>
    </row>
    <row r="97" spans="5:7" x14ac:dyDescent="0.3">
      <c r="E97" t="s">
        <v>200</v>
      </c>
      <c r="F97" t="s">
        <v>312</v>
      </c>
      <c r="G97" t="str">
        <f t="shared" si="23"/>
        <v>'tanque_2' : r_val['tanque_2'],</v>
      </c>
    </row>
    <row r="98" spans="5:7" x14ac:dyDescent="0.3">
      <c r="E98" t="s">
        <v>201</v>
      </c>
      <c r="F98" t="s">
        <v>313</v>
      </c>
      <c r="G98" t="str">
        <f t="shared" si="23"/>
        <v>'tanque_3' : r_val['tanque_3'],</v>
      </c>
    </row>
    <row r="99" spans="5:7" x14ac:dyDescent="0.3">
      <c r="E99" t="s">
        <v>0</v>
      </c>
      <c r="F99" t="s">
        <v>314</v>
      </c>
      <c r="G99" t="str">
        <f t="shared" si="23"/>
        <v>'dia' : r_val['dia'],</v>
      </c>
    </row>
    <row r="100" spans="5:7" x14ac:dyDescent="0.3">
      <c r="E100" t="s">
        <v>1</v>
      </c>
      <c r="F100" t="s">
        <v>315</v>
      </c>
      <c r="G100" t="str">
        <f t="shared" si="23"/>
        <v>'mes' : r_val['mes'],</v>
      </c>
    </row>
    <row r="101" spans="5:7" x14ac:dyDescent="0.3">
      <c r="E101" t="s">
        <v>2</v>
      </c>
      <c r="F101" t="s">
        <v>316</v>
      </c>
      <c r="G101" t="str">
        <f t="shared" si="23"/>
        <v>'anio' : r_val['anio'],</v>
      </c>
    </row>
    <row r="102" spans="5:7" x14ac:dyDescent="0.3">
      <c r="E102" t="s">
        <v>202</v>
      </c>
      <c r="F102" t="s">
        <v>317</v>
      </c>
      <c r="G102" t="str">
        <f t="shared" si="23"/>
        <v>'coordenadas' : r_val['coordenadas'],</v>
      </c>
    </row>
    <row r="103" spans="5:7" x14ac:dyDescent="0.3">
      <c r="E103" t="s">
        <v>203</v>
      </c>
      <c r="F103" t="s">
        <v>318</v>
      </c>
      <c r="G103" t="str">
        <f t="shared" si="23"/>
        <v>'norte' : r_val['norte'],</v>
      </c>
    </row>
    <row r="104" spans="5:7" x14ac:dyDescent="0.3">
      <c r="E104" t="s">
        <v>204</v>
      </c>
      <c r="F104" t="s">
        <v>319</v>
      </c>
      <c r="G104" t="str">
        <f t="shared" si="23"/>
        <v>'sur' : r_val['sur'],</v>
      </c>
    </row>
    <row r="105" spans="5:7" x14ac:dyDescent="0.3">
      <c r="E105" t="s">
        <v>205</v>
      </c>
      <c r="F105" t="s">
        <v>320</v>
      </c>
      <c r="G105" t="str">
        <f t="shared" si="23"/>
        <v>'este' : r_val['este'],</v>
      </c>
    </row>
    <row r="106" spans="5:7" x14ac:dyDescent="0.3">
      <c r="E106" t="s">
        <v>206</v>
      </c>
      <c r="F106" t="s">
        <v>321</v>
      </c>
      <c r="G106" t="str">
        <f t="shared" si="23"/>
        <v>'oeste' : r_val['oeste'],</v>
      </c>
    </row>
    <row r="107" spans="5:7" x14ac:dyDescent="0.3">
      <c r="E107" t="s">
        <v>606</v>
      </c>
      <c r="F107" t="s">
        <v>607</v>
      </c>
      <c r="G107" t="str">
        <f t="shared" si="23"/>
        <v>'ref_llegar' : r_val['ref_llegar'],</v>
      </c>
    </row>
    <row r="108" spans="5:7" x14ac:dyDescent="0.3">
      <c r="E108" t="s">
        <v>207</v>
      </c>
      <c r="F108" t="s">
        <v>322</v>
      </c>
      <c r="G108" t="str">
        <f t="shared" si="23"/>
        <v>'ley' : r_val['ley'],</v>
      </c>
    </row>
    <row r="109" spans="5:7" x14ac:dyDescent="0.3">
      <c r="E109" t="s">
        <v>208</v>
      </c>
      <c r="F109" t="s">
        <v>323</v>
      </c>
      <c r="G109" t="str">
        <f t="shared" si="23"/>
        <v>'reglamento' : r_val['reglamento'],</v>
      </c>
    </row>
    <row r="110" spans="5:7" x14ac:dyDescent="0.3">
      <c r="E110" t="s">
        <v>656</v>
      </c>
      <c r="F110" t="s">
        <v>696</v>
      </c>
      <c r="G110" t="str">
        <f t="shared" si="23"/>
        <v>'m_dir' : r_val['m_dir'],</v>
      </c>
    </row>
    <row r="111" spans="5:7" x14ac:dyDescent="0.3">
      <c r="E111" t="s">
        <v>209</v>
      </c>
      <c r="F111" t="s">
        <v>324</v>
      </c>
      <c r="G111" t="str">
        <f t="shared" ref="G111:G142" si="24">+_xlfn.CONCAT("'",E111,"' : r_val['",E111,"'],")</f>
        <v>'coord_suplente' : r_val['coord_suplente'],</v>
      </c>
    </row>
    <row r="112" spans="5:7" x14ac:dyDescent="0.3">
      <c r="E112" t="s">
        <v>657</v>
      </c>
      <c r="F112" t="s">
        <v>697</v>
      </c>
      <c r="G112" t="str">
        <f t="shared" si="24"/>
        <v>'m_jef_caj' : r_val['m_jef_caj'],</v>
      </c>
    </row>
    <row r="113" spans="5:7" x14ac:dyDescent="0.3">
      <c r="E113" t="s">
        <v>210</v>
      </c>
      <c r="F113" t="s">
        <v>325</v>
      </c>
      <c r="G113" t="str">
        <f t="shared" si="24"/>
        <v>'evacuacion' : r_val['evacuacion'],</v>
      </c>
    </row>
    <row r="114" spans="5:7" x14ac:dyDescent="0.3">
      <c r="E114" t="s">
        <v>590</v>
      </c>
      <c r="F114" t="s">
        <v>598</v>
      </c>
      <c r="G114" t="str">
        <f t="shared" si="24"/>
        <v>'evac_puesto' : r_val['evac_puesto'],</v>
      </c>
    </row>
    <row r="115" spans="5:7" x14ac:dyDescent="0.3">
      <c r="E115" t="s">
        <v>658</v>
      </c>
      <c r="F115" t="s">
        <v>698</v>
      </c>
      <c r="G115" t="str">
        <f t="shared" si="24"/>
        <v>'m_evac' : r_val['m_evac'],</v>
      </c>
    </row>
    <row r="116" spans="5:7" x14ac:dyDescent="0.3">
      <c r="E116" t="s">
        <v>211</v>
      </c>
      <c r="F116" t="s">
        <v>326</v>
      </c>
      <c r="G116" t="str">
        <f t="shared" si="24"/>
        <v>'evac_suplente' : r_val['evac_suplente'],</v>
      </c>
    </row>
    <row r="117" spans="5:7" x14ac:dyDescent="0.3">
      <c r="E117" t="s">
        <v>591</v>
      </c>
      <c r="F117" t="s">
        <v>599</v>
      </c>
      <c r="G117" t="str">
        <f t="shared" si="24"/>
        <v>'supl_evac_pue' : r_val['supl_evac_pue'],</v>
      </c>
    </row>
    <row r="118" spans="5:7" x14ac:dyDescent="0.3">
      <c r="E118" t="s">
        <v>659</v>
      </c>
      <c r="F118" t="s">
        <v>699</v>
      </c>
      <c r="G118" t="str">
        <f t="shared" si="24"/>
        <v>'m_supl_evac' : r_val['m_supl_evac'],</v>
      </c>
    </row>
    <row r="119" spans="5:7" x14ac:dyDescent="0.3">
      <c r="E119" t="s">
        <v>212</v>
      </c>
      <c r="F119" t="s">
        <v>327</v>
      </c>
      <c r="G119" t="str">
        <f t="shared" si="24"/>
        <v>'incendios' : r_val['incendios'],</v>
      </c>
    </row>
    <row r="120" spans="5:7" x14ac:dyDescent="0.3">
      <c r="E120" t="s">
        <v>592</v>
      </c>
      <c r="F120" t="s">
        <v>600</v>
      </c>
      <c r="G120" t="str">
        <f t="shared" si="24"/>
        <v>'incen_puesto' : r_val['incen_puesto'],</v>
      </c>
    </row>
    <row r="121" spans="5:7" x14ac:dyDescent="0.3">
      <c r="E121" t="s">
        <v>660</v>
      </c>
      <c r="F121" t="s">
        <v>700</v>
      </c>
      <c r="G121" t="str">
        <f t="shared" si="24"/>
        <v>'m_inc' : r_val['m_inc'],</v>
      </c>
    </row>
    <row r="122" spans="5:7" x14ac:dyDescent="0.3">
      <c r="E122" t="s">
        <v>213</v>
      </c>
      <c r="F122" t="s">
        <v>328</v>
      </c>
      <c r="G122" t="str">
        <f t="shared" si="24"/>
        <v>'inc_suplente' : r_val['inc_suplente'],</v>
      </c>
    </row>
    <row r="123" spans="5:7" x14ac:dyDescent="0.3">
      <c r="E123" t="s">
        <v>593</v>
      </c>
      <c r="F123" t="s">
        <v>601</v>
      </c>
      <c r="G123" t="str">
        <f t="shared" si="24"/>
        <v>'supl_inc_puesto' : r_val['supl_inc_puesto'],</v>
      </c>
    </row>
    <row r="124" spans="5:7" x14ac:dyDescent="0.3">
      <c r="E124" t="s">
        <v>661</v>
      </c>
      <c r="F124" t="s">
        <v>701</v>
      </c>
      <c r="G124" t="str">
        <f t="shared" si="24"/>
        <v>'m_supl_inc' : r_val['m_supl_inc'],</v>
      </c>
    </row>
    <row r="125" spans="5:7" x14ac:dyDescent="0.3">
      <c r="E125" t="s">
        <v>214</v>
      </c>
      <c r="F125" t="s">
        <v>329</v>
      </c>
      <c r="G125" t="str">
        <f t="shared" si="24"/>
        <v>'primeros_auxilios' : r_val['primeros_auxilios'],</v>
      </c>
    </row>
    <row r="126" spans="5:7" x14ac:dyDescent="0.3">
      <c r="E126" t="s">
        <v>594</v>
      </c>
      <c r="F126" t="s">
        <v>602</v>
      </c>
      <c r="G126" t="str">
        <f t="shared" si="24"/>
        <v>'prim_aux_puesto' : r_val['prim_aux_puesto'],</v>
      </c>
    </row>
    <row r="127" spans="5:7" x14ac:dyDescent="0.3">
      <c r="E127" t="s">
        <v>662</v>
      </c>
      <c r="F127" t="s">
        <v>702</v>
      </c>
      <c r="G127" t="str">
        <f t="shared" si="24"/>
        <v>'m_prim_aux' : r_val['m_prim_aux'],</v>
      </c>
    </row>
    <row r="128" spans="5:7" x14ac:dyDescent="0.3">
      <c r="E128" t="s">
        <v>215</v>
      </c>
      <c r="F128" t="s">
        <v>330</v>
      </c>
      <c r="G128" t="str">
        <f t="shared" si="24"/>
        <v>'aux_suplente' : r_val['aux_suplente'],</v>
      </c>
    </row>
    <row r="129" spans="5:7" x14ac:dyDescent="0.3">
      <c r="E129" t="s">
        <v>595</v>
      </c>
      <c r="F129" t="s">
        <v>603</v>
      </c>
      <c r="G129" t="str">
        <f t="shared" si="24"/>
        <v>'supl_prim_aux_puesto' : r_val['supl_prim_aux_puesto'],</v>
      </c>
    </row>
    <row r="130" spans="5:7" x14ac:dyDescent="0.3">
      <c r="E130" t="s">
        <v>663</v>
      </c>
      <c r="F130" t="s">
        <v>703</v>
      </c>
      <c r="G130" t="str">
        <f t="shared" si="24"/>
        <v>'m_supl_paux' : r_val['m_supl_paux'],</v>
      </c>
    </row>
    <row r="131" spans="5:7" x14ac:dyDescent="0.3">
      <c r="E131" t="s">
        <v>216</v>
      </c>
      <c r="F131" t="s">
        <v>331</v>
      </c>
      <c r="G131" t="str">
        <f t="shared" si="24"/>
        <v>'busqueda' : r_val['busqueda'],</v>
      </c>
    </row>
    <row r="132" spans="5:7" x14ac:dyDescent="0.3">
      <c r="E132" t="s">
        <v>596</v>
      </c>
      <c r="F132" t="s">
        <v>604</v>
      </c>
      <c r="G132" t="str">
        <f t="shared" si="24"/>
        <v>'busq_puesto' : r_val['busq_puesto'],</v>
      </c>
    </row>
    <row r="133" spans="5:7" x14ac:dyDescent="0.3">
      <c r="E133" t="s">
        <v>664</v>
      </c>
      <c r="F133" t="s">
        <v>704</v>
      </c>
      <c r="G133" t="str">
        <f t="shared" si="24"/>
        <v>'m_busq' : r_val['m_busq'],</v>
      </c>
    </row>
    <row r="134" spans="5:7" x14ac:dyDescent="0.3">
      <c r="E134" t="s">
        <v>217</v>
      </c>
      <c r="F134" t="s">
        <v>332</v>
      </c>
      <c r="G134" t="str">
        <f t="shared" si="24"/>
        <v>'busq_suplente' : r_val['busq_suplente'],</v>
      </c>
    </row>
    <row r="135" spans="5:7" x14ac:dyDescent="0.3">
      <c r="E135" t="s">
        <v>597</v>
      </c>
      <c r="F135" t="s">
        <v>605</v>
      </c>
      <c r="G135" t="str">
        <f t="shared" si="24"/>
        <v>'supl_busq_puesto' : r_val['supl_busq_puesto'],</v>
      </c>
    </row>
    <row r="136" spans="5:7" x14ac:dyDescent="0.3">
      <c r="E136" t="s">
        <v>665</v>
      </c>
      <c r="F136" t="s">
        <v>705</v>
      </c>
      <c r="G136" t="str">
        <f t="shared" si="24"/>
        <v>'m_supl_busq' : r_val['m_supl_busq'],</v>
      </c>
    </row>
    <row r="137" spans="5:7" x14ac:dyDescent="0.3">
      <c r="E137" t="s">
        <v>218</v>
      </c>
      <c r="F137" t="s">
        <v>333</v>
      </c>
      <c r="G137" t="str">
        <f t="shared" si="24"/>
        <v>'descrip_gi' : r_val['descrip_gi'],</v>
      </c>
    </row>
    <row r="138" spans="5:7" x14ac:dyDescent="0.3">
      <c r="E138" t="s">
        <v>219</v>
      </c>
      <c r="F138" t="s">
        <v>334</v>
      </c>
      <c r="G138" t="str">
        <f t="shared" si="24"/>
        <v>'gas_inflamable' : r_val['gas_inflamable'],</v>
      </c>
    </row>
    <row r="139" spans="5:7" x14ac:dyDescent="0.3">
      <c r="E139" t="s">
        <v>220</v>
      </c>
      <c r="F139" t="s">
        <v>335</v>
      </c>
      <c r="G139" t="str">
        <f t="shared" si="24"/>
        <v>'valor_gi' : r_val['valor_gi'],</v>
      </c>
    </row>
    <row r="140" spans="5:7" x14ac:dyDescent="0.3">
      <c r="E140" t="s">
        <v>221</v>
      </c>
      <c r="F140" t="s">
        <v>336</v>
      </c>
      <c r="G140" t="str">
        <f t="shared" si="24"/>
        <v>'descrp_li' : r_val['descrp_li'],</v>
      </c>
    </row>
    <row r="141" spans="5:7" x14ac:dyDescent="0.3">
      <c r="E141" t="s">
        <v>222</v>
      </c>
      <c r="F141" t="s">
        <v>337</v>
      </c>
      <c r="G141" t="str">
        <f t="shared" si="24"/>
        <v>'liquido_inflamable' : r_val['liquido_inflamable'],</v>
      </c>
    </row>
    <row r="142" spans="5:7" x14ac:dyDescent="0.3">
      <c r="E142" t="s">
        <v>223</v>
      </c>
      <c r="F142" t="s">
        <v>338</v>
      </c>
      <c r="G142" t="str">
        <f t="shared" si="24"/>
        <v>'valor_li' : r_val['valor_li'],</v>
      </c>
    </row>
    <row r="143" spans="5:7" x14ac:dyDescent="0.3">
      <c r="E143" t="s">
        <v>224</v>
      </c>
      <c r="F143" t="s">
        <v>339</v>
      </c>
      <c r="G143" t="str">
        <f t="shared" ref="G143:G179" si="25">+_xlfn.CONCAT("'",E143,"' : r_val['",E143,"'],")</f>
        <v>'descrip_lc' : r_val['descrip_lc'],</v>
      </c>
    </row>
    <row r="144" spans="5:7" x14ac:dyDescent="0.3">
      <c r="E144" t="s">
        <v>225</v>
      </c>
      <c r="F144" t="s">
        <v>340</v>
      </c>
      <c r="G144" t="str">
        <f t="shared" si="25"/>
        <v>'liquido_combustible' : r_val['liquido_combustible'],</v>
      </c>
    </row>
    <row r="145" spans="5:7" x14ac:dyDescent="0.3">
      <c r="E145" t="s">
        <v>226</v>
      </c>
      <c r="F145" t="s">
        <v>341</v>
      </c>
      <c r="G145" t="str">
        <f t="shared" si="25"/>
        <v>'valor_lc' : r_val['valor_lc'],</v>
      </c>
    </row>
    <row r="146" spans="5:7" x14ac:dyDescent="0.3">
      <c r="E146" t="s">
        <v>227</v>
      </c>
      <c r="F146" t="s">
        <v>342</v>
      </c>
      <c r="G146" t="str">
        <f t="shared" si="25"/>
        <v>'descrip_sc' : r_val['descrip_sc'],</v>
      </c>
    </row>
    <row r="147" spans="5:7" x14ac:dyDescent="0.3">
      <c r="E147" t="s">
        <v>228</v>
      </c>
      <c r="F147" t="s">
        <v>343</v>
      </c>
      <c r="G147" t="str">
        <f t="shared" si="25"/>
        <v>'solido_combusible' : r_val['solido_combusible'],</v>
      </c>
    </row>
    <row r="148" spans="5:7" x14ac:dyDescent="0.3">
      <c r="E148" t="s">
        <v>229</v>
      </c>
      <c r="F148" t="s">
        <v>344</v>
      </c>
      <c r="G148" t="str">
        <f t="shared" si="25"/>
        <v>'valor_sc' : r_val['valor_sc'],</v>
      </c>
    </row>
    <row r="149" spans="5:7" x14ac:dyDescent="0.3">
      <c r="E149" t="s">
        <v>230</v>
      </c>
      <c r="F149" t="s">
        <v>345</v>
      </c>
      <c r="G149" t="str">
        <f t="shared" si="25"/>
        <v>'tipo_riesgo' : r_val['tipo_riesgo'],</v>
      </c>
    </row>
    <row r="150" spans="5:7" x14ac:dyDescent="0.3">
      <c r="E150" t="s">
        <v>626</v>
      </c>
      <c r="F150" t="s">
        <v>666</v>
      </c>
      <c r="G150" t="str">
        <f t="shared" si="25"/>
        <v>'nombre1' : r_val['nombre1'],</v>
      </c>
    </row>
    <row r="151" spans="5:7" x14ac:dyDescent="0.3">
      <c r="E151" t="s">
        <v>628</v>
      </c>
      <c r="F151" t="s">
        <v>667</v>
      </c>
      <c r="G151" t="str">
        <f t="shared" si="25"/>
        <v>'puesto1' : r_val['puesto1'],</v>
      </c>
    </row>
    <row r="152" spans="5:7" x14ac:dyDescent="0.3">
      <c r="E152" t="s">
        <v>646</v>
      </c>
      <c r="F152" t="s">
        <v>668</v>
      </c>
      <c r="G152" t="str">
        <f t="shared" si="25"/>
        <v>'m1' : r_val['m1'],</v>
      </c>
    </row>
    <row r="153" spans="5:7" x14ac:dyDescent="0.3">
      <c r="E153" t="s">
        <v>627</v>
      </c>
      <c r="F153" t="s">
        <v>669</v>
      </c>
      <c r="G153" t="str">
        <f t="shared" si="25"/>
        <v>'nombre2' : r_val['nombre2'],</v>
      </c>
    </row>
    <row r="154" spans="5:7" x14ac:dyDescent="0.3">
      <c r="E154" t="s">
        <v>629</v>
      </c>
      <c r="F154" t="s">
        <v>670</v>
      </c>
      <c r="G154" t="str">
        <f t="shared" si="25"/>
        <v>'puesto2' : r_val['puesto2'],</v>
      </c>
    </row>
    <row r="155" spans="5:7" x14ac:dyDescent="0.3">
      <c r="E155" t="s">
        <v>647</v>
      </c>
      <c r="F155" t="s">
        <v>671</v>
      </c>
      <c r="G155" t="str">
        <f t="shared" si="25"/>
        <v>'m2' : r_val['m2'],</v>
      </c>
    </row>
    <row r="156" spans="5:7" x14ac:dyDescent="0.3">
      <c r="E156" t="s">
        <v>630</v>
      </c>
      <c r="F156" t="s">
        <v>672</v>
      </c>
      <c r="G156" t="str">
        <f t="shared" si="25"/>
        <v>'nombre3' : r_val['nombre3'],</v>
      </c>
    </row>
    <row r="157" spans="5:7" x14ac:dyDescent="0.3">
      <c r="E157" t="s">
        <v>631</v>
      </c>
      <c r="F157" t="s">
        <v>673</v>
      </c>
      <c r="G157" t="str">
        <f t="shared" si="25"/>
        <v>'puesto3' : r_val['puesto3'],</v>
      </c>
    </row>
    <row r="158" spans="5:7" x14ac:dyDescent="0.3">
      <c r="E158" t="s">
        <v>648</v>
      </c>
      <c r="F158" t="s">
        <v>674</v>
      </c>
      <c r="G158" t="str">
        <f t="shared" si="25"/>
        <v>'m3' : r_val['m3'],</v>
      </c>
    </row>
    <row r="159" spans="5:7" x14ac:dyDescent="0.3">
      <c r="E159" t="s">
        <v>632</v>
      </c>
      <c r="F159" t="s">
        <v>675</v>
      </c>
      <c r="G159" t="str">
        <f t="shared" si="25"/>
        <v>'nombre4' : r_val['nombre4'],</v>
      </c>
    </row>
    <row r="160" spans="5:7" x14ac:dyDescent="0.3">
      <c r="E160" t="s">
        <v>633</v>
      </c>
      <c r="F160" t="s">
        <v>676</v>
      </c>
      <c r="G160" t="str">
        <f t="shared" si="25"/>
        <v>'puesto4' : r_val['puesto4'],</v>
      </c>
    </row>
    <row r="161" spans="5:7" x14ac:dyDescent="0.3">
      <c r="E161" t="s">
        <v>649</v>
      </c>
      <c r="F161" t="s">
        <v>677</v>
      </c>
      <c r="G161" t="str">
        <f t="shared" si="25"/>
        <v>'m4' : r_val['m4'],</v>
      </c>
    </row>
    <row r="162" spans="5:7" x14ac:dyDescent="0.3">
      <c r="E162" t="s">
        <v>634</v>
      </c>
      <c r="F162" t="s">
        <v>678</v>
      </c>
      <c r="G162" t="str">
        <f t="shared" si="25"/>
        <v>'nombre5' : r_val['nombre5'],</v>
      </c>
    </row>
    <row r="163" spans="5:7" x14ac:dyDescent="0.3">
      <c r="E163" t="s">
        <v>635</v>
      </c>
      <c r="F163" t="s">
        <v>679</v>
      </c>
      <c r="G163" t="str">
        <f t="shared" si="25"/>
        <v>'puesto5' : r_val['puesto5'],</v>
      </c>
    </row>
    <row r="164" spans="5:7" x14ac:dyDescent="0.3">
      <c r="E164" t="s">
        <v>650</v>
      </c>
      <c r="F164" t="s">
        <v>680</v>
      </c>
      <c r="G164" t="str">
        <f t="shared" si="25"/>
        <v>'m5' : r_val['m5'],</v>
      </c>
    </row>
    <row r="165" spans="5:7" x14ac:dyDescent="0.3">
      <c r="E165" t="s">
        <v>636</v>
      </c>
      <c r="F165" t="s">
        <v>681</v>
      </c>
      <c r="G165" t="str">
        <f t="shared" si="25"/>
        <v>'nombre6' : r_val['nombre6'],</v>
      </c>
    </row>
    <row r="166" spans="5:7" x14ac:dyDescent="0.3">
      <c r="E166" t="s">
        <v>637</v>
      </c>
      <c r="F166" t="s">
        <v>682</v>
      </c>
      <c r="G166" t="str">
        <f t="shared" si="25"/>
        <v>'puesto6' : r_val['puesto6'],</v>
      </c>
    </row>
    <row r="167" spans="5:7" x14ac:dyDescent="0.3">
      <c r="E167" t="s">
        <v>651</v>
      </c>
      <c r="F167" t="s">
        <v>683</v>
      </c>
      <c r="G167" t="str">
        <f t="shared" si="25"/>
        <v>'m6' : r_val['m6'],</v>
      </c>
    </row>
    <row r="168" spans="5:7" x14ac:dyDescent="0.3">
      <c r="E168" t="s">
        <v>638</v>
      </c>
      <c r="F168" t="s">
        <v>684</v>
      </c>
      <c r="G168" t="str">
        <f t="shared" si="25"/>
        <v>'nombre7' : r_val['nombre7'],</v>
      </c>
    </row>
    <row r="169" spans="5:7" x14ac:dyDescent="0.3">
      <c r="E169" t="s">
        <v>639</v>
      </c>
      <c r="F169" t="s">
        <v>685</v>
      </c>
      <c r="G169" t="str">
        <f t="shared" si="25"/>
        <v>'puesto7' : r_val['puesto7'],</v>
      </c>
    </row>
    <row r="170" spans="5:7" x14ac:dyDescent="0.3">
      <c r="E170" t="s">
        <v>652</v>
      </c>
      <c r="F170" t="s">
        <v>686</v>
      </c>
      <c r="G170" t="str">
        <f t="shared" si="25"/>
        <v>'m7' : r_val['m7'],</v>
      </c>
    </row>
    <row r="171" spans="5:7" x14ac:dyDescent="0.3">
      <c r="E171" t="s">
        <v>640</v>
      </c>
      <c r="F171" t="s">
        <v>687</v>
      </c>
      <c r="G171" t="str">
        <f t="shared" si="25"/>
        <v>'nombre8' : r_val['nombre8'],</v>
      </c>
    </row>
    <row r="172" spans="5:7" x14ac:dyDescent="0.3">
      <c r="E172" t="s">
        <v>641</v>
      </c>
      <c r="F172" t="s">
        <v>688</v>
      </c>
      <c r="G172" t="str">
        <f t="shared" si="25"/>
        <v>'puesto8' : r_val['puesto8'],</v>
      </c>
    </row>
    <row r="173" spans="5:7" x14ac:dyDescent="0.3">
      <c r="E173" t="s">
        <v>653</v>
      </c>
      <c r="F173" t="s">
        <v>689</v>
      </c>
      <c r="G173" t="str">
        <f t="shared" si="25"/>
        <v>'m8' : r_val['m8'],</v>
      </c>
    </row>
    <row r="174" spans="5:7" x14ac:dyDescent="0.3">
      <c r="E174" t="s">
        <v>642</v>
      </c>
      <c r="F174" t="s">
        <v>690</v>
      </c>
      <c r="G174" t="str">
        <f t="shared" si="25"/>
        <v>'nombre9' : r_val['nombre9'],</v>
      </c>
    </row>
    <row r="175" spans="5:7" x14ac:dyDescent="0.3">
      <c r="E175" t="s">
        <v>643</v>
      </c>
      <c r="F175" t="s">
        <v>691</v>
      </c>
      <c r="G175" t="str">
        <f t="shared" si="25"/>
        <v>'puesto9' : r_val['puesto9'],</v>
      </c>
    </row>
    <row r="176" spans="5:7" x14ac:dyDescent="0.3">
      <c r="E176" t="s">
        <v>654</v>
      </c>
      <c r="F176" t="s">
        <v>692</v>
      </c>
      <c r="G176" t="str">
        <f t="shared" si="25"/>
        <v>'m9' : r_val['m9'],</v>
      </c>
    </row>
    <row r="177" spans="5:7" x14ac:dyDescent="0.3">
      <c r="E177" t="s">
        <v>644</v>
      </c>
      <c r="F177" t="s">
        <v>693</v>
      </c>
      <c r="G177" t="str">
        <f t="shared" si="25"/>
        <v>'nombre10' : r_val['nombre10'],</v>
      </c>
    </row>
    <row r="178" spans="5:7" x14ac:dyDescent="0.3">
      <c r="E178" t="s">
        <v>645</v>
      </c>
      <c r="F178" t="s">
        <v>694</v>
      </c>
      <c r="G178" t="str">
        <f t="shared" si="25"/>
        <v>'puesto10' : r_val['puesto10'],</v>
      </c>
    </row>
    <row r="179" spans="5:7" x14ac:dyDescent="0.3">
      <c r="E179" t="s">
        <v>655</v>
      </c>
      <c r="F179" t="s">
        <v>695</v>
      </c>
      <c r="G179" t="str">
        <f t="shared" si="25"/>
        <v>'m10' : r_val['m10'],</v>
      </c>
    </row>
  </sheetData>
  <phoneticPr fontId="1" type="noConversion"/>
  <pageMargins left="0.7" right="0.7" top="0.75" bottom="0.75" header="0.3" footer="0.3"/>
  <pageSetup orientation="portrait" horizontalDpi="4294967294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</vt:lpstr>
      <vt:lpstr>DATOS</vt:lpstr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6A</dc:creator>
  <cp:lastModifiedBy>Luis 6A</cp:lastModifiedBy>
  <dcterms:created xsi:type="dcterms:W3CDTF">2024-03-03T20:26:44Z</dcterms:created>
  <dcterms:modified xsi:type="dcterms:W3CDTF">2024-03-20T00:32:07Z</dcterms:modified>
</cp:coreProperties>
</file>