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6189" documentId="13_ncr:1_{7D3A426E-EC5E-453A-8CC7-F83B71F24F18}" xr6:coauthVersionLast="47" xr6:coauthVersionMax="47" xr10:uidLastSave="{22B19F26-FD2D-4589-9126-5244ECCD7838}"/>
  <bookViews>
    <workbookView xWindow="-108" yWindow="-108" windowWidth="23256" windowHeight="12456" activeTab="1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5" i="4" l="1"/>
  <c r="P105" i="4"/>
  <c r="Q105" i="4"/>
  <c r="S105" i="4"/>
  <c r="T105" i="4"/>
  <c r="V105" i="4"/>
  <c r="W105" i="4"/>
  <c r="F105" i="4"/>
  <c r="G105" i="4"/>
  <c r="M105" i="4"/>
  <c r="FT62" i="1"/>
  <c r="FT61" i="1"/>
  <c r="FT60" i="1"/>
  <c r="FT59" i="1"/>
  <c r="FT58" i="1"/>
  <c r="FT57" i="1"/>
  <c r="FT56" i="1"/>
  <c r="FT55" i="1"/>
  <c r="FK55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T56" i="1"/>
  <c r="T57" i="1"/>
  <c r="T58" i="1"/>
  <c r="T59" i="1"/>
  <c r="T60" i="1"/>
  <c r="T61" i="1"/>
  <c r="T62" i="1"/>
  <c r="T55" i="1"/>
  <c r="CK25" i="1"/>
  <c r="AR25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24" i="1"/>
  <c r="K182" i="4"/>
  <c r="L182" i="4"/>
  <c r="K183" i="4"/>
  <c r="L183" i="4"/>
  <c r="K181" i="4"/>
  <c r="K180" i="4"/>
  <c r="L180" i="4"/>
  <c r="L181" i="4"/>
  <c r="FU13" i="1" l="1"/>
  <c r="FR13" i="1"/>
  <c r="FO13" i="1"/>
  <c r="FL13" i="1"/>
  <c r="CK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V13" i="1" l="1"/>
  <c r="FW13" i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U198" i="1"/>
  <c r="FR198" i="1"/>
  <c r="FO198" i="1"/>
  <c r="FL198" i="1"/>
  <c r="CK198" i="1"/>
  <c r="AR198" i="1"/>
  <c r="FU197" i="1"/>
  <c r="FR197" i="1"/>
  <c r="FO197" i="1"/>
  <c r="FL197" i="1"/>
  <c r="CK197" i="1"/>
  <c r="AR197" i="1"/>
  <c r="FU196" i="1"/>
  <c r="FR196" i="1"/>
  <c r="FO196" i="1"/>
  <c r="FL196" i="1"/>
  <c r="CK196" i="1"/>
  <c r="AR196" i="1"/>
  <c r="FU195" i="1"/>
  <c r="FR195" i="1"/>
  <c r="FO195" i="1"/>
  <c r="FL195" i="1"/>
  <c r="CK195" i="1"/>
  <c r="AR195" i="1"/>
  <c r="FU194" i="1"/>
  <c r="FR194" i="1"/>
  <c r="FO194" i="1"/>
  <c r="FL194" i="1"/>
  <c r="CK194" i="1"/>
  <c r="AR194" i="1"/>
  <c r="FU193" i="1"/>
  <c r="FR193" i="1"/>
  <c r="FO193" i="1"/>
  <c r="FL193" i="1"/>
  <c r="CK193" i="1"/>
  <c r="AR193" i="1"/>
  <c r="FU192" i="1"/>
  <c r="FR192" i="1"/>
  <c r="FO192" i="1"/>
  <c r="FL192" i="1"/>
  <c r="CK192" i="1"/>
  <c r="AR192" i="1"/>
  <c r="FU191" i="1"/>
  <c r="FR191" i="1"/>
  <c r="FO191" i="1"/>
  <c r="FL191" i="1"/>
  <c r="CK191" i="1"/>
  <c r="AR191" i="1"/>
  <c r="FU190" i="1"/>
  <c r="FR190" i="1"/>
  <c r="FO190" i="1"/>
  <c r="FL190" i="1"/>
  <c r="CK190" i="1"/>
  <c r="AR190" i="1"/>
  <c r="FU189" i="1"/>
  <c r="FR189" i="1"/>
  <c r="FO189" i="1"/>
  <c r="FL189" i="1"/>
  <c r="CK189" i="1"/>
  <c r="AR189" i="1"/>
  <c r="FU188" i="1"/>
  <c r="FR188" i="1"/>
  <c r="FO188" i="1"/>
  <c r="FL188" i="1"/>
  <c r="CK188" i="1"/>
  <c r="AR188" i="1"/>
  <c r="FU187" i="1"/>
  <c r="FR187" i="1"/>
  <c r="FO187" i="1"/>
  <c r="FL187" i="1"/>
  <c r="CK187" i="1"/>
  <c r="AR187" i="1"/>
  <c r="FU186" i="1"/>
  <c r="FR186" i="1"/>
  <c r="FO186" i="1"/>
  <c r="FL186" i="1"/>
  <c r="CK186" i="1"/>
  <c r="AR186" i="1"/>
  <c r="FU185" i="1"/>
  <c r="FR185" i="1"/>
  <c r="FO185" i="1"/>
  <c r="FL185" i="1"/>
  <c r="CK185" i="1"/>
  <c r="AR185" i="1"/>
  <c r="FU184" i="1"/>
  <c r="FR184" i="1"/>
  <c r="FO184" i="1"/>
  <c r="FL184" i="1"/>
  <c r="CK184" i="1"/>
  <c r="AR184" i="1"/>
  <c r="FU183" i="1"/>
  <c r="FR183" i="1"/>
  <c r="FO183" i="1"/>
  <c r="FL183" i="1"/>
  <c r="CK183" i="1"/>
  <c r="AR183" i="1"/>
  <c r="FU182" i="1"/>
  <c r="FR182" i="1"/>
  <c r="FO182" i="1"/>
  <c r="FL182" i="1"/>
  <c r="CK182" i="1"/>
  <c r="AR182" i="1"/>
  <c r="FU181" i="1"/>
  <c r="FR181" i="1"/>
  <c r="FO181" i="1"/>
  <c r="FL181" i="1"/>
  <c r="CK181" i="1"/>
  <c r="AR181" i="1"/>
  <c r="FU180" i="1"/>
  <c r="FR180" i="1"/>
  <c r="FO180" i="1"/>
  <c r="FL180" i="1"/>
  <c r="CK180" i="1"/>
  <c r="AR180" i="1"/>
  <c r="FU179" i="1"/>
  <c r="FR179" i="1"/>
  <c r="FO179" i="1"/>
  <c r="FL179" i="1"/>
  <c r="CK179" i="1"/>
  <c r="AR179" i="1"/>
  <c r="FU178" i="1"/>
  <c r="FR178" i="1"/>
  <c r="FO178" i="1"/>
  <c r="FL178" i="1"/>
  <c r="CK178" i="1"/>
  <c r="AR178" i="1"/>
  <c r="FU177" i="1"/>
  <c r="FR177" i="1"/>
  <c r="FO177" i="1"/>
  <c r="FL177" i="1"/>
  <c r="CK177" i="1"/>
  <c r="AR177" i="1"/>
  <c r="FU176" i="1"/>
  <c r="FR176" i="1"/>
  <c r="FO176" i="1"/>
  <c r="FL176" i="1"/>
  <c r="CK176" i="1"/>
  <c r="AR176" i="1"/>
  <c r="FU175" i="1"/>
  <c r="FR175" i="1"/>
  <c r="FO175" i="1"/>
  <c r="FL175" i="1"/>
  <c r="CK175" i="1"/>
  <c r="AR175" i="1"/>
  <c r="FU174" i="1"/>
  <c r="FR174" i="1"/>
  <c r="FO174" i="1"/>
  <c r="FL174" i="1"/>
  <c r="CK174" i="1"/>
  <c r="AR174" i="1"/>
  <c r="FU173" i="1"/>
  <c r="FR173" i="1"/>
  <c r="FO173" i="1"/>
  <c r="FL173" i="1"/>
  <c r="CK173" i="1"/>
  <c r="AR173" i="1"/>
  <c r="FU172" i="1"/>
  <c r="FR172" i="1"/>
  <c r="FO172" i="1"/>
  <c r="FL172" i="1"/>
  <c r="CK172" i="1"/>
  <c r="AR172" i="1"/>
  <c r="FU171" i="1"/>
  <c r="FR171" i="1"/>
  <c r="FO171" i="1"/>
  <c r="FL171" i="1"/>
  <c r="CK171" i="1"/>
  <c r="AR171" i="1"/>
  <c r="FU170" i="1"/>
  <c r="FR170" i="1"/>
  <c r="FO170" i="1"/>
  <c r="FL170" i="1"/>
  <c r="CK170" i="1"/>
  <c r="AR170" i="1"/>
  <c r="FU169" i="1"/>
  <c r="FR169" i="1"/>
  <c r="FO169" i="1"/>
  <c r="FL169" i="1"/>
  <c r="CK169" i="1"/>
  <c r="AR169" i="1"/>
  <c r="FU168" i="1"/>
  <c r="FR168" i="1"/>
  <c r="FO168" i="1"/>
  <c r="FL168" i="1"/>
  <c r="CK168" i="1"/>
  <c r="AR168" i="1"/>
  <c r="FU167" i="1"/>
  <c r="FR167" i="1"/>
  <c r="FO167" i="1"/>
  <c r="FL167" i="1"/>
  <c r="CK167" i="1"/>
  <c r="AR167" i="1"/>
  <c r="FU166" i="1"/>
  <c r="FR166" i="1"/>
  <c r="FO166" i="1"/>
  <c r="FL166" i="1"/>
  <c r="CK166" i="1"/>
  <c r="AR166" i="1"/>
  <c r="FU165" i="1"/>
  <c r="FR165" i="1"/>
  <c r="FO165" i="1"/>
  <c r="FL165" i="1"/>
  <c r="CK165" i="1"/>
  <c r="AR165" i="1"/>
  <c r="FU164" i="1"/>
  <c r="FR164" i="1"/>
  <c r="FO164" i="1"/>
  <c r="FL164" i="1"/>
  <c r="CK164" i="1"/>
  <c r="AR164" i="1"/>
  <c r="FU163" i="1"/>
  <c r="FR163" i="1"/>
  <c r="FO163" i="1"/>
  <c r="FL163" i="1"/>
  <c r="CK163" i="1"/>
  <c r="AR163" i="1"/>
  <c r="FU162" i="1"/>
  <c r="FR162" i="1"/>
  <c r="FO162" i="1"/>
  <c r="FL162" i="1"/>
  <c r="CK162" i="1"/>
  <c r="AR162" i="1"/>
  <c r="FU161" i="1"/>
  <c r="FR161" i="1"/>
  <c r="FO161" i="1"/>
  <c r="FL161" i="1"/>
  <c r="CK161" i="1"/>
  <c r="AR161" i="1"/>
  <c r="FU160" i="1"/>
  <c r="FR160" i="1"/>
  <c r="FO160" i="1"/>
  <c r="FL160" i="1"/>
  <c r="CK160" i="1"/>
  <c r="AR160" i="1"/>
  <c r="FU159" i="1"/>
  <c r="FR159" i="1"/>
  <c r="FO159" i="1"/>
  <c r="FL159" i="1"/>
  <c r="CK159" i="1"/>
  <c r="AR159" i="1"/>
  <c r="FU158" i="1"/>
  <c r="FR158" i="1"/>
  <c r="FO158" i="1"/>
  <c r="FL158" i="1"/>
  <c r="CK158" i="1"/>
  <c r="AR158" i="1"/>
  <c r="FU157" i="1"/>
  <c r="FR157" i="1"/>
  <c r="FO157" i="1"/>
  <c r="FL157" i="1"/>
  <c r="CK157" i="1"/>
  <c r="AR157" i="1"/>
  <c r="FU156" i="1"/>
  <c r="FR156" i="1"/>
  <c r="FO156" i="1"/>
  <c r="FL156" i="1"/>
  <c r="CK156" i="1"/>
  <c r="AR156" i="1"/>
  <c r="FU155" i="1"/>
  <c r="FR155" i="1"/>
  <c r="FO155" i="1"/>
  <c r="FL155" i="1"/>
  <c r="CK155" i="1"/>
  <c r="AR155" i="1"/>
  <c r="FU154" i="1"/>
  <c r="FR154" i="1"/>
  <c r="FO154" i="1"/>
  <c r="FL154" i="1"/>
  <c r="CK154" i="1"/>
  <c r="AR154" i="1"/>
  <c r="FU153" i="1"/>
  <c r="FR153" i="1"/>
  <c r="FO153" i="1"/>
  <c r="FL153" i="1"/>
  <c r="CK153" i="1"/>
  <c r="AR153" i="1"/>
  <c r="FU152" i="1"/>
  <c r="FR152" i="1"/>
  <c r="FO152" i="1"/>
  <c r="FL152" i="1"/>
  <c r="CK152" i="1"/>
  <c r="AR152" i="1"/>
  <c r="FU151" i="1"/>
  <c r="FR151" i="1"/>
  <c r="FO151" i="1"/>
  <c r="FL151" i="1"/>
  <c r="CK151" i="1"/>
  <c r="AR151" i="1"/>
  <c r="FU150" i="1"/>
  <c r="FR150" i="1"/>
  <c r="FO150" i="1"/>
  <c r="FL150" i="1"/>
  <c r="CK150" i="1"/>
  <c r="AR150" i="1"/>
  <c r="FU149" i="1"/>
  <c r="FR149" i="1"/>
  <c r="FO149" i="1"/>
  <c r="FL149" i="1"/>
  <c r="CK149" i="1"/>
  <c r="AR149" i="1"/>
  <c r="FU148" i="1"/>
  <c r="FR148" i="1"/>
  <c r="FO148" i="1"/>
  <c r="FL148" i="1"/>
  <c r="CK148" i="1"/>
  <c r="AR148" i="1"/>
  <c r="FU147" i="1"/>
  <c r="FR147" i="1"/>
  <c r="FO147" i="1"/>
  <c r="FL147" i="1"/>
  <c r="CK147" i="1"/>
  <c r="AR147" i="1"/>
  <c r="FU146" i="1"/>
  <c r="FR146" i="1"/>
  <c r="FO146" i="1"/>
  <c r="FL146" i="1"/>
  <c r="CK146" i="1"/>
  <c r="AR146" i="1"/>
  <c r="FU145" i="1"/>
  <c r="FR145" i="1"/>
  <c r="FO145" i="1"/>
  <c r="FL145" i="1"/>
  <c r="CK145" i="1"/>
  <c r="AR145" i="1"/>
  <c r="FU144" i="1"/>
  <c r="FR144" i="1"/>
  <c r="FO144" i="1"/>
  <c r="FL144" i="1"/>
  <c r="CK144" i="1"/>
  <c r="AR144" i="1"/>
  <c r="FU143" i="1"/>
  <c r="FR143" i="1"/>
  <c r="FO143" i="1"/>
  <c r="FL143" i="1"/>
  <c r="CK143" i="1"/>
  <c r="AR143" i="1"/>
  <c r="FU142" i="1"/>
  <c r="FR142" i="1"/>
  <c r="FO142" i="1"/>
  <c r="FL142" i="1"/>
  <c r="CK142" i="1"/>
  <c r="AR142" i="1"/>
  <c r="FU141" i="1"/>
  <c r="FR141" i="1"/>
  <c r="FO141" i="1"/>
  <c r="FL141" i="1"/>
  <c r="CK141" i="1"/>
  <c r="AR141" i="1"/>
  <c r="FU140" i="1"/>
  <c r="FR140" i="1"/>
  <c r="FO140" i="1"/>
  <c r="FL140" i="1"/>
  <c r="CK140" i="1"/>
  <c r="AR140" i="1"/>
  <c r="FU139" i="1"/>
  <c r="FR139" i="1"/>
  <c r="FO139" i="1"/>
  <c r="FL139" i="1"/>
  <c r="CK139" i="1"/>
  <c r="AR139" i="1"/>
  <c r="FU138" i="1"/>
  <c r="FR138" i="1"/>
  <c r="FO138" i="1"/>
  <c r="FL138" i="1"/>
  <c r="CK138" i="1"/>
  <c r="AR138" i="1"/>
  <c r="FU137" i="1"/>
  <c r="FR137" i="1"/>
  <c r="FO137" i="1"/>
  <c r="FL137" i="1"/>
  <c r="CK137" i="1"/>
  <c r="AR137" i="1"/>
  <c r="FU136" i="1"/>
  <c r="FR136" i="1"/>
  <c r="FO136" i="1"/>
  <c r="FL136" i="1"/>
  <c r="CK136" i="1"/>
  <c r="AR136" i="1"/>
  <c r="FU135" i="1"/>
  <c r="FR135" i="1"/>
  <c r="FO135" i="1"/>
  <c r="FL135" i="1"/>
  <c r="CK135" i="1"/>
  <c r="AR135" i="1"/>
  <c r="FU134" i="1"/>
  <c r="FR134" i="1"/>
  <c r="FO134" i="1"/>
  <c r="FL134" i="1"/>
  <c r="CK134" i="1"/>
  <c r="AR134" i="1"/>
  <c r="FU133" i="1"/>
  <c r="FR133" i="1"/>
  <c r="FO133" i="1"/>
  <c r="FL133" i="1"/>
  <c r="CK133" i="1"/>
  <c r="AR133" i="1"/>
  <c r="FU132" i="1"/>
  <c r="FR132" i="1"/>
  <c r="FO132" i="1"/>
  <c r="FL132" i="1"/>
  <c r="CK132" i="1"/>
  <c r="AR132" i="1"/>
  <c r="FU131" i="1"/>
  <c r="FR131" i="1"/>
  <c r="FO131" i="1"/>
  <c r="FL131" i="1"/>
  <c r="CK131" i="1"/>
  <c r="AR131" i="1"/>
  <c r="FU130" i="1"/>
  <c r="FR130" i="1"/>
  <c r="FO130" i="1"/>
  <c r="FL130" i="1"/>
  <c r="CK130" i="1"/>
  <c r="AR130" i="1"/>
  <c r="FU129" i="1"/>
  <c r="FR129" i="1"/>
  <c r="FO129" i="1"/>
  <c r="FL129" i="1"/>
  <c r="CK129" i="1"/>
  <c r="AR129" i="1"/>
  <c r="FU128" i="1"/>
  <c r="FR128" i="1"/>
  <c r="FO128" i="1"/>
  <c r="FL128" i="1"/>
  <c r="CK128" i="1"/>
  <c r="AR128" i="1"/>
  <c r="FU127" i="1"/>
  <c r="FR127" i="1"/>
  <c r="FO127" i="1"/>
  <c r="FL127" i="1"/>
  <c r="CK127" i="1"/>
  <c r="AR127" i="1"/>
  <c r="FU126" i="1"/>
  <c r="FR126" i="1"/>
  <c r="FO126" i="1"/>
  <c r="FL126" i="1"/>
  <c r="CK126" i="1"/>
  <c r="AR126" i="1"/>
  <c r="FU125" i="1"/>
  <c r="FR125" i="1"/>
  <c r="FO125" i="1"/>
  <c r="FL125" i="1"/>
  <c r="CK125" i="1"/>
  <c r="AR125" i="1"/>
  <c r="FU124" i="1"/>
  <c r="FR124" i="1"/>
  <c r="FO124" i="1"/>
  <c r="FL124" i="1"/>
  <c r="CK124" i="1"/>
  <c r="AR124" i="1"/>
  <c r="FU123" i="1"/>
  <c r="FR123" i="1"/>
  <c r="FO123" i="1"/>
  <c r="FL123" i="1"/>
  <c r="CK123" i="1"/>
  <c r="AR123" i="1"/>
  <c r="FU122" i="1"/>
  <c r="FR122" i="1"/>
  <c r="FO122" i="1"/>
  <c r="FL122" i="1"/>
  <c r="CK122" i="1"/>
  <c r="AR122" i="1"/>
  <c r="FU121" i="1"/>
  <c r="FR121" i="1"/>
  <c r="FO121" i="1"/>
  <c r="FL121" i="1"/>
  <c r="CK121" i="1"/>
  <c r="AR121" i="1"/>
  <c r="FU120" i="1"/>
  <c r="FR120" i="1"/>
  <c r="FO120" i="1"/>
  <c r="FL120" i="1"/>
  <c r="CK120" i="1"/>
  <c r="AR120" i="1"/>
  <c r="FU119" i="1"/>
  <c r="FR119" i="1"/>
  <c r="FO119" i="1"/>
  <c r="FL119" i="1"/>
  <c r="CK119" i="1"/>
  <c r="AR119" i="1"/>
  <c r="FU118" i="1"/>
  <c r="FR118" i="1"/>
  <c r="FO118" i="1"/>
  <c r="FL118" i="1"/>
  <c r="CK118" i="1"/>
  <c r="AR118" i="1"/>
  <c r="FU117" i="1"/>
  <c r="FR117" i="1"/>
  <c r="FO117" i="1"/>
  <c r="FL117" i="1"/>
  <c r="CK117" i="1"/>
  <c r="AR117" i="1"/>
  <c r="FU116" i="1"/>
  <c r="FR116" i="1"/>
  <c r="FO116" i="1"/>
  <c r="FL116" i="1"/>
  <c r="CK116" i="1"/>
  <c r="AR116" i="1"/>
  <c r="FU115" i="1"/>
  <c r="FR115" i="1"/>
  <c r="FO115" i="1"/>
  <c r="FL115" i="1"/>
  <c r="CK115" i="1"/>
  <c r="AR115" i="1"/>
  <c r="FU114" i="1"/>
  <c r="FR114" i="1"/>
  <c r="FO114" i="1"/>
  <c r="FL114" i="1"/>
  <c r="CK114" i="1"/>
  <c r="AR114" i="1"/>
  <c r="FU113" i="1"/>
  <c r="FR113" i="1"/>
  <c r="FO113" i="1"/>
  <c r="FL113" i="1"/>
  <c r="CK113" i="1"/>
  <c r="AR113" i="1"/>
  <c r="FU112" i="1"/>
  <c r="FR112" i="1"/>
  <c r="FO112" i="1"/>
  <c r="FL112" i="1"/>
  <c r="CK112" i="1"/>
  <c r="AR112" i="1"/>
  <c r="FU111" i="1"/>
  <c r="FR111" i="1"/>
  <c r="FO111" i="1"/>
  <c r="FL111" i="1"/>
  <c r="CK111" i="1"/>
  <c r="AR111" i="1"/>
  <c r="FU110" i="1"/>
  <c r="FR110" i="1"/>
  <c r="FO110" i="1"/>
  <c r="FL110" i="1"/>
  <c r="CK110" i="1"/>
  <c r="AR110" i="1"/>
  <c r="FU109" i="1"/>
  <c r="FR109" i="1"/>
  <c r="FO109" i="1"/>
  <c r="FL109" i="1"/>
  <c r="CK109" i="1"/>
  <c r="AR109" i="1"/>
  <c r="FU108" i="1"/>
  <c r="FR108" i="1"/>
  <c r="FO108" i="1"/>
  <c r="FL108" i="1"/>
  <c r="CK108" i="1"/>
  <c r="AR108" i="1"/>
  <c r="FU107" i="1"/>
  <c r="FR107" i="1"/>
  <c r="FO107" i="1"/>
  <c r="FL107" i="1"/>
  <c r="CK107" i="1"/>
  <c r="AR107" i="1"/>
  <c r="FU106" i="1"/>
  <c r="FR106" i="1"/>
  <c r="FO106" i="1"/>
  <c r="FL106" i="1"/>
  <c r="CK106" i="1"/>
  <c r="AR106" i="1"/>
  <c r="FU105" i="1"/>
  <c r="FR105" i="1"/>
  <c r="FO105" i="1"/>
  <c r="FL105" i="1"/>
  <c r="CK105" i="1"/>
  <c r="AR105" i="1"/>
  <c r="FU104" i="1"/>
  <c r="FR104" i="1"/>
  <c r="FO104" i="1"/>
  <c r="FL104" i="1"/>
  <c r="CK104" i="1"/>
  <c r="AR104" i="1"/>
  <c r="FU103" i="1"/>
  <c r="FR103" i="1"/>
  <c r="FO103" i="1"/>
  <c r="FL103" i="1"/>
  <c r="CK103" i="1"/>
  <c r="AR103" i="1"/>
  <c r="FU102" i="1"/>
  <c r="FR102" i="1"/>
  <c r="FO102" i="1"/>
  <c r="FL102" i="1"/>
  <c r="CK102" i="1"/>
  <c r="AR102" i="1"/>
  <c r="FU101" i="1"/>
  <c r="FR101" i="1"/>
  <c r="FO101" i="1"/>
  <c r="FL101" i="1"/>
  <c r="CK101" i="1"/>
  <c r="AR101" i="1"/>
  <c r="FU100" i="1"/>
  <c r="FR100" i="1"/>
  <c r="FO100" i="1"/>
  <c r="FL100" i="1"/>
  <c r="CK100" i="1"/>
  <c r="AR100" i="1"/>
  <c r="FU99" i="1"/>
  <c r="FR99" i="1"/>
  <c r="FO99" i="1"/>
  <c r="FL99" i="1"/>
  <c r="CK99" i="1"/>
  <c r="AR99" i="1"/>
  <c r="FU98" i="1"/>
  <c r="FR98" i="1"/>
  <c r="FO98" i="1"/>
  <c r="FL98" i="1"/>
  <c r="CK98" i="1"/>
  <c r="AR98" i="1"/>
  <c r="FU97" i="1"/>
  <c r="FR97" i="1"/>
  <c r="FO97" i="1"/>
  <c r="FL97" i="1"/>
  <c r="CK97" i="1"/>
  <c r="AR97" i="1"/>
  <c r="FU96" i="1"/>
  <c r="FR96" i="1"/>
  <c r="FO96" i="1"/>
  <c r="FL96" i="1"/>
  <c r="CK96" i="1"/>
  <c r="AR96" i="1"/>
  <c r="FU95" i="1"/>
  <c r="FR95" i="1"/>
  <c r="FO95" i="1"/>
  <c r="FL95" i="1"/>
  <c r="CK95" i="1"/>
  <c r="AR95" i="1"/>
  <c r="FU94" i="1"/>
  <c r="FR94" i="1"/>
  <c r="FO94" i="1"/>
  <c r="FL94" i="1"/>
  <c r="CK94" i="1"/>
  <c r="AR94" i="1"/>
  <c r="FU93" i="1"/>
  <c r="FR93" i="1"/>
  <c r="FO93" i="1"/>
  <c r="FL93" i="1"/>
  <c r="CK93" i="1"/>
  <c r="AR93" i="1"/>
  <c r="FU92" i="1"/>
  <c r="FR92" i="1"/>
  <c r="FO92" i="1"/>
  <c r="FL92" i="1"/>
  <c r="CK92" i="1"/>
  <c r="AR92" i="1"/>
  <c r="FU91" i="1"/>
  <c r="FR91" i="1"/>
  <c r="FO91" i="1"/>
  <c r="FL91" i="1"/>
  <c r="CK91" i="1"/>
  <c r="AR91" i="1"/>
  <c r="FU90" i="1"/>
  <c r="FR90" i="1"/>
  <c r="FO90" i="1"/>
  <c r="FL90" i="1"/>
  <c r="CK90" i="1"/>
  <c r="AR90" i="1"/>
  <c r="FU89" i="1"/>
  <c r="FR89" i="1"/>
  <c r="FO89" i="1"/>
  <c r="FL89" i="1"/>
  <c r="CK89" i="1"/>
  <c r="AR89" i="1"/>
  <c r="FU88" i="1"/>
  <c r="FR88" i="1"/>
  <c r="FO88" i="1"/>
  <c r="FL88" i="1"/>
  <c r="CK88" i="1"/>
  <c r="AR88" i="1"/>
  <c r="FU87" i="1"/>
  <c r="FR87" i="1"/>
  <c r="FO87" i="1"/>
  <c r="FL87" i="1"/>
  <c r="CK87" i="1"/>
  <c r="AR87" i="1"/>
  <c r="FU86" i="1"/>
  <c r="FR86" i="1"/>
  <c r="FO86" i="1"/>
  <c r="FL86" i="1"/>
  <c r="CK86" i="1"/>
  <c r="AR86" i="1"/>
  <c r="FU85" i="1"/>
  <c r="FR85" i="1"/>
  <c r="FO85" i="1"/>
  <c r="FL85" i="1"/>
  <c r="CK85" i="1"/>
  <c r="AR85" i="1"/>
  <c r="FU84" i="1"/>
  <c r="FR84" i="1"/>
  <c r="FO84" i="1"/>
  <c r="FL84" i="1"/>
  <c r="CK84" i="1"/>
  <c r="AR84" i="1"/>
  <c r="FU83" i="1"/>
  <c r="FR83" i="1"/>
  <c r="FO83" i="1"/>
  <c r="FL83" i="1"/>
  <c r="CK83" i="1"/>
  <c r="AR83" i="1"/>
  <c r="FU82" i="1"/>
  <c r="FR82" i="1"/>
  <c r="FO82" i="1"/>
  <c r="FL82" i="1"/>
  <c r="CK82" i="1"/>
  <c r="AR82" i="1"/>
  <c r="FU81" i="1"/>
  <c r="FR81" i="1"/>
  <c r="FO81" i="1"/>
  <c r="FL81" i="1"/>
  <c r="CK81" i="1"/>
  <c r="AR81" i="1"/>
  <c r="FU80" i="1"/>
  <c r="FR80" i="1"/>
  <c r="FO80" i="1"/>
  <c r="FL80" i="1"/>
  <c r="CK80" i="1"/>
  <c r="AR80" i="1"/>
  <c r="FU79" i="1"/>
  <c r="FR79" i="1"/>
  <c r="FO79" i="1"/>
  <c r="FL79" i="1"/>
  <c r="CK79" i="1"/>
  <c r="AR79" i="1"/>
  <c r="FU78" i="1"/>
  <c r="FR78" i="1"/>
  <c r="FO78" i="1"/>
  <c r="FL78" i="1"/>
  <c r="CK78" i="1"/>
  <c r="AR78" i="1"/>
  <c r="FU77" i="1"/>
  <c r="FR77" i="1"/>
  <c r="FO77" i="1"/>
  <c r="FL77" i="1"/>
  <c r="CK77" i="1"/>
  <c r="AR77" i="1"/>
  <c r="FU76" i="1"/>
  <c r="FR76" i="1"/>
  <c r="FO76" i="1"/>
  <c r="FL76" i="1"/>
  <c r="CK76" i="1"/>
  <c r="AR76" i="1"/>
  <c r="FU75" i="1"/>
  <c r="FR75" i="1"/>
  <c r="FO75" i="1"/>
  <c r="FL75" i="1"/>
  <c r="CK75" i="1"/>
  <c r="AR75" i="1"/>
  <c r="FU74" i="1"/>
  <c r="FR74" i="1"/>
  <c r="FO74" i="1"/>
  <c r="FL74" i="1"/>
  <c r="CK74" i="1"/>
  <c r="AR74" i="1"/>
  <c r="FU73" i="1"/>
  <c r="FR73" i="1"/>
  <c r="FO73" i="1"/>
  <c r="FL73" i="1"/>
  <c r="CK73" i="1"/>
  <c r="AR73" i="1"/>
  <c r="FU72" i="1"/>
  <c r="FR72" i="1"/>
  <c r="FO72" i="1"/>
  <c r="FL72" i="1"/>
  <c r="CK72" i="1"/>
  <c r="AR72" i="1"/>
  <c r="FU71" i="1"/>
  <c r="FR71" i="1"/>
  <c r="FO71" i="1"/>
  <c r="FL71" i="1"/>
  <c r="CK71" i="1"/>
  <c r="AR71" i="1"/>
  <c r="FU70" i="1"/>
  <c r="FR70" i="1"/>
  <c r="FO70" i="1"/>
  <c r="FL70" i="1"/>
  <c r="CK70" i="1"/>
  <c r="AR70" i="1"/>
  <c r="FU69" i="1"/>
  <c r="FR69" i="1"/>
  <c r="FO69" i="1"/>
  <c r="FL69" i="1"/>
  <c r="CK69" i="1"/>
  <c r="AR69" i="1"/>
  <c r="FU68" i="1"/>
  <c r="FR68" i="1"/>
  <c r="FO68" i="1"/>
  <c r="FL68" i="1"/>
  <c r="CK68" i="1"/>
  <c r="AR68" i="1"/>
  <c r="FU67" i="1"/>
  <c r="FR67" i="1"/>
  <c r="FO67" i="1"/>
  <c r="FL67" i="1"/>
  <c r="CK67" i="1"/>
  <c r="AR67" i="1"/>
  <c r="FU66" i="1"/>
  <c r="FR66" i="1"/>
  <c r="FO66" i="1"/>
  <c r="FL66" i="1"/>
  <c r="CK66" i="1"/>
  <c r="AR66" i="1"/>
  <c r="FU65" i="1"/>
  <c r="FR65" i="1"/>
  <c r="FO65" i="1"/>
  <c r="FL65" i="1"/>
  <c r="CK65" i="1"/>
  <c r="AR65" i="1"/>
  <c r="FU64" i="1"/>
  <c r="FR64" i="1"/>
  <c r="FO64" i="1"/>
  <c r="FL64" i="1"/>
  <c r="CK64" i="1"/>
  <c r="AR64" i="1"/>
  <c r="FU63" i="1"/>
  <c r="FR63" i="1"/>
  <c r="FO63" i="1"/>
  <c r="FL63" i="1"/>
  <c r="CK63" i="1"/>
  <c r="AR63" i="1"/>
  <c r="FU62" i="1"/>
  <c r="FR62" i="1"/>
  <c r="FO62" i="1"/>
  <c r="FL62" i="1"/>
  <c r="CK62" i="1"/>
  <c r="AR62" i="1"/>
  <c r="FU61" i="1"/>
  <c r="FR61" i="1"/>
  <c r="FO61" i="1"/>
  <c r="FL61" i="1"/>
  <c r="CK61" i="1"/>
  <c r="AR61" i="1"/>
  <c r="FU60" i="1"/>
  <c r="FR60" i="1"/>
  <c r="FO60" i="1"/>
  <c r="FL60" i="1"/>
  <c r="CK60" i="1"/>
  <c r="AR60" i="1"/>
  <c r="FU59" i="1"/>
  <c r="FR59" i="1"/>
  <c r="FO59" i="1"/>
  <c r="FL59" i="1"/>
  <c r="CK59" i="1"/>
  <c r="AR59" i="1"/>
  <c r="FU58" i="1"/>
  <c r="FR58" i="1"/>
  <c r="FO58" i="1"/>
  <c r="FL58" i="1"/>
  <c r="CK58" i="1"/>
  <c r="AR58" i="1"/>
  <c r="FU57" i="1"/>
  <c r="FR57" i="1"/>
  <c r="FO57" i="1"/>
  <c r="FL57" i="1"/>
  <c r="CK57" i="1"/>
  <c r="AR57" i="1"/>
  <c r="FU56" i="1"/>
  <c r="FR56" i="1"/>
  <c r="FO56" i="1"/>
  <c r="FL56" i="1"/>
  <c r="CK56" i="1"/>
  <c r="AR56" i="1"/>
  <c r="FU55" i="1"/>
  <c r="FR55" i="1"/>
  <c r="FO55" i="1"/>
  <c r="FL55" i="1"/>
  <c r="CK55" i="1"/>
  <c r="AR55" i="1"/>
  <c r="FU54" i="1"/>
  <c r="FR54" i="1"/>
  <c r="FO54" i="1"/>
  <c r="FL54" i="1"/>
  <c r="CK54" i="1"/>
  <c r="AR54" i="1"/>
  <c r="FU53" i="1"/>
  <c r="FR53" i="1"/>
  <c r="FO53" i="1"/>
  <c r="FL53" i="1"/>
  <c r="CK53" i="1"/>
  <c r="AR53" i="1"/>
  <c r="FU52" i="1"/>
  <c r="FR52" i="1"/>
  <c r="FO52" i="1"/>
  <c r="FL52" i="1"/>
  <c r="CK52" i="1"/>
  <c r="AR52" i="1"/>
  <c r="FU51" i="1"/>
  <c r="FR51" i="1"/>
  <c r="FO51" i="1"/>
  <c r="FL51" i="1"/>
  <c r="CK51" i="1"/>
  <c r="AR51" i="1"/>
  <c r="FU50" i="1"/>
  <c r="FR50" i="1"/>
  <c r="FO50" i="1"/>
  <c r="FL50" i="1"/>
  <c r="CK50" i="1"/>
  <c r="AR50" i="1"/>
  <c r="FU49" i="1"/>
  <c r="FR49" i="1"/>
  <c r="FO49" i="1"/>
  <c r="FL49" i="1"/>
  <c r="CK49" i="1"/>
  <c r="AR49" i="1"/>
  <c r="FU48" i="1"/>
  <c r="FR48" i="1"/>
  <c r="FO48" i="1"/>
  <c r="FL48" i="1"/>
  <c r="CK48" i="1"/>
  <c r="AR48" i="1"/>
  <c r="FU47" i="1"/>
  <c r="FR47" i="1"/>
  <c r="FO47" i="1"/>
  <c r="FL47" i="1"/>
  <c r="CK47" i="1"/>
  <c r="AR47" i="1"/>
  <c r="FU46" i="1"/>
  <c r="FR46" i="1"/>
  <c r="FO46" i="1"/>
  <c r="FL46" i="1"/>
  <c r="CK46" i="1"/>
  <c r="AR46" i="1"/>
  <c r="FU45" i="1"/>
  <c r="FR45" i="1"/>
  <c r="FO45" i="1"/>
  <c r="FL45" i="1"/>
  <c r="CK45" i="1"/>
  <c r="AR45" i="1"/>
  <c r="FU44" i="1"/>
  <c r="FR44" i="1"/>
  <c r="FO44" i="1"/>
  <c r="FL44" i="1"/>
  <c r="CK44" i="1"/>
  <c r="AR44" i="1"/>
  <c r="FU25" i="1"/>
  <c r="FR25" i="1"/>
  <c r="FO25" i="1"/>
  <c r="FL25" i="1"/>
  <c r="FU20" i="1"/>
  <c r="FR20" i="1"/>
  <c r="FO20" i="1"/>
  <c r="FL20" i="1"/>
  <c r="CK20" i="1"/>
  <c r="AR20" i="1"/>
  <c r="FU23" i="1"/>
  <c r="FR23" i="1"/>
  <c r="FO23" i="1"/>
  <c r="FL23" i="1"/>
  <c r="CK23" i="1"/>
  <c r="AR23" i="1"/>
  <c r="FU24" i="1"/>
  <c r="FR24" i="1"/>
  <c r="FO24" i="1"/>
  <c r="FL24" i="1"/>
  <c r="CK24" i="1"/>
  <c r="AR24" i="1"/>
  <c r="FU35" i="1"/>
  <c r="FR35" i="1"/>
  <c r="FO35" i="1"/>
  <c r="FL35" i="1"/>
  <c r="CK35" i="1"/>
  <c r="AR35" i="1"/>
  <c r="FU38" i="1"/>
  <c r="FR38" i="1"/>
  <c r="FO38" i="1"/>
  <c r="FL38" i="1"/>
  <c r="CK38" i="1"/>
  <c r="AR38" i="1"/>
  <c r="FU42" i="1"/>
  <c r="FR42" i="1"/>
  <c r="FO42" i="1"/>
  <c r="FL42" i="1"/>
  <c r="CK42" i="1"/>
  <c r="AR42" i="1"/>
  <c r="FU22" i="1"/>
  <c r="FR22" i="1"/>
  <c r="FO22" i="1"/>
  <c r="FL22" i="1"/>
  <c r="CK22" i="1"/>
  <c r="AR22" i="1"/>
  <c r="FU28" i="1"/>
  <c r="FR28" i="1"/>
  <c r="FO28" i="1"/>
  <c r="FL28" i="1"/>
  <c r="CK28" i="1"/>
  <c r="AR28" i="1"/>
  <c r="FU17" i="1"/>
  <c r="FR17" i="1"/>
  <c r="FO17" i="1"/>
  <c r="FL17" i="1"/>
  <c r="CK17" i="1"/>
  <c r="AR17" i="1"/>
  <c r="FU41" i="1"/>
  <c r="FR41" i="1"/>
  <c r="FO41" i="1"/>
  <c r="FL41" i="1"/>
  <c r="CK41" i="1"/>
  <c r="AR41" i="1"/>
  <c r="FU31" i="1"/>
  <c r="FR31" i="1"/>
  <c r="FO31" i="1"/>
  <c r="FL31" i="1"/>
  <c r="CK31" i="1"/>
  <c r="AR31" i="1"/>
  <c r="FU33" i="1"/>
  <c r="FR33" i="1"/>
  <c r="FO33" i="1"/>
  <c r="FL33" i="1"/>
  <c r="CK33" i="1"/>
  <c r="AR33" i="1"/>
  <c r="FU16" i="1"/>
  <c r="FR16" i="1"/>
  <c r="FO16" i="1"/>
  <c r="FL16" i="1"/>
  <c r="CK16" i="1"/>
  <c r="AR16" i="1"/>
  <c r="FU43" i="1"/>
  <c r="FR43" i="1"/>
  <c r="FO43" i="1"/>
  <c r="FL43" i="1"/>
  <c r="CK43" i="1"/>
  <c r="AR43" i="1"/>
  <c r="FU30" i="1"/>
  <c r="FR30" i="1"/>
  <c r="FO30" i="1"/>
  <c r="FL30" i="1"/>
  <c r="CK30" i="1"/>
  <c r="AR30" i="1"/>
  <c r="FU19" i="1"/>
  <c r="FR19" i="1"/>
  <c r="FO19" i="1"/>
  <c r="FL19" i="1"/>
  <c r="CK19" i="1"/>
  <c r="AR19" i="1"/>
  <c r="FU39" i="1"/>
  <c r="FR39" i="1"/>
  <c r="FO39" i="1"/>
  <c r="FL39" i="1"/>
  <c r="CK39" i="1"/>
  <c r="AR39" i="1"/>
  <c r="FU40" i="1"/>
  <c r="FR40" i="1"/>
  <c r="FO40" i="1"/>
  <c r="FL40" i="1"/>
  <c r="CK40" i="1"/>
  <c r="AR40" i="1"/>
  <c r="FU29" i="1"/>
  <c r="FR29" i="1"/>
  <c r="FO29" i="1"/>
  <c r="FL29" i="1"/>
  <c r="CK29" i="1"/>
  <c r="AR29" i="1"/>
  <c r="FU18" i="1"/>
  <c r="FR18" i="1"/>
  <c r="FO18" i="1"/>
  <c r="FL18" i="1"/>
  <c r="CK18" i="1"/>
  <c r="AR18" i="1"/>
  <c r="FU36" i="1"/>
  <c r="FR36" i="1"/>
  <c r="FO36" i="1"/>
  <c r="FL36" i="1"/>
  <c r="CK36" i="1"/>
  <c r="AR36" i="1"/>
  <c r="FU14" i="1"/>
  <c r="FR14" i="1"/>
  <c r="FO14" i="1"/>
  <c r="FL14" i="1"/>
  <c r="CK14" i="1"/>
  <c r="AR14" i="1"/>
  <c r="FU27" i="1"/>
  <c r="FR27" i="1"/>
  <c r="FO27" i="1"/>
  <c r="FL27" i="1"/>
  <c r="CK27" i="1"/>
  <c r="AR27" i="1"/>
  <c r="FU32" i="1"/>
  <c r="FR32" i="1"/>
  <c r="FO32" i="1"/>
  <c r="FL32" i="1"/>
  <c r="CK32" i="1"/>
  <c r="AR32" i="1"/>
  <c r="FU37" i="1"/>
  <c r="FR37" i="1"/>
  <c r="FO37" i="1"/>
  <c r="FL37" i="1"/>
  <c r="CK37" i="1"/>
  <c r="AR37" i="1"/>
  <c r="FU26" i="1"/>
  <c r="FR26" i="1"/>
  <c r="FO26" i="1"/>
  <c r="FL26" i="1"/>
  <c r="CK26" i="1"/>
  <c r="AR26" i="1"/>
  <c r="FU21" i="1"/>
  <c r="FR21" i="1"/>
  <c r="FO21" i="1"/>
  <c r="FL21" i="1"/>
  <c r="CK21" i="1"/>
  <c r="AR21" i="1"/>
  <c r="FU15" i="1"/>
  <c r="FR15" i="1"/>
  <c r="FO15" i="1"/>
  <c r="FL15" i="1"/>
  <c r="CK15" i="1"/>
  <c r="AR15" i="1"/>
  <c r="FU34" i="1"/>
  <c r="FR34" i="1"/>
  <c r="FO34" i="1"/>
  <c r="FL34" i="1"/>
  <c r="CK34" i="1"/>
  <c r="AR34" i="1"/>
  <c r="FU12" i="1"/>
  <c r="FR12" i="1"/>
  <c r="FO12" i="1"/>
  <c r="FL12" i="1"/>
  <c r="CK12" i="1"/>
  <c r="AR12" i="1"/>
  <c r="FU11" i="1"/>
  <c r="FR11" i="1"/>
  <c r="FO11" i="1"/>
  <c r="FL11" i="1"/>
  <c r="CK11" i="1"/>
  <c r="AR11" i="1"/>
  <c r="FU10" i="1"/>
  <c r="FR10" i="1"/>
  <c r="FO10" i="1"/>
  <c r="FL10" i="1"/>
  <c r="CK10" i="1"/>
  <c r="AR10" i="1"/>
  <c r="FU9" i="1"/>
  <c r="FR9" i="1"/>
  <c r="FO9" i="1"/>
  <c r="FL9" i="1"/>
  <c r="CK9" i="1"/>
  <c r="AR9" i="1"/>
  <c r="FU8" i="1"/>
  <c r="FR8" i="1"/>
  <c r="FO8" i="1"/>
  <c r="FL8" i="1"/>
  <c r="CK8" i="1"/>
  <c r="AR8" i="1"/>
  <c r="FU7" i="1"/>
  <c r="FR7" i="1"/>
  <c r="FO7" i="1"/>
  <c r="FL7" i="1"/>
  <c r="CK7" i="1"/>
  <c r="AR7" i="1"/>
  <c r="FU6" i="1"/>
  <c r="FR6" i="1"/>
  <c r="FO6" i="1"/>
  <c r="FL6" i="1"/>
  <c r="CK6" i="1"/>
  <c r="AR6" i="1"/>
  <c r="FU5" i="1"/>
  <c r="FR5" i="1"/>
  <c r="FO5" i="1"/>
  <c r="FL5" i="1"/>
  <c r="CK5" i="1"/>
  <c r="AR5" i="1"/>
  <c r="FU4" i="1"/>
  <c r="FR4" i="1"/>
  <c r="FO4" i="1"/>
  <c r="FL4" i="1"/>
  <c r="CK4" i="1"/>
  <c r="AR4" i="1"/>
  <c r="FU3" i="1"/>
  <c r="FR3" i="1"/>
  <c r="FO3" i="1"/>
  <c r="FL3" i="1"/>
  <c r="FV190" i="1" l="1"/>
  <c r="FV194" i="1"/>
  <c r="FV198" i="1"/>
  <c r="FV5" i="1"/>
  <c r="FV9" i="1"/>
  <c r="FV34" i="1"/>
  <c r="FV37" i="1"/>
  <c r="FV36" i="1"/>
  <c r="FV39" i="1"/>
  <c r="FV16" i="1"/>
  <c r="FV17" i="1"/>
  <c r="FV38" i="1"/>
  <c r="FV20" i="1"/>
  <c r="FV46" i="1"/>
  <c r="FV50" i="1"/>
  <c r="FV54" i="1"/>
  <c r="FV58" i="1"/>
  <c r="FV62" i="1"/>
  <c r="FV66" i="1"/>
  <c r="FV70" i="1"/>
  <c r="FV74" i="1"/>
  <c r="FV78" i="1"/>
  <c r="FV82" i="1"/>
  <c r="FV86" i="1"/>
  <c r="FV90" i="1"/>
  <c r="FV94" i="1"/>
  <c r="FV98" i="1"/>
  <c r="FV102" i="1"/>
  <c r="FV106" i="1"/>
  <c r="FV110" i="1"/>
  <c r="FV114" i="1"/>
  <c r="FV118" i="1"/>
  <c r="FV122" i="1"/>
  <c r="FV126" i="1"/>
  <c r="FV130" i="1"/>
  <c r="FV134" i="1"/>
  <c r="FV138" i="1"/>
  <c r="FV142" i="1"/>
  <c r="FV146" i="1"/>
  <c r="FV150" i="1"/>
  <c r="FV154" i="1"/>
  <c r="FV158" i="1"/>
  <c r="FV162" i="1"/>
  <c r="FV166" i="1"/>
  <c r="FV170" i="1"/>
  <c r="FV174" i="1"/>
  <c r="FV178" i="1"/>
  <c r="FV182" i="1"/>
  <c r="FV186" i="1"/>
  <c r="FV60" i="1"/>
  <c r="FV64" i="1"/>
  <c r="FV68" i="1"/>
  <c r="FV80" i="1"/>
  <c r="FV84" i="1"/>
  <c r="FV92" i="1"/>
  <c r="FV96" i="1"/>
  <c r="FV100" i="1"/>
  <c r="FV116" i="1"/>
  <c r="FV120" i="1"/>
  <c r="FV144" i="1"/>
  <c r="FV148" i="1"/>
  <c r="FV156" i="1"/>
  <c r="FV160" i="1"/>
  <c r="FV164" i="1"/>
  <c r="FV172" i="1"/>
  <c r="FV176" i="1"/>
  <c r="FV180" i="1"/>
  <c r="FV184" i="1"/>
  <c r="FV188" i="1"/>
  <c r="FV192" i="1"/>
  <c r="FV196" i="1"/>
  <c r="FV3" i="1"/>
  <c r="FV7" i="1"/>
  <c r="FV11" i="1"/>
  <c r="FV21" i="1"/>
  <c r="FV27" i="1"/>
  <c r="FV29" i="1"/>
  <c r="FV30" i="1"/>
  <c r="FV31" i="1"/>
  <c r="FV22" i="1"/>
  <c r="FV24" i="1"/>
  <c r="FV44" i="1"/>
  <c r="FV48" i="1"/>
  <c r="FV52" i="1"/>
  <c r="FV56" i="1"/>
  <c r="FV72" i="1"/>
  <c r="FV76" i="1"/>
  <c r="FV88" i="1"/>
  <c r="FV104" i="1"/>
  <c r="FV108" i="1"/>
  <c r="FV112" i="1"/>
  <c r="FV124" i="1"/>
  <c r="FV128" i="1"/>
  <c r="FV132" i="1"/>
  <c r="FV136" i="1"/>
  <c r="FV140" i="1"/>
  <c r="FV152" i="1"/>
  <c r="FV168" i="1"/>
  <c r="FV6" i="1"/>
  <c r="FV10" i="1"/>
  <c r="FV15" i="1"/>
  <c r="FV32" i="1"/>
  <c r="FV18" i="1"/>
  <c r="FV19" i="1"/>
  <c r="FV33" i="1"/>
  <c r="FV28" i="1"/>
  <c r="FV35" i="1"/>
  <c r="FV25" i="1"/>
  <c r="FV47" i="1"/>
  <c r="FV51" i="1"/>
  <c r="FV55" i="1"/>
  <c r="FV59" i="1"/>
  <c r="FV63" i="1"/>
  <c r="FV67" i="1"/>
  <c r="FV71" i="1"/>
  <c r="FV75" i="1"/>
  <c r="FV79" i="1"/>
  <c r="FV83" i="1"/>
  <c r="FV87" i="1"/>
  <c r="FV91" i="1"/>
  <c r="FV95" i="1"/>
  <c r="FV99" i="1"/>
  <c r="FV103" i="1"/>
  <c r="FV107" i="1"/>
  <c r="FV111" i="1"/>
  <c r="FV115" i="1"/>
  <c r="FV119" i="1"/>
  <c r="FV123" i="1"/>
  <c r="FV127" i="1"/>
  <c r="FV131" i="1"/>
  <c r="FV135" i="1"/>
  <c r="FV139" i="1"/>
  <c r="FV143" i="1"/>
  <c r="FV147" i="1"/>
  <c r="FV151" i="1"/>
  <c r="FV155" i="1"/>
  <c r="FV159" i="1"/>
  <c r="FV163" i="1"/>
  <c r="FV167" i="1"/>
  <c r="FV171" i="1"/>
  <c r="FV175" i="1"/>
  <c r="FV179" i="1"/>
  <c r="FV183" i="1"/>
  <c r="FV187" i="1"/>
  <c r="FV191" i="1"/>
  <c r="FV195" i="1"/>
  <c r="FV4" i="1"/>
  <c r="FV8" i="1"/>
  <c r="FV12" i="1"/>
  <c r="FV14" i="1"/>
  <c r="FV42" i="1"/>
  <c r="FV23" i="1"/>
  <c r="FV45" i="1"/>
  <c r="FV49" i="1"/>
  <c r="FV53" i="1"/>
  <c r="FV57" i="1"/>
  <c r="FV61" i="1"/>
  <c r="FV65" i="1"/>
  <c r="FV69" i="1"/>
  <c r="FV73" i="1"/>
  <c r="FV77" i="1"/>
  <c r="FV81" i="1"/>
  <c r="FV85" i="1"/>
  <c r="FV89" i="1"/>
  <c r="FV93" i="1"/>
  <c r="FV97" i="1"/>
  <c r="FV101" i="1"/>
  <c r="FV105" i="1"/>
  <c r="FV109" i="1"/>
  <c r="FV113" i="1"/>
  <c r="FV117" i="1"/>
  <c r="FV121" i="1"/>
  <c r="FV125" i="1"/>
  <c r="FV129" i="1"/>
  <c r="FV133" i="1"/>
  <c r="FV137" i="1"/>
  <c r="FV141" i="1"/>
  <c r="FV145" i="1"/>
  <c r="FV149" i="1"/>
  <c r="FV153" i="1"/>
  <c r="FV157" i="1"/>
  <c r="FV161" i="1"/>
  <c r="FV165" i="1"/>
  <c r="FV169" i="1"/>
  <c r="FV173" i="1"/>
  <c r="FV177" i="1"/>
  <c r="FV181" i="1"/>
  <c r="FV185" i="1"/>
  <c r="FV189" i="1"/>
  <c r="FV193" i="1"/>
  <c r="FV197" i="1"/>
  <c r="FV26" i="1"/>
  <c r="FV40" i="1"/>
  <c r="FV43" i="1"/>
  <c r="FV41" i="1"/>
  <c r="FW189" i="1"/>
  <c r="FW147" i="1"/>
  <c r="FW140" i="1"/>
  <c r="FW61" i="1"/>
  <c r="FW12" i="1"/>
  <c r="FW40" i="1"/>
  <c r="FW43" i="1"/>
  <c r="FW41" i="1"/>
  <c r="FW42" i="1"/>
  <c r="FW53" i="1"/>
  <c r="FW74" i="1"/>
  <c r="FW98" i="1"/>
  <c r="FW144" i="1"/>
  <c r="FW55" i="1"/>
  <c r="FW68" i="1"/>
  <c r="FW69" i="1"/>
  <c r="FW104" i="1"/>
  <c r="FW125" i="1"/>
  <c r="FW10" i="1"/>
  <c r="FW17" i="1"/>
  <c r="FW174" i="1"/>
  <c r="FW27" i="1"/>
  <c r="FW85" i="1"/>
  <c r="FW24" i="1"/>
  <c r="FW72" i="1"/>
  <c r="FW80" i="1"/>
  <c r="FW149" i="1"/>
  <c r="FW173" i="1"/>
  <c r="FW18" i="1"/>
  <c r="FW52" i="1"/>
  <c r="FW63" i="1"/>
  <c r="FW100" i="1"/>
  <c r="FW133" i="1"/>
  <c r="FW32" i="1"/>
  <c r="FW38" i="1"/>
  <c r="FW25" i="1"/>
  <c r="FW46" i="1"/>
  <c r="FW127" i="1"/>
  <c r="FW160" i="1"/>
  <c r="FW184" i="1"/>
  <c r="FW187" i="1"/>
  <c r="FW197" i="1"/>
  <c r="FW83" i="1"/>
  <c r="FW102" i="1"/>
  <c r="FW107" i="1"/>
  <c r="FW110" i="1"/>
  <c r="FW151" i="1"/>
  <c r="FW156" i="1"/>
  <c r="FW175" i="1"/>
  <c r="FW191" i="1"/>
  <c r="FW166" i="1"/>
  <c r="FW14" i="1"/>
  <c r="FW45" i="1"/>
  <c r="FW77" i="1"/>
  <c r="FW89" i="1"/>
  <c r="FW93" i="1"/>
  <c r="FW97" i="1"/>
  <c r="FW101" i="1"/>
  <c r="FW117" i="1"/>
  <c r="FW138" i="1"/>
  <c r="FW162" i="1"/>
  <c r="FW11" i="1"/>
  <c r="FW109" i="1"/>
  <c r="FW141" i="1"/>
  <c r="FW153" i="1"/>
  <c r="FW157" i="1"/>
  <c r="FW161" i="1"/>
  <c r="FW165" i="1"/>
  <c r="FW181" i="1"/>
  <c r="FW7" i="1"/>
  <c r="FW20" i="1"/>
  <c r="FW106" i="1"/>
  <c r="FW115" i="1"/>
  <c r="FW119" i="1"/>
  <c r="FW136" i="1"/>
  <c r="FW170" i="1"/>
  <c r="FW183" i="1"/>
  <c r="FW29" i="1"/>
  <c r="FW23" i="1"/>
  <c r="FW50" i="1"/>
  <c r="FW54" i="1"/>
  <c r="FW59" i="1"/>
  <c r="FW71" i="1"/>
  <c r="FW88" i="1"/>
  <c r="FW92" i="1"/>
  <c r="FW105" i="1"/>
  <c r="FW114" i="1"/>
  <c r="FW118" i="1"/>
  <c r="FW123" i="1"/>
  <c r="FW152" i="1"/>
  <c r="FW169" i="1"/>
  <c r="FW178" i="1"/>
  <c r="FW182" i="1"/>
  <c r="FW196" i="1"/>
  <c r="FW51" i="1"/>
  <c r="FW76" i="1"/>
  <c r="FW15" i="1"/>
  <c r="FW21" i="1"/>
  <c r="FW31" i="1"/>
  <c r="FW49" i="1"/>
  <c r="FW58" i="1"/>
  <c r="FW62" i="1"/>
  <c r="FW67" i="1"/>
  <c r="FW79" i="1"/>
  <c r="FW96" i="1"/>
  <c r="FW113" i="1"/>
  <c r="FW122" i="1"/>
  <c r="FW126" i="1"/>
  <c r="FW131" i="1"/>
  <c r="FW135" i="1"/>
  <c r="FW143" i="1"/>
  <c r="FW148" i="1"/>
  <c r="FW164" i="1"/>
  <c r="FW177" i="1"/>
  <c r="FW186" i="1"/>
  <c r="FW190" i="1"/>
  <c r="FW195" i="1"/>
  <c r="FW8" i="1"/>
  <c r="FW30" i="1"/>
  <c r="FW57" i="1"/>
  <c r="FW66" i="1"/>
  <c r="FW70" i="1"/>
  <c r="FW75" i="1"/>
  <c r="FW84" i="1"/>
  <c r="FW87" i="1"/>
  <c r="FW108" i="1"/>
  <c r="FW121" i="1"/>
  <c r="FW130" i="1"/>
  <c r="FW134" i="1"/>
  <c r="FW139" i="1"/>
  <c r="FW172" i="1"/>
  <c r="FW185" i="1"/>
  <c r="FW194" i="1"/>
  <c r="FW198" i="1"/>
  <c r="FW193" i="1"/>
  <c r="FW33" i="1"/>
  <c r="FW48" i="1"/>
  <c r="FW65" i="1"/>
  <c r="FW95" i="1"/>
  <c r="FW116" i="1"/>
  <c r="FW129" i="1"/>
  <c r="FW163" i="1"/>
  <c r="FW9" i="1"/>
  <c r="FW22" i="1"/>
  <c r="FW35" i="1"/>
  <c r="FW91" i="1"/>
  <c r="FW103" i="1"/>
  <c r="FW112" i="1"/>
  <c r="FW120" i="1"/>
  <c r="FW124" i="1"/>
  <c r="FW137" i="1"/>
  <c r="FW146" i="1"/>
  <c r="FW150" i="1"/>
  <c r="FW155" i="1"/>
  <c r="FW159" i="1"/>
  <c r="FW168" i="1"/>
  <c r="FW171" i="1"/>
  <c r="FW188" i="1"/>
  <c r="FW34" i="1"/>
  <c r="FW78" i="1"/>
  <c r="FW142" i="1"/>
  <c r="FW180" i="1"/>
  <c r="FW37" i="1"/>
  <c r="FW36" i="1"/>
  <c r="FW19" i="1"/>
  <c r="FW56" i="1"/>
  <c r="FW73" i="1"/>
  <c r="FW82" i="1"/>
  <c r="FW86" i="1"/>
  <c r="FW26" i="1"/>
  <c r="FW39" i="1"/>
  <c r="FW16" i="1"/>
  <c r="FW28" i="1"/>
  <c r="FW44" i="1"/>
  <c r="FW47" i="1"/>
  <c r="FW60" i="1"/>
  <c r="FW64" i="1"/>
  <c r="FW81" i="1"/>
  <c r="FW90" i="1"/>
  <c r="FW94" i="1"/>
  <c r="FW99" i="1"/>
  <c r="FW111" i="1"/>
  <c r="FW128" i="1"/>
  <c r="FW132" i="1"/>
  <c r="FW145" i="1"/>
  <c r="FW154" i="1"/>
  <c r="FW158" i="1"/>
  <c r="FW167" i="1"/>
  <c r="FW176" i="1"/>
  <c r="FW179" i="1"/>
  <c r="FW192" i="1"/>
  <c r="FW6" i="1"/>
  <c r="FW5" i="1"/>
  <c r="FW4" i="1"/>
  <c r="FW3" i="1"/>
  <c r="CK3" i="1" l="1"/>
  <c r="AR3" i="1"/>
  <c r="M65" i="4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I16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F25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F26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I26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I30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1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I33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5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I39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42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<sst xmlns="http://schemas.openxmlformats.org/spreadsheetml/2006/main" count="7002" uniqueCount="2137">
  <si>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</si>
  <si>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</si>
  <si>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</si>
  <si>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</si>
  <si>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</si>
  <si>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</si>
  <si>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</si>
  <si>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</si>
  <si>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</si>
  <si>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</si>
  <si>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</si>
  <si>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</si>
  <si>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</si>
  <si>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</si>
  <si>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</si>
  <si>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</si>
  <si>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</si>
  <si>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</si>
  <si>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</si>
  <si>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</si>
  <si>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</si>
  <si>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</si>
  <si>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</si>
  <si>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</si>
  <si>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</si>
  <si>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</si>
  <si>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</si>
  <si>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</si>
  <si>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</si>
  <si>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</si>
  <si>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</si>
  <si>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</si>
  <si>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</si>
  <si>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</si>
  <si>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</si>
  <si>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</si>
  <si>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</si>
  <si>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</si>
  <si>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</si>
  <si>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</si>
  <si>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</si>
  <si>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</si>
  <si>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</si>
  <si>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</si>
  <si>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</si>
  <si>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</si>
  <si>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</si>
  <si>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</si>
  <si>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</si>
  <si>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</si>
  <si>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</si>
  <si>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</si>
  <si>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</si>
  <si>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</si>
  <si>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</si>
  <si>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</si>
  <si>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</si>
  <si>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</si>
  <si>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</si>
  <si>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</si>
  <si>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</si>
  <si>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</si>
  <si>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</si>
  <si>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</si>
  <si>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</si>
  <si>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</si>
  <si>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</si>
  <si>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</si>
  <si>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</si>
  <si>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</si>
  <si>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</si>
  <si>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</si>
  <si>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</si>
  <si>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</si>
  <si>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</si>
  <si>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</si>
  <si>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</si>
  <si>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</si>
  <si>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</si>
  <si>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</si>
  <si>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</si>
  <si>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</si>
  <si>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</si>
  <si>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</si>
  <si>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</si>
  <si>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</si>
  <si>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</si>
  <si>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</si>
  <si>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</si>
  <si>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</si>
  <si>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</si>
  <si>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</si>
  <si>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</si>
  <si>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</si>
  <si>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</si>
  <si>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</si>
  <si>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</si>
  <si>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</si>
  <si>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</si>
  <si>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</si>
  <si>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</si>
  <si>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</si>
  <si>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layout.jpg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</si>
  <si>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</si>
  <si>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</si>
  <si>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</si>
  <si>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</si>
  <si>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</si>
  <si>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</si>
  <si>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</si>
  <si>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</si>
  <si>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</si>
  <si>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</si>
  <si>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</si>
  <si>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</si>
  <si>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</si>
  <si>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</si>
  <si>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</si>
  <si>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</si>
  <si>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</si>
  <si>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</si>
  <si>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</si>
  <si>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</si>
  <si>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</si>
  <si>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</si>
  <si>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</si>
  <si>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</si>
  <si>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</si>
  <si>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</si>
  <si>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</si>
  <si>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</si>
  <si>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</si>
  <si>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</si>
  <si>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</si>
  <si>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</si>
  <si>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</si>
  <si>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</si>
  <si>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</si>
  <si>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</si>
  <si>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</si>
  <si>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</si>
  <si>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</si>
  <si>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</si>
  <si>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</si>
  <si>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</si>
  <si>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</si>
  <si>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</si>
  <si>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</si>
  <si>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</si>
  <si>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</si>
  <si>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</si>
  <si>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</si>
  <si>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</si>
  <si>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</si>
  <si>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</si>
  <si>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</si>
  <si>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</si>
  <si>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</si>
  <si>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</si>
  <si>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</si>
  <si>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</si>
  <si>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</si>
  <si>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</si>
  <si>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</si>
  <si>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</si>
  <si>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</si>
  <si>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</si>
  <si>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</si>
  <si>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</si>
  <si>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</si>
  <si>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</si>
  <si>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</si>
  <si>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</si>
  <si>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</si>
  <si>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</si>
  <si>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</si>
  <si>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</si>
  <si>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</si>
  <si>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</si>
  <si>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</si>
  <si>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</si>
  <si>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</si>
  <si>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</si>
  <si>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</si>
  <si>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</si>
  <si>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</si>
  <si>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</si>
  <si>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</si>
  <si>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</si>
  <si>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</si>
  <si>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</si>
  <si>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</si>
  <si>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</si>
  <si>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</si>
  <si>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</si>
  <si>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</si>
  <si>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</si>
  <si>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</si>
  <si>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</si>
  <si>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</si>
  <si>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</si>
  <si>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</si>
  <si>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</si>
  <si>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</si>
  <si>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</si>
  <si>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</si>
  <si>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</si>
  <si>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</si>
  <si>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</si>
  <si>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</si>
  <si>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</si>
  <si>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</si>
  <si>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</si>
  <si>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</si>
  <si>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</si>
  <si>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</si>
  <si>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</si>
  <si>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</si>
  <si>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</si>
  <si>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</si>
  <si>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</si>
  <si>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</si>
  <si>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</si>
  <si>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</si>
  <si>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</si>
  <si>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</si>
  <si>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</si>
  <si>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</si>
  <si>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</si>
  <si>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</si>
  <si>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</si>
  <si>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</si>
  <si>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</si>
  <si>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</si>
  <si>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</si>
  <si>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</si>
  <si>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</si>
  <si>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</si>
  <si>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</si>
  <si>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</si>
  <si>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</si>
  <si>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</si>
  <si>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</si>
  <si>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</si>
  <si>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</si>
  <si>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</si>
  <si>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</si>
  <si>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</si>
  <si>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</si>
  <si>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</si>
  <si>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</si>
  <si>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</si>
  <si>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</si>
  <si>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</si>
  <si>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</si>
  <si>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</si>
  <si>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</si>
  <si>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</si>
  <si>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</si>
  <si>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</si>
  <si>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</si>
  <si>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</si>
  <si>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</si>
  <si>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</si>
  <si>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</si>
  <si>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</si>
  <si>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</si>
  <si>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</si>
  <si>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</si>
  <si>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</si>
  <si>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</si>
  <si>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</si>
  <si>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</si>
  <si>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</si>
  <si>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</si>
  <si>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</si>
  <si>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</si>
  <si>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</si>
  <si>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</si>
  <si>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</si>
  <si>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</si>
  <si>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</si>
  <si>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</si>
  <si>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</si>
  <si>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</si>
  <si>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</si>
  <si>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</si>
  <si>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</si>
  <si>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</si>
  <si>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</si>
  <si>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</si>
  <si>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</si>
  <si>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</si>
  <si>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</si>
  <si>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</si>
  <si>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</si>
  <si>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</si>
  <si>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</si>
  <si>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</si>
  <si>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</si>
  <si>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</si>
  <si>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</si>
  <si>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</si>
  <si>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</si>
  <si>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</si>
  <si>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</si>
  <si>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</si>
  <si>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</si>
  <si>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</si>
  <si>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</si>
  <si>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</si>
  <si>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</si>
  <si>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</si>
  <si>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</si>
  <si>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</si>
  <si>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</si>
  <si>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</si>
  <si>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</si>
  <si>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</si>
  <si>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</si>
  <si>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</si>
  <si>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</si>
  <si>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</si>
  <si>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</si>
  <si>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</si>
  <si>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</si>
  <si>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</si>
  <si>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</si>
  <si>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</si>
  <si>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</si>
  <si>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</si>
  <si>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</si>
  <si>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</si>
  <si>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</si>
  <si>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</si>
  <si>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</si>
  <si>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</si>
  <si>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</si>
  <si>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</si>
  <si>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</si>
  <si>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</si>
  <si>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</si>
  <si>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</si>
  <si>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</si>
  <si>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</si>
  <si>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</si>
  <si>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</si>
  <si>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</si>
  <si>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</si>
  <si>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</si>
  <si>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</si>
  <si>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</si>
  <si>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</si>
  <si>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</si>
  <si>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</si>
  <si>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</si>
  <si>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</si>
  <si>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</si>
  <si>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</si>
  <si>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</si>
  <si>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</si>
  <si>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</si>
  <si>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</si>
  <si>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</si>
  <si>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</si>
  <si>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</si>
  <si>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</si>
  <si>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</si>
  <si>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</si>
  <si>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</si>
  <si>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</si>
  <si>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</si>
  <si>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</si>
  <si>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</si>
  <si>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</si>
  <si>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</si>
  <si>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</si>
  <si>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</si>
  <si>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</si>
  <si>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</si>
  <si>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</si>
  <si>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</si>
  <si>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</si>
  <si>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</si>
  <si>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</si>
  <si>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</si>
  <si>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</si>
  <si>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</si>
  <si>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</si>
  <si>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</si>
  <si>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</si>
  <si>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</si>
  <si>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</si>
  <si>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</si>
  <si>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</si>
  <si>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</si>
  <si>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</si>
  <si>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</si>
  <si>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</si>
  <si>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</si>
  <si>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</si>
  <si>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</si>
  <si>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</si>
  <si>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</si>
  <si>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</si>
  <si>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</si>
  <si>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</si>
  <si>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</si>
  <si>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</si>
  <si>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</si>
  <si>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</si>
  <si>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</si>
  <si>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</si>
  <si>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</si>
  <si>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</si>
  <si>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</si>
  <si>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</si>
  <si>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</si>
  <si>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</si>
  <si>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</si>
  <si>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</si>
  <si>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</si>
  <si>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</si>
  <si>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</si>
  <si>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</si>
  <si>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</si>
  <si>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</si>
  <si>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</si>
  <si>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</si>
  <si>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</si>
  <si>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</si>
  <si>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</si>
  <si>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</si>
  <si>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</si>
  <si>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</si>
  <si>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</si>
  <si>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</si>
  <si>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</si>
  <si>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</si>
  <si>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</si>
  <si>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</si>
  <si>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</si>
  <si>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</si>
  <si>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</si>
  <si>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</si>
  <si>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</si>
  <si>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</si>
  <si>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</si>
  <si>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</si>
  <si>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</si>
  <si>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</si>
  <si>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</si>
  <si>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</si>
  <si>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</si>
  <si>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</si>
  <si>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</si>
  <si>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</si>
  <si>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</si>
  <si>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</si>
  <si>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</si>
  <si>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</si>
  <si>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</si>
  <si>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</si>
  <si>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</si>
  <si>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</si>
  <si>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</si>
  <si>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</si>
  <si>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</si>
  <si>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</si>
  <si>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</si>
  <si>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</si>
  <si>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</si>
  <si>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</si>
  <si>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</si>
  <si>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</si>
  <si>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</si>
  <si>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</si>
  <si>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</si>
  <si>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</si>
  <si>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</si>
  <si>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</si>
  <si>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</si>
  <si>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</si>
  <si>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</si>
  <si>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</si>
  <si>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</si>
  <si>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</si>
  <si>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</si>
  <si>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</si>
  <si>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</si>
  <si>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</si>
  <si>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</si>
  <si>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</si>
  <si>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</si>
  <si>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</si>
  <si>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</si>
  <si>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</si>
  <si>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</si>
  <si>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</si>
  <si>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</si>
  <si>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</si>
  <si>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</si>
  <si>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</si>
  <si>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</si>
  <si>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</si>
  <si>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</si>
  <si>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</si>
  <si>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</si>
  <si>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</si>
  <si>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</si>
  <si>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</si>
  <si>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</si>
  <si>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</si>
  <si>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</si>
  <si>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</si>
  <si>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</si>
  <si>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</si>
  <si>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</si>
  <si>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</si>
  <si>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</si>
  <si>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</si>
  <si>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</si>
  <si>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</si>
  <si>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</si>
  <si>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</si>
  <si>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</si>
  <si>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</si>
  <si>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</si>
  <si>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</si>
  <si>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</si>
  <si>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</si>
  <si>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</si>
  <si>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</si>
  <si>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</si>
  <si>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</si>
  <si>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</si>
  <si>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</si>
  <si>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</si>
  <si>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</si>
  <si>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</si>
  <si>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</si>
  <si>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</si>
  <si>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</si>
  <si>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</si>
  <si>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</si>
  <si>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</si>
  <si>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</si>
  <si>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</si>
  <si>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</si>
  <si>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</si>
  <si>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</si>
  <si>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</si>
  <si>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</si>
  <si>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</si>
  <si>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</si>
  <si>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</si>
  <si>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</si>
  <si>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</si>
  <si>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</si>
  <si>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</si>
  <si>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</si>
  <si>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</si>
  <si>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</si>
  <si>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</si>
  <si>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</si>
  <si>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</si>
  <si>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</si>
  <si>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</si>
  <si>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</si>
  <si>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</si>
  <si>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</si>
  <si>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</si>
  <si>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</si>
  <si>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</si>
  <si>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</si>
  <si>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</si>
  <si>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</si>
  <si>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</si>
  <si>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</si>
  <si>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</si>
  <si>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</si>
  <si>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</si>
  <si>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</si>
  <si>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</si>
  <si>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</si>
  <si>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</si>
  <si>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</si>
  <si>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</si>
  <si>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</si>
  <si>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</si>
  <si>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</si>
  <si>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</si>
  <si>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</si>
  <si>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</si>
  <si>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</si>
  <si>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</si>
  <si>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</si>
  <si>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</si>
  <si>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</si>
  <si>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</si>
  <si>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</si>
  <si>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</si>
  <si>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</si>
  <si>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</si>
  <si>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</si>
  <si>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</si>
  <si>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</si>
  <si>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</si>
  <si>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</si>
  <si>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</si>
  <si>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</si>
  <si>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</si>
  <si>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</si>
  <si>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</si>
  <si>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</si>
  <si>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</si>
  <si>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</si>
  <si>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</si>
  <si>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</si>
  <si>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</si>
  <si>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</si>
  <si>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</si>
  <si>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</si>
  <si>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</si>
  <si>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</si>
  <si>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</si>
  <si>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</si>
  <si>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</si>
  <si>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</si>
  <si>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</si>
  <si>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</si>
  <si>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</si>
  <si>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</si>
  <si>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</si>
  <si>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</si>
  <si>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</si>
  <si>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</si>
  <si>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</si>
  <si>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</si>
  <si>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</si>
  <si>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</si>
  <si>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</si>
  <si>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</si>
  <si>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</si>
  <si>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</si>
  <si>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</si>
  <si>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</si>
  <si>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</si>
  <si>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</si>
  <si>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</si>
  <si>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</si>
  <si>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</si>
  <si>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</si>
  <si>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</si>
  <si>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</si>
  <si>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</si>
  <si>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</si>
  <si>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</si>
  <si>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</si>
  <si>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</si>
  <si>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</si>
  <si>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</si>
  <si>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</si>
  <si>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</si>
  <si>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</si>
  <si>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</si>
  <si>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</si>
  <si>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</si>
  <si>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</si>
  <si>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</si>
  <si>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</si>
  <si>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</si>
  <si>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</si>
  <si>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</si>
  <si>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</si>
  <si>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</si>
  <si>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</si>
  <si>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</si>
  <si>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</si>
  <si>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</si>
  <si>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</si>
  <si>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</si>
  <si>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</si>
  <si>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</si>
  <si>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</si>
  <si>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</si>
  <si>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</si>
  <si>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</si>
  <si>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</si>
  <si>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</si>
  <si>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</si>
  <si>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</si>
  <si>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</si>
  <si>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</si>
  <si>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</si>
  <si>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</si>
  <si>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</si>
  <si>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</si>
  <si>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</si>
  <si>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</si>
  <si>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</si>
  <si>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</si>
  <si>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</si>
  <si>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</si>
  <si>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</si>
  <si>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</si>
  <si>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</si>
  <si>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</si>
  <si>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</si>
  <si>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</si>
  <si>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</si>
  <si>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</si>
  <si>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</si>
  <si>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</si>
  <si>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</si>
  <si>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</si>
  <si>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</si>
  <si>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</si>
  <si>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</si>
  <si>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</si>
  <si>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</si>
  <si>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</si>
  <si>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</si>
  <si>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</si>
  <si>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</si>
  <si>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</si>
  <si>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</si>
  <si>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</si>
  <si>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</si>
  <si>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</si>
  <si>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</si>
  <si>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</si>
  <si>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</si>
  <si>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</si>
  <si>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</si>
  <si>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</si>
  <si>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</si>
  <si>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</si>
  <si>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</si>
  <si>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</si>
  <si>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</si>
  <si>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</si>
  <si>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</si>
  <si>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</si>
  <si>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</si>
  <si>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</si>
  <si>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</si>
  <si>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</si>
  <si>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</si>
  <si>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</si>
  <si>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</si>
  <si>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</si>
  <si>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</si>
  <si>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</si>
  <si>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</si>
  <si>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</si>
  <si>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</si>
  <si>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</si>
  <si>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</si>
  <si>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</si>
  <si>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</si>
  <si>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</si>
  <si>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</si>
  <si>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</si>
  <si>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</si>
  <si>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</si>
  <si>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</si>
  <si>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</si>
  <si>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</si>
  <si>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</si>
  <si>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</si>
  <si>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</si>
  <si>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</si>
  <si>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</si>
  <si>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</si>
  <si>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</si>
  <si>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</si>
  <si>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</si>
  <si>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</si>
  <si>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</si>
  <si>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</si>
  <si>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</si>
  <si>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</si>
  <si>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</si>
  <si>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</si>
  <si>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</si>
  <si>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</si>
  <si>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</si>
  <si>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</si>
  <si>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</si>
  <si>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</si>
  <si>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</si>
  <si>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</si>
  <si>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</si>
  <si>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</si>
  <si>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</si>
  <si>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</si>
  <si>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</si>
  <si>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</si>
  <si>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</si>
  <si>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</si>
  <si>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</si>
  <si>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</si>
  <si>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</si>
  <si>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</si>
  <si>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</si>
  <si>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</si>
  <si>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</si>
  <si>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</si>
  <si>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</si>
  <si>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</si>
  <si>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</si>
  <si>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</si>
  <si>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</si>
  <si>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</si>
  <si>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</si>
  <si>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</si>
  <si>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</si>
  <si>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</si>
  <si>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</si>
  <si>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</si>
  <si>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</si>
  <si>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</si>
  <si>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</si>
  <si>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</si>
  <si>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</si>
  <si>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</si>
  <si>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</si>
  <si>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</si>
  <si>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</si>
  <si>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</si>
  <si>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</si>
  <si>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</si>
  <si>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</si>
  <si>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</si>
  <si>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</si>
  <si>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</si>
  <si>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</si>
  <si>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</si>
  <si>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</si>
  <si>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</si>
  <si>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</si>
  <si>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</si>
  <si>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</si>
  <si>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</si>
  <si>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</si>
  <si>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</si>
  <si>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</si>
  <si>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</si>
  <si>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</si>
  <si>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</si>
  <si>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</si>
  <si>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</si>
  <si>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</si>
  <si>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</si>
  <si>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</si>
  <si>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</si>
  <si>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</si>
  <si>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</si>
  <si>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</si>
  <si>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</si>
  <si>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</si>
  <si>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</si>
  <si>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</si>
  <si>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</si>
  <si>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</si>
  <si>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</si>
  <si>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</si>
  <si>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</si>
  <si>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</si>
  <si>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</si>
  <si>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</si>
  <si>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</si>
  <si>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</si>
  <si>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</si>
  <si>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</si>
  <si>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</si>
  <si>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</si>
  <si>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</si>
  <si>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</si>
  <si>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</si>
  <si>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</si>
  <si>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</si>
  <si>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</si>
  <si>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</si>
  <si>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</si>
  <si>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</si>
  <si>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</si>
  <si>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</si>
  <si>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</si>
  <si>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</si>
  <si>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</si>
  <si>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</si>
  <si>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</si>
  <si>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</si>
  <si>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</si>
  <si>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</si>
  <si>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</si>
  <si>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</si>
  <si>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</si>
  <si>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</si>
  <si>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</si>
  <si>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</si>
  <si>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</si>
  <si>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</si>
  <si>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</si>
  <si>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</si>
  <si>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</si>
  <si>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</si>
  <si>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</si>
  <si>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</si>
  <si>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</si>
  <si>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</si>
  <si>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</si>
  <si>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</si>
  <si>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</si>
  <si>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</si>
  <si>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</si>
  <si>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</si>
  <si>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</si>
  <si>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</si>
  <si>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</si>
  <si>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</si>
  <si>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</si>
  <si>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</si>
  <si>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</si>
  <si>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</si>
  <si>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</si>
  <si>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</si>
  <si>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</si>
  <si>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</si>
  <si>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</si>
  <si>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</si>
  <si>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</si>
  <si>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</si>
  <si>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</si>
  <si>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</si>
  <si>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</si>
  <si>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</si>
  <si>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</si>
  <si>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</si>
  <si>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</si>
  <si>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</si>
  <si>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</si>
  <si>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</si>
  <si>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</si>
  <si>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</si>
  <si>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</si>
  <si>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</si>
  <si>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</si>
  <si>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</si>
  <si>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</si>
  <si>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</si>
  <si>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</si>
  <si>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</si>
  <si>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</si>
  <si>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</si>
  <si>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</si>
  <si>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</si>
  <si>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</si>
  <si>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</si>
  <si>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</si>
  <si>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</si>
  <si>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</si>
  <si>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</si>
  <si>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</si>
  <si>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</si>
  <si>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</si>
  <si>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</si>
  <si>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</si>
  <si>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</si>
  <si>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</si>
  <si>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</si>
  <si>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</si>
  <si>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</si>
  <si>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</si>
  <si>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</si>
  <si>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</si>
  <si>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</si>
  <si>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</si>
  <si>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</si>
  <si>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</si>
  <si>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</si>
  <si>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</si>
  <si>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</si>
  <si>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</si>
  <si>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</si>
  <si>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</si>
  <si>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</si>
  <si>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</si>
  <si>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</si>
  <si>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</si>
  <si>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</si>
  <si>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</si>
  <si>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</si>
  <si>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</si>
  <si>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</si>
  <si>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</si>
  <si>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</si>
  <si>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</si>
  <si>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</si>
  <si>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</si>
  <si>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</si>
  <si>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</si>
  <si>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</si>
  <si>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</si>
  <si>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</si>
  <si>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</si>
  <si>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</si>
  <si>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</si>
  <si>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</si>
  <si>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</si>
  <si>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</si>
  <si>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</si>
  <si>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</si>
  <si>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</si>
  <si>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</si>
  <si>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</si>
  <si>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</si>
  <si>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</si>
  <si>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</si>
  <si>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</si>
  <si>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</si>
  <si>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</si>
  <si>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</si>
  <si>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</si>
  <si>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</si>
  <si>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</si>
  <si>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</si>
  <si>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</si>
  <si>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</si>
  <si>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</si>
  <si>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</si>
  <si>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</si>
  <si>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</si>
  <si>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</si>
  <si>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</si>
  <si>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</si>
  <si>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</si>
  <si>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</si>
  <si>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</si>
  <si>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</si>
  <si>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</si>
  <si>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</si>
  <si>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</si>
  <si>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</si>
  <si>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</si>
  <si>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</si>
  <si>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</si>
  <si>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</si>
  <si>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</si>
  <si>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</si>
  <si>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</si>
  <si>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</si>
  <si>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</si>
  <si>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</si>
  <si>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</si>
  <si>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</si>
  <si>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</si>
  <si>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</si>
  <si>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</si>
  <si>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</si>
  <si>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</si>
  <si>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</si>
  <si>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</si>
  <si>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</si>
  <si>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</si>
  <si>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</si>
  <si>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</si>
  <si>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</si>
  <si>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</si>
  <si>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</si>
  <si>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</si>
  <si>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</si>
  <si>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</si>
  <si>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</si>
  <si>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</si>
  <si>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</si>
  <si>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</si>
  <si>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</si>
  <si>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</si>
  <si>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</si>
  <si>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</si>
  <si>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</si>
  <si>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</si>
  <si>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</si>
  <si>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</si>
  <si>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</si>
  <si>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</si>
  <si>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</si>
  <si>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</si>
  <si>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</si>
  <si>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</si>
  <si>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</si>
  <si>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</si>
  <si>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</si>
  <si>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</si>
  <si>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</si>
  <si>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</si>
  <si>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</si>
  <si>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</si>
  <si>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</si>
  <si>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</si>
  <si>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</si>
  <si>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</si>
  <si>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</si>
  <si>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</si>
  <si>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</si>
  <si>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</si>
  <si>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</si>
  <si>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</si>
  <si>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</si>
  <si>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</si>
  <si>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</si>
  <si>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</si>
  <si>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</si>
  <si>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</si>
  <si>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</si>
  <si>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</si>
  <si>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</si>
  <si>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</si>
  <si>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</si>
  <si>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</si>
  <si>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</si>
  <si>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</si>
  <si>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</si>
  <si>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</si>
  <si>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</si>
  <si>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</si>
  <si>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</si>
  <si>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</si>
  <si>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</si>
  <si>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</si>
  <si>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</si>
  <si>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</si>
  <si>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</si>
  <si>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</si>
  <si>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</si>
  <si>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</si>
  <si>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</si>
  <si>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</si>
  <si>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</si>
  <si>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</si>
  <si>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</si>
  <si>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</si>
  <si>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</si>
  <si>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</si>
  <si>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</si>
  <si>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</si>
  <si>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</si>
  <si>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</si>
  <si>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</si>
  <si>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</si>
  <si>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</si>
  <si>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</si>
  <si>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</si>
  <si>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</si>
  <si>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</si>
  <si>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</si>
  <si>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</si>
  <si>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</si>
  <si>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</si>
  <si>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</si>
  <si>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</si>
  <si>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</si>
  <si>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</si>
  <si>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</si>
  <si>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</si>
  <si>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</si>
  <si>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</si>
  <si>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</si>
  <si>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</si>
  <si>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</si>
  <si>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</si>
  <si>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</si>
  <si>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</si>
  <si>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</si>
  <si>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</si>
  <si>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</si>
  <si>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</si>
  <si>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</si>
  <si>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</si>
  <si>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</si>
  <si>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</si>
  <si>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</si>
  <si>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</si>
  <si>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</si>
  <si>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</si>
  <si>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</si>
  <si>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</si>
  <si>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</si>
  <si>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</si>
  <si>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</si>
  <si>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</si>
  <si>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</si>
  <si>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</si>
  <si>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</si>
  <si>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</si>
  <si>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</si>
  <si>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</si>
  <si>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</si>
  <si>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</si>
  <si>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</si>
  <si>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</si>
  <si>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</si>
  <si>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</si>
  <si>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</si>
  <si>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</si>
  <si>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</si>
  <si>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</si>
  <si>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</si>
  <si>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</si>
  <si>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</si>
  <si>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</si>
  <si>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</si>
  <si>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</si>
  <si>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</si>
  <si>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</si>
  <si>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</si>
  <si>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</si>
  <si>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</si>
  <si>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</si>
  <si>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</si>
  <si>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</si>
  <si>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</si>
  <si>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</si>
  <si>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</si>
  <si>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</si>
  <si>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</si>
  <si>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</si>
  <si>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</si>
  <si>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</si>
  <si>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</si>
  <si>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</si>
  <si>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</si>
  <si>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</si>
  <si>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</si>
  <si>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</si>
  <si>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</si>
  <si>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</si>
  <si>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</si>
  <si>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</si>
  <si>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</si>
  <si>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</si>
  <si>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</si>
  <si>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</si>
  <si>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</si>
  <si>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</si>
  <si>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</si>
  <si>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</si>
  <si>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</si>
  <si>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</si>
  <si>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</si>
  <si>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</si>
  <si>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</si>
  <si>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</si>
  <si>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</si>
  <si>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</si>
  <si>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</si>
  <si>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</si>
  <si>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</si>
  <si>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</si>
  <si>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</si>
  <si>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</si>
  <si>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</si>
  <si>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</si>
  <si>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</si>
  <si>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</si>
  <si>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</si>
  <si>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</si>
  <si>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</si>
  <si>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</si>
  <si>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</si>
  <si>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</si>
  <si>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</si>
  <si>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</si>
  <si>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</si>
  <si>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</si>
  <si>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</si>
  <si>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</si>
  <si>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</si>
  <si>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</si>
  <si>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</si>
  <si>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</si>
  <si>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</si>
  <si>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</si>
  <si>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</si>
  <si>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</si>
  <si>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</si>
  <si>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</si>
  <si>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</si>
  <si>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</si>
  <si>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</si>
  <si>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</si>
  <si>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</si>
  <si>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</si>
  <si>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</si>
  <si>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</si>
  <si>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</si>
  <si>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</si>
  <si>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</si>
  <si>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</si>
  <si>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</si>
  <si>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</si>
  <si>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</si>
  <si>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</si>
  <si>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</si>
  <si>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</si>
  <si>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</si>
  <si>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</si>
  <si>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</si>
  <si>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</si>
  <si>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</si>
  <si>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</si>
  <si>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</si>
  <si>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</si>
  <si>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</si>
  <si>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</si>
  <si>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</si>
  <si>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</si>
  <si>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</si>
  <si>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</si>
  <si>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</si>
  <si>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</si>
  <si>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</si>
  <si>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</si>
  <si>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</si>
  <si>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</si>
  <si>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</si>
  <si>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</si>
  <si>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</si>
  <si>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</si>
  <si>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</si>
  <si>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</si>
  <si>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</si>
  <si>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</si>
  <si>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</si>
  <si>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</si>
  <si>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</si>
  <si>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</si>
  <si>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</si>
  <si>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</si>
  <si>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</si>
  <si>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</si>
  <si>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</si>
  <si>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</si>
  <si>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</si>
  <si>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</si>
  <si>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</si>
  <si>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</si>
  <si>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</si>
  <si>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</si>
  <si>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</si>
  <si>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</si>
  <si>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</si>
  <si>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</si>
  <si>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</si>
  <si>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</si>
  <si>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</si>
  <si>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</si>
  <si>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</si>
  <si>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</si>
  <si>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</si>
  <si>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</si>
  <si>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</si>
  <si>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</si>
  <si>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</si>
  <si>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</si>
  <si>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</si>
  <si>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</si>
  <si>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</si>
  <si>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</si>
  <si>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</si>
  <si>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</si>
  <si>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</si>
  <si>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</si>
  <si>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</si>
  <si>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</si>
  <si>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</si>
  <si>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</si>
  <si>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</si>
  <si>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</si>
  <si>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</si>
  <si>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</si>
  <si>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</si>
  <si>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</si>
  <si>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</si>
  <si>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</si>
  <si>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</si>
  <si>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</si>
  <si>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</si>
  <si>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</si>
  <si>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</si>
  <si>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</si>
  <si>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</si>
  <si>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</si>
  <si>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</si>
  <si>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</si>
  <si>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</si>
  <si>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</si>
  <si>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</si>
  <si>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</si>
  <si>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</si>
  <si>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</si>
  <si>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</si>
  <si>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</si>
  <si>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</si>
  <si>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</si>
  <si>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</si>
  <si>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</si>
  <si>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</si>
  <si>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</si>
  <si>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</si>
  <si>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</si>
  <si>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</si>
  <si>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</si>
  <si>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</si>
  <si>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</si>
  <si>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</si>
  <si>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</si>
  <si>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</si>
  <si>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</si>
  <si>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</si>
  <si>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</si>
  <si>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</si>
  <si>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</si>
  <si>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</si>
  <si>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</si>
  <si>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</si>
  <si>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</si>
  <si>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</si>
  <si>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</si>
  <si>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</si>
  <si>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</si>
  <si>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</si>
  <si>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</si>
  <si>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</si>
  <si>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</si>
  <si>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</si>
  <si>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</si>
  <si>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</si>
  <si>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</si>
  <si>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</si>
  <si>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</si>
  <si>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</si>
  <si>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</si>
  <si>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</si>
  <si>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</si>
  <si>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</si>
  <si>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</si>
  <si>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</si>
  <si>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</si>
  <si>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</si>
  <si>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</si>
  <si>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</si>
  <si>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</si>
  <si>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</si>
  <si>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</si>
  <si>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</si>
  <si>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</si>
  <si>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</si>
  <si>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</si>
  <si>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</si>
  <si>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</si>
  <si>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</si>
  <si>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</si>
  <si>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</si>
  <si>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</si>
  <si>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</si>
  <si>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</si>
  <si>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</si>
  <si>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</si>
  <si>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</si>
  <si>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</si>
  <si>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</si>
  <si>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</si>
  <si>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</si>
  <si>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</si>
  <si>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</si>
  <si>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</si>
  <si>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</si>
  <si>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</si>
  <si>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</si>
  <si>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</si>
  <si>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</si>
  <si>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</si>
  <si>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</si>
  <si>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</si>
  <si>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</si>
  <si>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</si>
  <si>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</si>
  <si>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</si>
  <si>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</si>
  <si>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</si>
  <si>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</si>
  <si>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</si>
  <si>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</si>
  <si>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</si>
  <si>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</si>
  <si>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</si>
  <si>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</si>
  <si>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</si>
  <si>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</si>
  <si>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</si>
  <si>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</si>
  <si>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</si>
  <si>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</si>
  <si>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</si>
  <si>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</si>
  <si>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</si>
  <si>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</si>
  <si>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</si>
  <si>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</si>
  <si>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</si>
  <si>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</si>
  <si>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</si>
  <si>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</si>
  <si>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</si>
  <si>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</si>
  <si>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</si>
  <si>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</si>
  <si>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</si>
  <si>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</si>
  <si>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</si>
  <si>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</si>
  <si>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</si>
  <si>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</si>
  <si>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</si>
  <si>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</si>
  <si>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</si>
  <si>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</si>
  <si>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</si>
  <si>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</si>
  <si>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</si>
  <si>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</si>
  <si>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</si>
  <si>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</si>
  <si>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</si>
  <si>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</si>
  <si>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</si>
  <si>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</si>
  <si>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</si>
  <si>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</si>
  <si>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</si>
  <si>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</si>
  <si>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</si>
  <si>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</si>
  <si>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</si>
  <si>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</si>
  <si>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</si>
  <si>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</si>
  <si>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</si>
  <si>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</si>
  <si>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</si>
  <si>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</si>
  <si>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</si>
  <si>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</si>
  <si>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</si>
  <si>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</si>
  <si>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</si>
  <si>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</si>
  <si>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</si>
  <si>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</si>
  <si>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</si>
  <si>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</si>
  <si>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</si>
  <si>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</si>
  <si>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</si>
  <si>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</si>
  <si>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</si>
  <si>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</si>
  <si>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</si>
  <si>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</si>
  <si>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</si>
  <si>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</si>
  <si>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</si>
  <si>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</si>
  <si>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</si>
  <si>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</si>
  <si>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</si>
  <si>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</si>
  <si>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</si>
  <si>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</si>
  <si>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</si>
  <si>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</si>
  <si>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</si>
  <si>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</si>
  <si>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</si>
  <si>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</si>
  <si>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</si>
  <si>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</si>
  <si>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</si>
  <si>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</si>
  <si>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</si>
  <si>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</si>
  <si>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</si>
  <si>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</si>
  <si>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</si>
  <si>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</si>
  <si>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</si>
  <si>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</si>
  <si>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</si>
  <si>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</si>
  <si>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</si>
  <si>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</si>
  <si>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</si>
  <si>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</si>
  <si>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</si>
  <si>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</si>
  <si>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</si>
  <si>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</si>
  <si>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</si>
  <si>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</si>
  <si>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</si>
  <si>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</si>
  <si>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</si>
  <si>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</si>
  <si>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</si>
  <si>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</si>
  <si>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</si>
  <si>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</si>
  <si>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</si>
  <si>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</si>
  <si>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</si>
  <si>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</si>
  <si>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</si>
  <si>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</si>
  <si>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</si>
  <si>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</si>
  <si>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</si>
  <si>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</si>
  <si>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</si>
  <si>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</si>
  <si>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</si>
  <si>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</si>
  <si>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</si>
  <si>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</si>
  <si>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</si>
  <si>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</si>
  <si>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</si>
  <si>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</si>
  <si>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</si>
  <si>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</si>
  <si>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</si>
  <si>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</si>
  <si>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</si>
  <si>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</si>
  <si>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</si>
  <si>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</si>
  <si>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</si>
  <si>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</si>
  <si>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</si>
  <si>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</si>
  <si>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</si>
  <si>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</si>
  <si>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</si>
  <si>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</si>
  <si>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</si>
  <si>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</si>
  <si>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</si>
  <si>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</si>
  <si>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</si>
  <si>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</si>
  <si>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</si>
  <si>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</si>
  <si>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</si>
  <si>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</si>
  <si>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</si>
  <si>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</si>
  <si>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</si>
  <si>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</si>
  <si>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</si>
  <si>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</si>
  <si>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</si>
  <si>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</si>
  <si>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</si>
  <si>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</si>
  <si>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</si>
  <si>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</si>
  <si>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</si>
  <si>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</si>
  <si>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</si>
  <si>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</si>
  <si>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</si>
  <si>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</si>
  <si>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</si>
  <si>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</si>
  <si>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</si>
  <si>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</si>
  <si>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</si>
  <si>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</si>
  <si>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</si>
  <si>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</si>
  <si>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</si>
  <si>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</si>
  <si>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</si>
  <si>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</si>
  <si>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</si>
  <si>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</si>
  <si>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</si>
  <si>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</si>
  <si>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</si>
  <si>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</si>
  <si>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</si>
  <si>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</si>
  <si>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</si>
  <si>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</si>
  <si>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</si>
  <si>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</si>
  <si>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</si>
  <si>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</si>
  <si>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</si>
  <si>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</si>
  <si>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</si>
  <si>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</si>
  <si>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</si>
  <si>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</si>
  <si>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</si>
  <si>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</si>
  <si>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</si>
  <si>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</si>
  <si>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</si>
  <si>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</si>
  <si>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</si>
  <si>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</si>
  <si>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</si>
  <si>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</si>
  <si>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</si>
  <si>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</si>
  <si>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</si>
  <si>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</si>
  <si>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</si>
  <si>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</si>
  <si>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</si>
  <si>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</si>
  <si>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</si>
  <si>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</si>
  <si>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</si>
  <si>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</si>
  <si>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</si>
  <si>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</si>
  <si>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</si>
  <si>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</si>
  <si>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</si>
  <si>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</si>
  <si>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</si>
  <si>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</si>
  <si>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</si>
  <si>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</si>
  <si>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</si>
  <si>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</si>
  <si>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</si>
  <si>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</si>
  <si>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</si>
  <si>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</si>
  <si>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</si>
  <si>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</si>
  <si>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</si>
  <si>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</si>
  <si>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</si>
  <si>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</si>
  <si>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</si>
  <si>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</si>
  <si>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</si>
  <si>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</si>
  <si>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</si>
  <si>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</si>
  <si>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</si>
  <si>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</si>
  <si>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</si>
  <si>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</si>
  <si>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</si>
  <si>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</si>
  <si>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</si>
  <si>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</si>
  <si>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</si>
  <si>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</si>
  <si>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</si>
  <si>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</si>
  <si>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</si>
  <si>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</si>
  <si>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</si>
  <si>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</si>
  <si>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</si>
  <si>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</si>
  <si>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</si>
  <si>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</si>
  <si>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</si>
  <si>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</si>
  <si>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</si>
  <si>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</si>
  <si>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</si>
  <si>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</si>
  <si>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</si>
  <si>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</si>
  <si>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</si>
  <si>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</si>
  <si>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</si>
  <si>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</si>
  <si>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</si>
  <si>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</si>
  <si>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</si>
  <si>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</si>
  <si>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</si>
  <si>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</si>
  <si>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</si>
  <si>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</si>
  <si>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</si>
  <si>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</si>
  <si>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</si>
  <si>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A 6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</si>
  <si>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</si>
  <si>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</si>
  <si>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</si>
  <si>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</si>
  <si>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</si>
  <si>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</si>
  <si>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</si>
  <si>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</si>
  <si>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</si>
  <si>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</si>
  <si>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</si>
  <si>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</si>
  <si>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</si>
  <si>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</si>
  <si>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</si>
  <si>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</si>
  <si>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</si>
  <si>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</si>
  <si>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</si>
  <si>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</si>
  <si>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</si>
  <si>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</si>
  <si>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</si>
  <si>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</si>
  <si>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</si>
  <si>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</si>
  <si>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</si>
  <si>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</si>
  <si>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</si>
  <si>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</si>
  <si>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</si>
  <si>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</si>
  <si>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</si>
  <si>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</si>
  <si>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</si>
  <si>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</si>
  <si>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</si>
  <si>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</si>
  <si>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</si>
  <si>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</si>
  <si>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</si>
  <si>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</si>
  <si>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</si>
  <si>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</si>
  <si>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</si>
  <si>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</si>
  <si>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</si>
  <si>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</si>
  <si>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</si>
  <si>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</si>
  <si>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</si>
  <si>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</si>
  <si>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</si>
  <si>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</si>
  <si>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</si>
  <si>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</si>
  <si>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</si>
  <si>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</si>
  <si>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</si>
  <si>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</si>
  <si>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</si>
  <si>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</si>
  <si>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</si>
  <si>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</si>
  <si>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</si>
  <si>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</si>
  <si>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</si>
  <si>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</si>
  <si>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</si>
  <si>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</si>
  <si>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</si>
  <si>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</si>
  <si>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</si>
  <si>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</si>
  <si>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</si>
  <si>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</si>
  <si>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</si>
  <si>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</si>
  <si>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</si>
  <si>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</si>
  <si>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</si>
  <si>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</si>
  <si>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</si>
  <si>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</si>
  <si>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</si>
  <si>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</si>
  <si>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</si>
  <si>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</si>
  <si>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</si>
  <si>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</si>
  <si>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</si>
  <si>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</si>
  <si>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</si>
  <si>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</si>
  <si>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</si>
  <si>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</si>
  <si>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</si>
  <si>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</si>
  <si>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</si>
  <si>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</si>
  <si>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</si>
  <si>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</si>
  <si>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</si>
  <si>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</si>
  <si>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</si>
  <si>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</si>
  <si>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</si>
  <si>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</si>
  <si>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</si>
  <si>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</si>
  <si>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</si>
  <si>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</si>
  <si>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</si>
  <si>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</si>
  <si>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</si>
  <si>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</si>
  <si>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</si>
  <si>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</si>
  <si>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</si>
  <si>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</si>
  <si>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</si>
  <si>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</si>
  <si>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</si>
  <si>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</si>
  <si>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</si>
  <si>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</si>
  <si>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</si>
  <si>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</si>
  <si>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</si>
  <si>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</si>
  <si>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</si>
  <si>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</si>
  <si>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</si>
  <si>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</si>
  <si>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</si>
  <si>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</si>
  <si>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B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</si>
  <si>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</si>
  <si>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</si>
  <si>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</si>
  <si>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</si>
  <si>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</si>
  <si>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</si>
  <si>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</si>
  <si>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</si>
  <si>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</si>
  <si>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</si>
  <si>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</si>
  <si>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</si>
  <si>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</si>
  <si>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</si>
  <si>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</si>
  <si>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</si>
  <si>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</si>
  <si>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</si>
  <si>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</si>
  <si>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</si>
  <si>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</si>
  <si>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colindancias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</si>
  <si>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</si>
  <si>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</si>
  <si>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</si>
  <si>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</si>
  <si>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</si>
  <si>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</si>
  <si>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</si>
  <si>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</si>
  <si>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</si>
  <si>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</si>
  <si>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</si>
  <si>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</si>
  <si>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</si>
  <si>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</si>
  <si>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</si>
  <si>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</si>
  <si>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</si>
  <si>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</si>
  <si>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</si>
  <si>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</si>
  <si>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</si>
  <si>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</si>
  <si>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</si>
  <si>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</si>
  <si>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</si>
  <si>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</si>
  <si>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</si>
  <si>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</si>
  <si>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</si>
  <si>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</si>
  <si>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</si>
  <si>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</si>
  <si>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</si>
  <si>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</si>
  <si>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</si>
  <si>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</si>
  <si>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</si>
  <si>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</si>
  <si>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</si>
  <si>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</si>
  <si>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</si>
  <si>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</si>
  <si>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</si>
  <si>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</si>
  <si>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</si>
  <si>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AUXILIAR ADMINISTRATIVO</t>
  </si>
  <si>
    <t>GENARO HERNANDEZ ARROYO</t>
  </si>
  <si>
    <t>LIMPIEZA</t>
  </si>
  <si>
    <t>ANDREA GALICIA MOLINA</t>
  </si>
  <si>
    <t>DESPACHADOR</t>
  </si>
  <si>
    <t>LUIS ADRIAN RUPERTO FUENTES</t>
  </si>
  <si>
    <t>MARCO ANTONIO MADERO</t>
  </si>
  <si>
    <t>YAMIL OMAR DIB MORA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</si>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</sst>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8"/>
      <color rgb="FF1212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  <xf numFmtId="0" fontId="10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</cellXfs>
  <cellStyles count="2">
    <cellStyle name="Hipervínculo" xfId="1" builtinId="8"/>
    <cellStyle name="Normal" xfId="0" builtinId="0"/>
  </cellStyles>
  <dxfs count="41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5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26" Type="http://schemas.openxmlformats.org/officeDocument/2006/relationships/hyperlink" Target="mailto:mariamagdalena.tequitlalpan@bbva.com" TargetMode="External"/><Relationship Id="rId39" Type="http://schemas.openxmlformats.org/officeDocument/2006/relationships/ctrlProp" Target="../ctrlProps/ctrlProp1.xm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hyperlink" Target="mailto:estacioncuetzalan2@gmail.com" TargetMode="External"/><Relationship Id="rId7" Type="http://schemas.openxmlformats.org/officeDocument/2006/relationships/hyperlink" Target="mailto:angeles@grupoempresarialpb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0" Type="http://schemas.openxmlformats.org/officeDocument/2006/relationships/hyperlink" Target="mailto:hugoroberto.tellez@bbva.com" TargetMode="External"/><Relationship Id="rId29" Type="http://schemas.openxmlformats.org/officeDocument/2006/relationships/hyperlink" Target="mailto:cristobal.medina.1@bbva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drawing" Target="../drawings/drawing1.xml"/><Relationship Id="rId40" Type="http://schemas.openxmlformats.org/officeDocument/2006/relationships/comments" Target="../comments1.xml"/><Relationship Id="rId5" Type="http://schemas.openxmlformats.org/officeDocument/2006/relationships/hyperlink" Target="mailto:sramirez@cegeu.org.mx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10" Type="http://schemas.openxmlformats.org/officeDocument/2006/relationships/hyperlink" Target="mailto:domingoarenas11079@gmail.com" TargetMode="External"/><Relationship Id="rId19" Type="http://schemas.openxmlformats.org/officeDocument/2006/relationships/hyperlink" Target="mailto:adriana.perez.martinez@bbva.com" TargetMode="External"/><Relationship Id="rId31" Type="http://schemas.openxmlformats.org/officeDocument/2006/relationships/hyperlink" Target="mailto:anabel_ronquilloh@gmail.com" TargetMode="Externa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8" Type="http://schemas.openxmlformats.org/officeDocument/2006/relationships/hyperlink" Target="mailto:cabana@grupoempresarialpb.com" TargetMode="External"/><Relationship Id="rId3" Type="http://schemas.openxmlformats.org/officeDocument/2006/relationships/hyperlink" Target="mailto:fsca34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J201"/>
  <sheetViews>
    <sheetView workbookViewId="0">
      <pane xSplit="4" ySplit="2" topLeftCell="E50" activePane="bottomRight" state="frozen"/>
      <selection pane="topRight" activeCell="E1" sqref="E1"/>
      <selection pane="bottomLeft" activeCell="A3" sqref="A3"/>
      <selection pane="bottomRight" activeCell="J55" sqref="J55"/>
    </sheetView>
  </sheetViews>
  <sheetFormatPr baseColWidth="10" defaultRowHeight="14.4" x14ac:dyDescent="0.3"/>
  <cols>
    <col min="139" max="139" width="11.5546875" style="11"/>
    <col min="142" max="142" width="11.5546875" style="11"/>
    <col min="145" max="145" width="11.5546875" style="11"/>
    <col min="148" max="148" width="11.5546875" style="11"/>
    <col min="151" max="151" width="11.5546875" style="11"/>
    <col min="154" max="154" width="11.5546875" style="11"/>
    <col min="157" max="157" width="11.5546875" style="11"/>
    <col min="160" max="160" width="11.5546875" style="11"/>
    <col min="163" max="163" width="11.5546875" style="11"/>
  </cols>
  <sheetData>
    <row r="1" spans="1:322" ht="28.95" customHeight="1" x14ac:dyDescent="0.3">
      <c r="A1" s="2">
        <v>53</v>
      </c>
      <c r="DS1" t="s">
        <v>1969</v>
      </c>
    </row>
    <row r="2" spans="1:322" x14ac:dyDescent="0.3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  <c r="M2" t="s">
        <v>145</v>
      </c>
      <c r="N2" t="s">
        <v>146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1727</v>
      </c>
      <c r="U2" t="s">
        <v>1728</v>
      </c>
      <c r="V2" t="s">
        <v>154</v>
      </c>
      <c r="W2" t="s">
        <v>155</v>
      </c>
      <c r="X2" t="s">
        <v>156</v>
      </c>
      <c r="Y2" t="s">
        <v>157</v>
      </c>
      <c r="Z2" t="s">
        <v>158</v>
      </c>
      <c r="AA2" t="s">
        <v>159</v>
      </c>
      <c r="AB2" t="s">
        <v>5</v>
      </c>
      <c r="AC2" t="s">
        <v>160</v>
      </c>
      <c r="AD2" t="s">
        <v>161</v>
      </c>
      <c r="AE2" t="s">
        <v>162</v>
      </c>
      <c r="AF2" t="s">
        <v>163</v>
      </c>
      <c r="AG2" t="s">
        <v>164</v>
      </c>
      <c r="AH2" t="s">
        <v>165</v>
      </c>
      <c r="AI2" t="s">
        <v>166</v>
      </c>
      <c r="AJ2" t="s">
        <v>167</v>
      </c>
      <c r="AK2" t="s">
        <v>168</v>
      </c>
      <c r="AL2" t="s">
        <v>169</v>
      </c>
      <c r="AM2" t="s">
        <v>170</v>
      </c>
      <c r="AN2" t="s">
        <v>171</v>
      </c>
      <c r="AO2" t="s">
        <v>172</v>
      </c>
      <c r="AP2" t="s">
        <v>173</v>
      </c>
      <c r="AQ2" t="s">
        <v>174</v>
      </c>
      <c r="AR2" t="s">
        <v>175</v>
      </c>
      <c r="AS2" t="s">
        <v>410</v>
      </c>
      <c r="AT2" t="s">
        <v>176</v>
      </c>
      <c r="AU2" t="s">
        <v>177</v>
      </c>
      <c r="AV2" t="s">
        <v>178</v>
      </c>
      <c r="AW2" t="s">
        <v>696</v>
      </c>
      <c r="AX2" t="s">
        <v>697</v>
      </c>
      <c r="AY2" t="s">
        <v>179</v>
      </c>
      <c r="AZ2" t="s">
        <v>180</v>
      </c>
      <c r="BA2" t="s">
        <v>399</v>
      </c>
      <c r="BB2" t="s">
        <v>182</v>
      </c>
      <c r="BC2" t="s">
        <v>411</v>
      </c>
      <c r="BD2" t="s">
        <v>183</v>
      </c>
      <c r="BE2" t="s">
        <v>408</v>
      </c>
      <c r="BF2" t="s">
        <v>7</v>
      </c>
      <c r="BG2" t="s">
        <v>700</v>
      </c>
      <c r="BH2" t="s">
        <v>702</v>
      </c>
      <c r="BI2" t="s">
        <v>8</v>
      </c>
      <c r="BJ2" t="s">
        <v>1732</v>
      </c>
      <c r="BK2" t="s">
        <v>1733</v>
      </c>
      <c r="BL2" t="s">
        <v>3</v>
      </c>
      <c r="BM2" t="s">
        <v>4</v>
      </c>
      <c r="BN2" t="s">
        <v>2075</v>
      </c>
      <c r="BO2" t="s">
        <v>2076</v>
      </c>
      <c r="BP2" t="s">
        <v>2077</v>
      </c>
      <c r="BQ2" t="s">
        <v>2078</v>
      </c>
      <c r="BR2" t="s">
        <v>2079</v>
      </c>
      <c r="BS2" t="s">
        <v>2080</v>
      </c>
      <c r="BT2" t="s">
        <v>2081</v>
      </c>
      <c r="BU2" t="s">
        <v>2082</v>
      </c>
      <c r="BV2" t="s">
        <v>2083</v>
      </c>
      <c r="BW2" t="s">
        <v>2084</v>
      </c>
      <c r="BX2" t="s">
        <v>2085</v>
      </c>
      <c r="BY2" t="s">
        <v>2086</v>
      </c>
      <c r="BZ2" t="s">
        <v>2087</v>
      </c>
      <c r="CA2" t="s">
        <v>2088</v>
      </c>
      <c r="CB2" t="s">
        <v>2089</v>
      </c>
      <c r="CC2" t="s">
        <v>2090</v>
      </c>
      <c r="CD2" t="s">
        <v>184</v>
      </c>
      <c r="CE2" t="s">
        <v>5</v>
      </c>
      <c r="CF2" t="s">
        <v>185</v>
      </c>
      <c r="CG2" t="s">
        <v>186</v>
      </c>
      <c r="CH2" t="s">
        <v>187</v>
      </c>
      <c r="CI2" t="s">
        <v>6</v>
      </c>
      <c r="CJ2" t="s">
        <v>188</v>
      </c>
      <c r="CK2" t="s">
        <v>189</v>
      </c>
      <c r="CL2" t="s">
        <v>190</v>
      </c>
      <c r="CM2" t="s">
        <v>540</v>
      </c>
      <c r="CN2" t="s">
        <v>9</v>
      </c>
      <c r="CO2" t="s">
        <v>10</v>
      </c>
      <c r="CP2" t="s">
        <v>11</v>
      </c>
      <c r="CQ2" t="s">
        <v>12</v>
      </c>
      <c r="CR2" t="s">
        <v>1734</v>
      </c>
      <c r="CS2" t="s">
        <v>13</v>
      </c>
      <c r="CT2" t="s">
        <v>567</v>
      </c>
      <c r="CU2" t="s">
        <v>574</v>
      </c>
      <c r="CV2" t="s">
        <v>573</v>
      </c>
      <c r="CW2" t="s">
        <v>15</v>
      </c>
      <c r="CX2" t="s">
        <v>16</v>
      </c>
      <c r="CY2" t="s">
        <v>17</v>
      </c>
      <c r="CZ2" t="s">
        <v>565</v>
      </c>
      <c r="DA2" t="s">
        <v>18</v>
      </c>
      <c r="DB2" t="s">
        <v>569</v>
      </c>
      <c r="DC2" t="s">
        <v>19</v>
      </c>
      <c r="DD2" t="s">
        <v>577</v>
      </c>
      <c r="DE2" t="s">
        <v>20</v>
      </c>
      <c r="DF2" t="s">
        <v>561</v>
      </c>
      <c r="DG2" t="s">
        <v>22</v>
      </c>
      <c r="DH2" t="s">
        <v>571</v>
      </c>
      <c r="DI2" t="s">
        <v>23</v>
      </c>
      <c r="DJ2" t="s">
        <v>563</v>
      </c>
      <c r="DK2" t="s">
        <v>191</v>
      </c>
      <c r="DL2" t="s">
        <v>192</v>
      </c>
      <c r="DM2" t="s">
        <v>193</v>
      </c>
      <c r="DN2" t="s">
        <v>194</v>
      </c>
      <c r="DO2" t="s">
        <v>1741</v>
      </c>
      <c r="DP2" t="s">
        <v>1742</v>
      </c>
      <c r="DQ2" t="s">
        <v>1743</v>
      </c>
      <c r="DR2" t="s">
        <v>1744</v>
      </c>
      <c r="DS2" t="s">
        <v>1749</v>
      </c>
      <c r="DT2" t="s">
        <v>1750</v>
      </c>
      <c r="DU2" t="s">
        <v>1751</v>
      </c>
      <c r="DV2" t="s">
        <v>1752</v>
      </c>
      <c r="DW2" t="s">
        <v>0</v>
      </c>
      <c r="DX2" t="s">
        <v>1</v>
      </c>
      <c r="DY2" t="s">
        <v>2</v>
      </c>
      <c r="DZ2" t="s">
        <v>195</v>
      </c>
      <c r="EA2" t="s">
        <v>196</v>
      </c>
      <c r="EB2" t="s">
        <v>197</v>
      </c>
      <c r="EC2" t="s">
        <v>198</v>
      </c>
      <c r="ED2" t="s">
        <v>199</v>
      </c>
      <c r="EE2" t="s">
        <v>596</v>
      </c>
      <c r="EF2" t="s">
        <v>200</v>
      </c>
      <c r="EG2" t="s">
        <v>201</v>
      </c>
      <c r="EH2" t="s">
        <v>646</v>
      </c>
      <c r="EI2" s="11" t="s">
        <v>202</v>
      </c>
      <c r="EJ2" t="s">
        <v>1735</v>
      </c>
      <c r="EK2" t="s">
        <v>647</v>
      </c>
      <c r="EL2" s="11" t="s">
        <v>203</v>
      </c>
      <c r="EM2" t="s">
        <v>580</v>
      </c>
      <c r="EN2" t="s">
        <v>648</v>
      </c>
      <c r="EO2" s="11" t="s">
        <v>204</v>
      </c>
      <c r="EP2" t="s">
        <v>581</v>
      </c>
      <c r="EQ2" t="s">
        <v>649</v>
      </c>
      <c r="ER2" s="11" t="s">
        <v>205</v>
      </c>
      <c r="ES2" t="s">
        <v>582</v>
      </c>
      <c r="ET2" t="s">
        <v>650</v>
      </c>
      <c r="EU2" s="11" t="s">
        <v>206</v>
      </c>
      <c r="EV2" t="s">
        <v>583</v>
      </c>
      <c r="EW2" t="s">
        <v>651</v>
      </c>
      <c r="EX2" s="11" t="s">
        <v>207</v>
      </c>
      <c r="EY2" t="s">
        <v>584</v>
      </c>
      <c r="EZ2" t="s">
        <v>652</v>
      </c>
      <c r="FA2" s="11" t="s">
        <v>208</v>
      </c>
      <c r="FB2" t="s">
        <v>585</v>
      </c>
      <c r="FC2" t="s">
        <v>653</v>
      </c>
      <c r="FD2" s="11" t="s">
        <v>209</v>
      </c>
      <c r="FE2" t="s">
        <v>586</v>
      </c>
      <c r="FF2" t="s">
        <v>654</v>
      </c>
      <c r="FG2" s="11" t="s">
        <v>210</v>
      </c>
      <c r="FH2" t="s">
        <v>587</v>
      </c>
      <c r="FI2" t="s">
        <v>655</v>
      </c>
      <c r="FJ2" t="s">
        <v>211</v>
      </c>
      <c r="FK2" t="s">
        <v>212</v>
      </c>
      <c r="FL2" t="s">
        <v>213</v>
      </c>
      <c r="FM2" t="s">
        <v>214</v>
      </c>
      <c r="FN2" t="s">
        <v>215</v>
      </c>
      <c r="FO2" t="s">
        <v>216</v>
      </c>
      <c r="FP2" t="s">
        <v>217</v>
      </c>
      <c r="FQ2" t="s">
        <v>218</v>
      </c>
      <c r="FR2" t="s">
        <v>219</v>
      </c>
      <c r="FS2" t="s">
        <v>220</v>
      </c>
      <c r="FT2" t="s">
        <v>221</v>
      </c>
      <c r="FU2" t="s">
        <v>222</v>
      </c>
      <c r="FV2" t="s">
        <v>1748</v>
      </c>
      <c r="FW2" t="s">
        <v>223</v>
      </c>
      <c r="FX2" t="s">
        <v>616</v>
      </c>
      <c r="FY2" t="s">
        <v>618</v>
      </c>
      <c r="FZ2" t="s">
        <v>636</v>
      </c>
      <c r="GA2" t="s">
        <v>617</v>
      </c>
      <c r="GB2" t="s">
        <v>619</v>
      </c>
      <c r="GC2" t="s">
        <v>637</v>
      </c>
      <c r="GD2" t="s">
        <v>712</v>
      </c>
      <c r="GE2" t="s">
        <v>713</v>
      </c>
      <c r="GF2" t="s">
        <v>46</v>
      </c>
      <c r="GG2" t="s">
        <v>31</v>
      </c>
      <c r="GH2" t="s">
        <v>610</v>
      </c>
      <c r="GI2" t="s">
        <v>709</v>
      </c>
      <c r="GJ2" t="s">
        <v>719</v>
      </c>
      <c r="GK2" t="s">
        <v>42</v>
      </c>
      <c r="GL2" t="s">
        <v>52</v>
      </c>
      <c r="GM2" t="s">
        <v>61</v>
      </c>
      <c r="GN2" t="s">
        <v>62</v>
      </c>
      <c r="GO2" t="s">
        <v>63</v>
      </c>
      <c r="GP2" t="s">
        <v>53</v>
      </c>
      <c r="GQ2" t="s">
        <v>54</v>
      </c>
      <c r="GR2" t="s">
        <v>55</v>
      </c>
      <c r="GS2" t="s">
        <v>56</v>
      </c>
      <c r="GT2" t="s">
        <v>57</v>
      </c>
      <c r="GU2" t="s">
        <v>58</v>
      </c>
      <c r="GV2" t="s">
        <v>59</v>
      </c>
      <c r="GW2" t="s">
        <v>60</v>
      </c>
      <c r="GX2" t="s">
        <v>716</v>
      </c>
      <c r="GY2" t="s">
        <v>1761</v>
      </c>
      <c r="GZ2" t="s">
        <v>405</v>
      </c>
      <c r="HA2" t="s">
        <v>76</v>
      </c>
      <c r="HB2" t="s">
        <v>1758</v>
      </c>
      <c r="HC2" t="s">
        <v>1759</v>
      </c>
      <c r="HD2" t="s">
        <v>1760</v>
      </c>
      <c r="HE2" t="s">
        <v>714</v>
      </c>
      <c r="HF2" t="s">
        <v>414</v>
      </c>
      <c r="HG2" t="s">
        <v>74</v>
      </c>
      <c r="HH2" t="s">
        <v>948</v>
      </c>
      <c r="HI2" t="s">
        <v>30</v>
      </c>
      <c r="HJ2" t="s">
        <v>613</v>
      </c>
      <c r="HK2" t="s">
        <v>396</v>
      </c>
      <c r="HL2" t="s">
        <v>73</v>
      </c>
      <c r="HM2" t="s">
        <v>722</v>
      </c>
      <c r="HN2" t="s">
        <v>723</v>
      </c>
      <c r="HO2" t="s">
        <v>38</v>
      </c>
      <c r="HP2" t="s">
        <v>39</v>
      </c>
      <c r="HQ2" t="s">
        <v>40</v>
      </c>
      <c r="HR2" t="s">
        <v>41</v>
      </c>
      <c r="HS2" t="s">
        <v>24</v>
      </c>
      <c r="HT2" t="s">
        <v>704</v>
      </c>
      <c r="HU2" t="s">
        <v>35</v>
      </c>
      <c r="HV2" t="s">
        <v>36</v>
      </c>
      <c r="HW2" t="s">
        <v>604</v>
      </c>
      <c r="HX2" t="s">
        <v>607</v>
      </c>
      <c r="HY2" t="s">
        <v>727</v>
      </c>
      <c r="HZ2" t="s">
        <v>720</v>
      </c>
      <c r="IA2" t="s">
        <v>725</v>
      </c>
      <c r="IB2" t="s">
        <v>721</v>
      </c>
      <c r="IC2" t="s">
        <v>726</v>
      </c>
      <c r="ID2" t="s">
        <v>33</v>
      </c>
      <c r="IE2" t="s">
        <v>718</v>
      </c>
      <c r="IF2" t="s">
        <v>717</v>
      </c>
      <c r="IG2" t="s">
        <v>51</v>
      </c>
      <c r="IH2" t="s">
        <v>25</v>
      </c>
      <c r="II2" t="s">
        <v>26</v>
      </c>
      <c r="IJ2" t="s">
        <v>403</v>
      </c>
      <c r="IK2" t="s">
        <v>829</v>
      </c>
      <c r="IL2" t="s">
        <v>830</v>
      </c>
      <c r="IM2" t="s">
        <v>27</v>
      </c>
      <c r="IN2" t="s">
        <v>1765</v>
      </c>
      <c r="IO2" t="s">
        <v>599</v>
      </c>
      <c r="IP2" t="s">
        <v>1767</v>
      </c>
      <c r="IQ2" t="s">
        <v>1768</v>
      </c>
      <c r="IR2" t="s">
        <v>28</v>
      </c>
      <c r="IS2" t="s">
        <v>29</v>
      </c>
      <c r="IT2" t="s">
        <v>79</v>
      </c>
      <c r="IU2" t="s">
        <v>71</v>
      </c>
      <c r="IV2" t="s">
        <v>601</v>
      </c>
      <c r="IW2" t="s">
        <v>21</v>
      </c>
      <c r="IX2" t="s">
        <v>47</v>
      </c>
      <c r="IY2" t="s">
        <v>48</v>
      </c>
      <c r="IZ2" t="s">
        <v>49</v>
      </c>
      <c r="JA2" t="s">
        <v>50</v>
      </c>
      <c r="JB2" t="s">
        <v>72</v>
      </c>
      <c r="JC2" t="s">
        <v>77</v>
      </c>
      <c r="JD2" t="s">
        <v>37</v>
      </c>
      <c r="JE2" t="s">
        <v>1766</v>
      </c>
      <c r="JF2" t="s">
        <v>1762</v>
      </c>
      <c r="JG2" t="s">
        <v>1763</v>
      </c>
      <c r="JH2" t="s">
        <v>1764</v>
      </c>
      <c r="JI2" t="s">
        <v>43</v>
      </c>
      <c r="JJ2" t="s">
        <v>44</v>
      </c>
      <c r="JK2" t="s">
        <v>339</v>
      </c>
      <c r="JL2" t="s">
        <v>45</v>
      </c>
      <c r="JM2" t="s">
        <v>64</v>
      </c>
      <c r="JN2" t="s">
        <v>65</v>
      </c>
      <c r="JO2" t="s">
        <v>66</v>
      </c>
      <c r="JP2" t="s">
        <v>67</v>
      </c>
      <c r="JQ2" t="s">
        <v>68</v>
      </c>
      <c r="JR2" t="s">
        <v>69</v>
      </c>
      <c r="JS2" t="s">
        <v>715</v>
      </c>
      <c r="JT2" t="s">
        <v>32</v>
      </c>
      <c r="JU2" t="s">
        <v>14</v>
      </c>
      <c r="JV2" t="s">
        <v>78</v>
      </c>
      <c r="JW2" t="s">
        <v>70</v>
      </c>
      <c r="JX2" t="s">
        <v>34</v>
      </c>
      <c r="JY2" t="s">
        <v>80</v>
      </c>
      <c r="JZ2" t="s">
        <v>75</v>
      </c>
      <c r="KA2" t="s">
        <v>181</v>
      </c>
      <c r="KB2" t="s">
        <v>724</v>
      </c>
      <c r="KC2" t="s">
        <v>1769</v>
      </c>
      <c r="KD2" t="s">
        <v>620</v>
      </c>
      <c r="KE2" t="s">
        <v>621</v>
      </c>
      <c r="KF2" t="s">
        <v>638</v>
      </c>
      <c r="KG2" t="s">
        <v>622</v>
      </c>
      <c r="KH2" t="s">
        <v>623</v>
      </c>
      <c r="KI2" t="s">
        <v>639</v>
      </c>
      <c r="KJ2" t="s">
        <v>624</v>
      </c>
      <c r="KK2" t="s">
        <v>625</v>
      </c>
      <c r="KL2" t="s">
        <v>640</v>
      </c>
      <c r="KM2" t="s">
        <v>626</v>
      </c>
      <c r="KN2" t="s">
        <v>627</v>
      </c>
      <c r="KO2" t="s">
        <v>641</v>
      </c>
      <c r="KP2" t="s">
        <v>628</v>
      </c>
      <c r="KQ2" t="s">
        <v>629</v>
      </c>
      <c r="KR2" t="s">
        <v>642</v>
      </c>
      <c r="KS2" t="s">
        <v>630</v>
      </c>
      <c r="KT2" t="s">
        <v>631</v>
      </c>
      <c r="KU2" t="s">
        <v>643</v>
      </c>
      <c r="KV2" t="s">
        <v>632</v>
      </c>
      <c r="KW2" t="s">
        <v>633</v>
      </c>
      <c r="KX2" t="s">
        <v>644</v>
      </c>
      <c r="KY2" t="s">
        <v>634</v>
      </c>
      <c r="KZ2" t="s">
        <v>635</v>
      </c>
      <c r="LA2" t="s">
        <v>645</v>
      </c>
      <c r="LB2" t="s">
        <v>1712</v>
      </c>
      <c r="LC2" t="s">
        <v>1713</v>
      </c>
      <c r="LD2" t="s">
        <v>1714</v>
      </c>
      <c r="LE2" t="s">
        <v>1715</v>
      </c>
      <c r="LF2" t="s">
        <v>1716</v>
      </c>
      <c r="LG2" t="s">
        <v>1717</v>
      </c>
      <c r="LH2" t="s">
        <v>1718</v>
      </c>
      <c r="LI2" t="s">
        <v>1719</v>
      </c>
      <c r="LJ2" t="s">
        <v>1720</v>
      </c>
    </row>
    <row r="3" spans="1:322" x14ac:dyDescent="0.3">
      <c r="A3">
        <v>1</v>
      </c>
      <c r="B3" t="s">
        <v>417</v>
      </c>
      <c r="C3" t="s">
        <v>418</v>
      </c>
      <c r="D3" t="s">
        <v>501</v>
      </c>
      <c r="E3" t="s">
        <v>419</v>
      </c>
      <c r="G3" t="s">
        <v>457</v>
      </c>
      <c r="H3" t="s">
        <v>420</v>
      </c>
      <c r="I3" t="s">
        <v>421</v>
      </c>
      <c r="J3">
        <v>298</v>
      </c>
      <c r="L3" t="s">
        <v>422</v>
      </c>
      <c r="M3" t="s">
        <v>423</v>
      </c>
      <c r="N3" t="s">
        <v>424</v>
      </c>
      <c r="O3">
        <v>74000</v>
      </c>
      <c r="P3">
        <v>2484877287</v>
      </c>
      <c r="Q3" s="3" t="s">
        <v>425</v>
      </c>
      <c r="R3">
        <v>9</v>
      </c>
      <c r="S3" t="s">
        <v>426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427</v>
      </c>
      <c r="AE3" t="s">
        <v>428</v>
      </c>
      <c r="AF3" t="s">
        <v>429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430</v>
      </c>
      <c r="AQ3" t="s">
        <v>431</v>
      </c>
      <c r="AR3" s="4">
        <f t="shared" ref="AR3:AR34" si="0">+AS3+AU3+BE3+CD3+CE3+CF3+CG3+CH3+CI3+CW3</f>
        <v>27</v>
      </c>
      <c r="AS3">
        <v>1</v>
      </c>
      <c r="AT3" t="s">
        <v>432</v>
      </c>
      <c r="AU3">
        <v>8</v>
      </c>
      <c r="AV3" t="s">
        <v>433</v>
      </c>
      <c r="BC3">
        <v>2</v>
      </c>
      <c r="BD3" t="s">
        <v>434</v>
      </c>
      <c r="BE3">
        <v>3</v>
      </c>
      <c r="BF3" t="s">
        <v>465</v>
      </c>
      <c r="BI3" t="s">
        <v>466</v>
      </c>
      <c r="BL3">
        <v>5</v>
      </c>
      <c r="BM3" t="s">
        <v>435</v>
      </c>
      <c r="CD3">
        <v>7</v>
      </c>
      <c r="CE3">
        <v>3</v>
      </c>
      <c r="CF3">
        <v>2</v>
      </c>
      <c r="CH3">
        <v>1</v>
      </c>
      <c r="CI3">
        <v>2</v>
      </c>
      <c r="CJ3">
        <v>1</v>
      </c>
      <c r="CK3" s="4">
        <f>+CL3+CN3+CO3+CP3+CQ3</f>
        <v>0</v>
      </c>
      <c r="DE3">
        <v>3</v>
      </c>
      <c r="DF3" t="s">
        <v>435</v>
      </c>
      <c r="DW3">
        <v>15</v>
      </c>
      <c r="DX3" t="s">
        <v>436</v>
      </c>
      <c r="DY3">
        <v>2024</v>
      </c>
      <c r="DZ3" t="s">
        <v>437</v>
      </c>
      <c r="EA3" t="s">
        <v>438</v>
      </c>
      <c r="EB3" t="s">
        <v>439</v>
      </c>
      <c r="EC3" t="s">
        <v>440</v>
      </c>
      <c r="ED3" t="s">
        <v>441</v>
      </c>
      <c r="EF3" t="s">
        <v>442</v>
      </c>
      <c r="EG3" t="s">
        <v>443</v>
      </c>
      <c r="EI3" s="11" t="s">
        <v>444</v>
      </c>
      <c r="EL3" s="11" t="s">
        <v>445</v>
      </c>
      <c r="EO3" s="11" t="s">
        <v>446</v>
      </c>
      <c r="ER3" s="11" t="s">
        <v>447</v>
      </c>
      <c r="EU3" s="11" t="s">
        <v>448</v>
      </c>
      <c r="EX3" s="11" t="s">
        <v>449</v>
      </c>
      <c r="FA3" s="11" t="s">
        <v>450</v>
      </c>
      <c r="FD3" s="11" t="s">
        <v>451</v>
      </c>
      <c r="FG3" s="11" t="s">
        <v>452</v>
      </c>
      <c r="FK3">
        <v>0</v>
      </c>
      <c r="FL3" s="4">
        <f t="shared" ref="FL3" si="1">+FK3/3000</f>
        <v>0</v>
      </c>
      <c r="FM3" t="s">
        <v>453</v>
      </c>
      <c r="FN3">
        <v>30</v>
      </c>
      <c r="FO3" s="4">
        <f t="shared" ref="FO3" si="2">+FN3/1400</f>
        <v>2.1428571428571429E-2</v>
      </c>
      <c r="FP3" t="s">
        <v>454</v>
      </c>
      <c r="FQ3">
        <v>20</v>
      </c>
      <c r="FR3" s="4">
        <f t="shared" ref="FR3" si="3">+FQ3/2000</f>
        <v>0.01</v>
      </c>
      <c r="FS3" t="s">
        <v>455</v>
      </c>
      <c r="FT3">
        <v>7000</v>
      </c>
      <c r="FU3" s="4">
        <f t="shared" ref="FU3" si="4">+FT3/15000</f>
        <v>0.46666666666666667</v>
      </c>
      <c r="FV3" s="4">
        <f t="shared" ref="FV3:FV13" si="5">+FL3+FO3+FR3+FU3</f>
        <v>0.49809523809523809</v>
      </c>
      <c r="FW3" s="4" t="str">
        <f t="shared" ref="FW3" si="6">+IF((FL3+FO3+FR3+FU3)&gt;=1,"ALTO","ORDINARIO")</f>
        <v>ORDINARIO</v>
      </c>
    </row>
    <row r="4" spans="1:322" x14ac:dyDescent="0.3">
      <c r="A4">
        <v>2</v>
      </c>
      <c r="B4" t="s">
        <v>417</v>
      </c>
      <c r="C4" t="s">
        <v>418</v>
      </c>
      <c r="D4" t="s">
        <v>502</v>
      </c>
      <c r="E4" t="s">
        <v>419</v>
      </c>
      <c r="G4" t="s">
        <v>456</v>
      </c>
      <c r="H4" t="s">
        <v>420</v>
      </c>
      <c r="I4" t="s">
        <v>458</v>
      </c>
      <c r="J4" t="s">
        <v>459</v>
      </c>
      <c r="L4" t="s">
        <v>460</v>
      </c>
      <c r="M4" t="s">
        <v>423</v>
      </c>
      <c r="N4" t="s">
        <v>424</v>
      </c>
      <c r="O4">
        <v>74080</v>
      </c>
      <c r="P4">
        <v>2482407287</v>
      </c>
      <c r="Q4" s="3" t="s">
        <v>461</v>
      </c>
      <c r="R4">
        <v>12</v>
      </c>
      <c r="S4" t="s">
        <v>462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463</v>
      </c>
      <c r="AE4" t="s">
        <v>428</v>
      </c>
      <c r="AF4" t="s">
        <v>464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430</v>
      </c>
      <c r="AQ4" t="s">
        <v>431</v>
      </c>
      <c r="AR4" s="4">
        <f t="shared" si="0"/>
        <v>23</v>
      </c>
      <c r="AS4">
        <v>1</v>
      </c>
      <c r="AT4" t="s">
        <v>432</v>
      </c>
      <c r="AU4">
        <v>5</v>
      </c>
      <c r="AV4" t="s">
        <v>433</v>
      </c>
      <c r="BC4">
        <v>2</v>
      </c>
      <c r="BD4" t="s">
        <v>432</v>
      </c>
      <c r="BE4">
        <v>3</v>
      </c>
      <c r="BF4" t="s">
        <v>465</v>
      </c>
      <c r="BI4" t="s">
        <v>466</v>
      </c>
      <c r="BL4">
        <v>4</v>
      </c>
      <c r="BM4" t="s">
        <v>435</v>
      </c>
      <c r="CD4">
        <v>9</v>
      </c>
      <c r="CF4">
        <v>2</v>
      </c>
      <c r="CH4">
        <v>1</v>
      </c>
      <c r="CI4">
        <v>2</v>
      </c>
      <c r="CJ4">
        <v>1</v>
      </c>
      <c r="CK4" s="4">
        <f t="shared" ref="CK4:CK13" si="7">+CL4+CN4+CO4+CP4+CQ4</f>
        <v>0</v>
      </c>
      <c r="DE4">
        <v>6</v>
      </c>
      <c r="DF4" t="s">
        <v>435</v>
      </c>
      <c r="DW4">
        <v>15</v>
      </c>
      <c r="DX4" t="s">
        <v>436</v>
      </c>
      <c r="DY4">
        <v>2024</v>
      </c>
      <c r="DZ4" t="s">
        <v>467</v>
      </c>
      <c r="EA4" t="s">
        <v>468</v>
      </c>
      <c r="EB4" t="s">
        <v>469</v>
      </c>
      <c r="EC4" t="s">
        <v>470</v>
      </c>
      <c r="ED4" t="s">
        <v>471</v>
      </c>
      <c r="EF4" t="s">
        <v>442</v>
      </c>
      <c r="EG4" t="s">
        <v>443</v>
      </c>
      <c r="EI4" s="11" t="s">
        <v>472</v>
      </c>
      <c r="EL4" s="11" t="s">
        <v>473</v>
      </c>
      <c r="EO4" s="11" t="s">
        <v>474</v>
      </c>
      <c r="ER4" s="11" t="s">
        <v>475</v>
      </c>
      <c r="EU4" s="11" t="s">
        <v>476</v>
      </c>
      <c r="EX4" s="11" t="s">
        <v>477</v>
      </c>
      <c r="FA4" s="11" t="s">
        <v>478</v>
      </c>
      <c r="FD4" s="11" t="s">
        <v>479</v>
      </c>
      <c r="FG4" s="11" t="s">
        <v>480</v>
      </c>
      <c r="FK4">
        <v>0</v>
      </c>
      <c r="FL4" s="4">
        <f t="shared" ref="FL4:FL13" si="8">+FK4/3000</f>
        <v>0</v>
      </c>
      <c r="FN4">
        <v>0</v>
      </c>
      <c r="FO4" s="4">
        <f t="shared" ref="FO4:FO13" si="9">+FN4/1400</f>
        <v>0</v>
      </c>
      <c r="FQ4">
        <v>0</v>
      </c>
      <c r="FR4" s="4">
        <f t="shared" ref="FR4:FR13" si="10">+FQ4/2000</f>
        <v>0</v>
      </c>
      <c r="FS4" t="s">
        <v>455</v>
      </c>
      <c r="FT4">
        <v>900</v>
      </c>
      <c r="FU4" s="4">
        <f t="shared" ref="FU4:FU13" si="11">+FT4/15000</f>
        <v>0.06</v>
      </c>
      <c r="FV4" s="4">
        <f t="shared" si="5"/>
        <v>0.06</v>
      </c>
      <c r="FW4" s="4" t="str">
        <f t="shared" ref="FW4:FW13" si="12">+IF((FL4+FO4+FR4+FU4)&gt;=1,"ALTO","ORDINARIO")</f>
        <v>ORDINARIO</v>
      </c>
    </row>
    <row r="5" spans="1:322" x14ac:dyDescent="0.3">
      <c r="A5">
        <v>3</v>
      </c>
      <c r="B5" t="s">
        <v>417</v>
      </c>
      <c r="C5" t="s">
        <v>418</v>
      </c>
      <c r="D5" t="s">
        <v>503</v>
      </c>
      <c r="E5" t="s">
        <v>419</v>
      </c>
      <c r="G5" t="s">
        <v>457</v>
      </c>
      <c r="H5" t="s">
        <v>420</v>
      </c>
      <c r="I5" t="s">
        <v>481</v>
      </c>
      <c r="J5">
        <v>207</v>
      </c>
      <c r="L5" t="s">
        <v>422</v>
      </c>
      <c r="M5" t="s">
        <v>423</v>
      </c>
      <c r="N5" t="s">
        <v>424</v>
      </c>
      <c r="O5">
        <v>74000</v>
      </c>
      <c r="P5">
        <v>2481122080</v>
      </c>
      <c r="Q5" s="3" t="s">
        <v>482</v>
      </c>
      <c r="R5">
        <v>8</v>
      </c>
      <c r="S5" t="s">
        <v>483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463</v>
      </c>
      <c r="AE5" t="s">
        <v>428</v>
      </c>
      <c r="AF5" t="s">
        <v>484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430</v>
      </c>
      <c r="AQ5" t="s">
        <v>431</v>
      </c>
      <c r="AR5" s="4">
        <f t="shared" si="0"/>
        <v>19</v>
      </c>
      <c r="AS5">
        <v>1</v>
      </c>
      <c r="AT5" t="s">
        <v>432</v>
      </c>
      <c r="AU5">
        <v>6</v>
      </c>
      <c r="AV5" t="s">
        <v>433</v>
      </c>
      <c r="BC5">
        <v>2</v>
      </c>
      <c r="BD5" t="s">
        <v>434</v>
      </c>
      <c r="BE5">
        <v>3</v>
      </c>
      <c r="BF5" t="s">
        <v>465</v>
      </c>
      <c r="BI5" t="s">
        <v>466</v>
      </c>
      <c r="BL5">
        <v>4</v>
      </c>
      <c r="BM5" t="s">
        <v>435</v>
      </c>
      <c r="CD5">
        <v>4</v>
      </c>
      <c r="CE5">
        <v>1</v>
      </c>
      <c r="CF5">
        <v>1</v>
      </c>
      <c r="CH5">
        <v>1</v>
      </c>
      <c r="CI5">
        <v>2</v>
      </c>
      <c r="CJ5">
        <v>1</v>
      </c>
      <c r="CK5" s="4">
        <f t="shared" si="7"/>
        <v>0</v>
      </c>
      <c r="DE5">
        <v>4</v>
      </c>
      <c r="DF5" t="s">
        <v>435</v>
      </c>
      <c r="DW5">
        <v>16</v>
      </c>
      <c r="DX5" t="s">
        <v>436</v>
      </c>
      <c r="DY5">
        <v>2024</v>
      </c>
      <c r="DZ5" t="s">
        <v>485</v>
      </c>
      <c r="EA5" t="s">
        <v>486</v>
      </c>
      <c r="EB5" t="s">
        <v>481</v>
      </c>
      <c r="EC5" t="s">
        <v>487</v>
      </c>
      <c r="ED5" t="s">
        <v>488</v>
      </c>
      <c r="EF5" t="s">
        <v>442</v>
      </c>
      <c r="EG5" t="s">
        <v>443</v>
      </c>
      <c r="EI5" s="11" t="s">
        <v>489</v>
      </c>
      <c r="EL5" s="11" t="s">
        <v>490</v>
      </c>
      <c r="EO5" s="11" t="s">
        <v>491</v>
      </c>
      <c r="ER5" s="11" t="s">
        <v>492</v>
      </c>
      <c r="EU5" s="11" t="s">
        <v>493</v>
      </c>
      <c r="EX5" s="11" t="s">
        <v>494</v>
      </c>
      <c r="FA5" s="11" t="s">
        <v>495</v>
      </c>
      <c r="FD5" s="11" t="s">
        <v>496</v>
      </c>
      <c r="FG5" s="11" t="s">
        <v>497</v>
      </c>
      <c r="FK5">
        <v>0</v>
      </c>
      <c r="FL5" s="4">
        <f t="shared" si="8"/>
        <v>0</v>
      </c>
      <c r="FM5" t="s">
        <v>453</v>
      </c>
      <c r="FN5">
        <v>30</v>
      </c>
      <c r="FO5" s="4">
        <f t="shared" si="9"/>
        <v>2.1428571428571429E-2</v>
      </c>
      <c r="FP5" t="s">
        <v>454</v>
      </c>
      <c r="FQ5">
        <v>50</v>
      </c>
      <c r="FR5" s="4">
        <f t="shared" si="10"/>
        <v>2.5000000000000001E-2</v>
      </c>
      <c r="FS5" t="s">
        <v>455</v>
      </c>
      <c r="FT5">
        <v>5000</v>
      </c>
      <c r="FU5" s="4">
        <f t="shared" si="11"/>
        <v>0.33333333333333331</v>
      </c>
      <c r="FV5" s="4">
        <f t="shared" si="5"/>
        <v>0.37976190476190474</v>
      </c>
      <c r="FW5" s="4" t="str">
        <f t="shared" si="12"/>
        <v>ORDINARIO</v>
      </c>
    </row>
    <row r="6" spans="1:322" x14ac:dyDescent="0.3">
      <c r="A6">
        <v>4</v>
      </c>
      <c r="B6" t="s">
        <v>417</v>
      </c>
      <c r="C6" t="s">
        <v>418</v>
      </c>
      <c r="D6" t="s">
        <v>579</v>
      </c>
      <c r="E6" t="s">
        <v>419</v>
      </c>
      <c r="G6" t="s">
        <v>498</v>
      </c>
      <c r="H6" t="s">
        <v>420</v>
      </c>
      <c r="I6" t="s">
        <v>499</v>
      </c>
      <c r="J6">
        <v>28</v>
      </c>
      <c r="L6" t="s">
        <v>500</v>
      </c>
      <c r="M6" t="s">
        <v>423</v>
      </c>
      <c r="N6" t="s">
        <v>424</v>
      </c>
      <c r="O6">
        <v>74122</v>
      </c>
      <c r="P6">
        <v>2481121470</v>
      </c>
      <c r="Q6" s="3" t="s">
        <v>504</v>
      </c>
      <c r="R6">
        <v>5</v>
      </c>
      <c r="S6" t="s">
        <v>505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506</v>
      </c>
      <c r="AE6" t="s">
        <v>428</v>
      </c>
      <c r="AF6" t="s">
        <v>507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430</v>
      </c>
      <c r="AQ6" t="s">
        <v>431</v>
      </c>
      <c r="AR6" s="4">
        <f t="shared" si="0"/>
        <v>20</v>
      </c>
      <c r="AS6">
        <v>1</v>
      </c>
      <c r="AT6" t="s">
        <v>432</v>
      </c>
      <c r="AU6">
        <v>6</v>
      </c>
      <c r="AV6" t="s">
        <v>433</v>
      </c>
      <c r="BC6">
        <v>2</v>
      </c>
      <c r="BD6" t="s">
        <v>432</v>
      </c>
      <c r="BE6">
        <v>3</v>
      </c>
      <c r="BF6" t="s">
        <v>465</v>
      </c>
      <c r="BI6" t="s">
        <v>466</v>
      </c>
      <c r="BL6">
        <v>6</v>
      </c>
      <c r="BM6" t="s">
        <v>435</v>
      </c>
      <c r="CD6">
        <v>6</v>
      </c>
      <c r="CF6">
        <v>1</v>
      </c>
      <c r="CH6">
        <v>1</v>
      </c>
      <c r="CI6">
        <v>2</v>
      </c>
      <c r="CJ6">
        <v>1</v>
      </c>
      <c r="CK6" s="4">
        <f t="shared" si="7"/>
        <v>0</v>
      </c>
      <c r="DE6">
        <v>4</v>
      </c>
      <c r="DF6" t="s">
        <v>435</v>
      </c>
      <c r="DW6">
        <v>16</v>
      </c>
      <c r="DX6" t="s">
        <v>436</v>
      </c>
      <c r="DY6">
        <v>2024</v>
      </c>
      <c r="DZ6" t="s">
        <v>508</v>
      </c>
      <c r="EA6" t="s">
        <v>509</v>
      </c>
      <c r="EB6" t="s">
        <v>510</v>
      </c>
      <c r="EC6" t="s">
        <v>511</v>
      </c>
      <c r="ED6" t="s">
        <v>512</v>
      </c>
      <c r="EF6" t="s">
        <v>442</v>
      </c>
      <c r="EG6" t="s">
        <v>443</v>
      </c>
      <c r="EI6" s="11" t="s">
        <v>513</v>
      </c>
      <c r="EL6" s="11" t="s">
        <v>514</v>
      </c>
      <c r="EO6" s="11" t="s">
        <v>515</v>
      </c>
      <c r="ER6" s="11" t="s">
        <v>516</v>
      </c>
      <c r="EU6" s="11" t="s">
        <v>517</v>
      </c>
      <c r="EX6" s="11" t="s">
        <v>518</v>
      </c>
      <c r="FA6" s="11" t="s">
        <v>519</v>
      </c>
      <c r="FD6" s="11" t="s">
        <v>520</v>
      </c>
      <c r="FG6" s="11" t="s">
        <v>521</v>
      </c>
      <c r="FK6">
        <v>0</v>
      </c>
      <c r="FL6" s="4">
        <f t="shared" si="8"/>
        <v>0</v>
      </c>
      <c r="FN6">
        <v>0</v>
      </c>
      <c r="FO6" s="4">
        <f t="shared" si="9"/>
        <v>0</v>
      </c>
      <c r="FQ6">
        <v>0</v>
      </c>
      <c r="FR6" s="4">
        <f t="shared" si="10"/>
        <v>0</v>
      </c>
      <c r="FS6" t="s">
        <v>455</v>
      </c>
      <c r="FT6">
        <v>900</v>
      </c>
      <c r="FU6" s="4">
        <f t="shared" si="11"/>
        <v>0.06</v>
      </c>
      <c r="FV6" s="4">
        <f t="shared" si="5"/>
        <v>0.06</v>
      </c>
      <c r="FW6" s="4" t="str">
        <f t="shared" si="12"/>
        <v>ORDINARIO</v>
      </c>
    </row>
    <row r="7" spans="1:322" x14ac:dyDescent="0.3">
      <c r="A7">
        <v>5</v>
      </c>
      <c r="B7" t="s">
        <v>551</v>
      </c>
      <c r="C7" t="s">
        <v>522</v>
      </c>
      <c r="D7" t="s">
        <v>523</v>
      </c>
      <c r="E7" t="s">
        <v>524</v>
      </c>
      <c r="G7" t="s">
        <v>525</v>
      </c>
      <c r="H7" t="s">
        <v>526</v>
      </c>
      <c r="I7" t="s">
        <v>527</v>
      </c>
      <c r="J7">
        <v>508</v>
      </c>
      <c r="L7" t="s">
        <v>528</v>
      </c>
      <c r="M7" t="s">
        <v>529</v>
      </c>
      <c r="N7" t="s">
        <v>424</v>
      </c>
      <c r="O7">
        <v>75200</v>
      </c>
      <c r="P7">
        <v>3316001931</v>
      </c>
      <c r="Q7" s="3" t="s">
        <v>530</v>
      </c>
      <c r="R7">
        <v>12</v>
      </c>
      <c r="S7" t="s">
        <v>531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532</v>
      </c>
      <c r="AE7" t="s">
        <v>533</v>
      </c>
      <c r="AF7" t="s">
        <v>533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534</v>
      </c>
      <c r="AQ7" t="s">
        <v>535</v>
      </c>
      <c r="AR7" s="4">
        <f t="shared" si="0"/>
        <v>55</v>
      </c>
      <c r="AS7">
        <v>1</v>
      </c>
      <c r="AT7" t="s">
        <v>536</v>
      </c>
      <c r="AU7">
        <v>12</v>
      </c>
      <c r="AV7" t="s">
        <v>537</v>
      </c>
      <c r="BE7">
        <v>2</v>
      </c>
      <c r="BF7" t="s">
        <v>465</v>
      </c>
      <c r="BI7" t="s">
        <v>538</v>
      </c>
      <c r="BL7">
        <v>4</v>
      </c>
      <c r="BM7" t="s">
        <v>539</v>
      </c>
      <c r="CD7">
        <v>16</v>
      </c>
      <c r="CF7">
        <v>11</v>
      </c>
      <c r="CH7">
        <v>2</v>
      </c>
      <c r="CI7">
        <v>11</v>
      </c>
      <c r="CJ7">
        <v>2</v>
      </c>
      <c r="CK7" s="4">
        <f t="shared" si="7"/>
        <v>3</v>
      </c>
      <c r="CL7">
        <v>3</v>
      </c>
      <c r="CM7">
        <v>1</v>
      </c>
      <c r="DC7">
        <v>6</v>
      </c>
      <c r="DW7">
        <v>15</v>
      </c>
      <c r="DX7" t="s">
        <v>541</v>
      </c>
      <c r="DY7">
        <v>2024</v>
      </c>
      <c r="DZ7" t="s">
        <v>552</v>
      </c>
      <c r="EA7" t="s">
        <v>553</v>
      </c>
      <c r="EB7" t="s">
        <v>554</v>
      </c>
      <c r="EC7" t="s">
        <v>555</v>
      </c>
      <c r="ED7" t="s">
        <v>556</v>
      </c>
      <c r="EF7" t="s">
        <v>442</v>
      </c>
      <c r="EG7" t="s">
        <v>443</v>
      </c>
      <c r="EI7" s="11" t="s">
        <v>542</v>
      </c>
      <c r="EL7" s="11" t="s">
        <v>543</v>
      </c>
      <c r="EO7" s="11" t="s">
        <v>544</v>
      </c>
      <c r="ER7" s="11" t="s">
        <v>545</v>
      </c>
      <c r="EU7" s="11" t="s">
        <v>546</v>
      </c>
      <c r="EX7" s="11" t="s">
        <v>547</v>
      </c>
      <c r="FA7" s="11" t="s">
        <v>548</v>
      </c>
      <c r="FD7" s="11" t="s">
        <v>549</v>
      </c>
      <c r="FG7" s="11" t="s">
        <v>550</v>
      </c>
      <c r="FK7">
        <v>0</v>
      </c>
      <c r="FL7" s="4">
        <f t="shared" si="8"/>
        <v>0</v>
      </c>
      <c r="FN7">
        <v>0</v>
      </c>
      <c r="FO7" s="4">
        <f t="shared" si="9"/>
        <v>0</v>
      </c>
      <c r="FQ7">
        <v>0</v>
      </c>
      <c r="FR7" s="4">
        <f t="shared" si="10"/>
        <v>0</v>
      </c>
      <c r="FS7" t="s">
        <v>455</v>
      </c>
      <c r="FT7">
        <v>2500</v>
      </c>
      <c r="FU7" s="4">
        <f t="shared" si="11"/>
        <v>0.16666666666666666</v>
      </c>
      <c r="FV7" s="4">
        <f t="shared" si="5"/>
        <v>0.16666666666666666</v>
      </c>
      <c r="FW7" s="4" t="str">
        <f t="shared" si="12"/>
        <v>ORDINARIO</v>
      </c>
    </row>
    <row r="8" spans="1:322" x14ac:dyDescent="0.3">
      <c r="A8">
        <v>6</v>
      </c>
      <c r="B8" t="s">
        <v>578</v>
      </c>
      <c r="C8" t="s">
        <v>762</v>
      </c>
      <c r="D8" t="s">
        <v>783</v>
      </c>
      <c r="E8" t="s">
        <v>742</v>
      </c>
      <c r="F8" t="s">
        <v>743</v>
      </c>
      <c r="G8" t="s">
        <v>578</v>
      </c>
      <c r="H8" t="s">
        <v>744</v>
      </c>
      <c r="I8" t="s">
        <v>745</v>
      </c>
      <c r="J8">
        <v>39</v>
      </c>
      <c r="L8" t="s">
        <v>746</v>
      </c>
      <c r="M8" t="s">
        <v>747</v>
      </c>
      <c r="N8" t="s">
        <v>424</v>
      </c>
      <c r="O8">
        <v>72710</v>
      </c>
      <c r="P8" t="s">
        <v>748</v>
      </c>
      <c r="Q8" s="3" t="s">
        <v>749</v>
      </c>
      <c r="R8">
        <v>12</v>
      </c>
      <c r="S8" t="s">
        <v>750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463</v>
      </c>
      <c r="AE8" t="s">
        <v>751</v>
      </c>
      <c r="AF8" t="s">
        <v>1651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430</v>
      </c>
      <c r="AQ8" t="s">
        <v>431</v>
      </c>
      <c r="AR8" s="4">
        <f t="shared" si="0"/>
        <v>13</v>
      </c>
      <c r="AS8">
        <v>1</v>
      </c>
      <c r="AT8" t="s">
        <v>432</v>
      </c>
      <c r="AU8">
        <v>7</v>
      </c>
      <c r="AV8" t="s">
        <v>752</v>
      </c>
      <c r="AW8">
        <v>7</v>
      </c>
      <c r="AY8">
        <v>7</v>
      </c>
      <c r="AZ8" t="s">
        <v>792</v>
      </c>
      <c r="BA8">
        <v>3</v>
      </c>
      <c r="BB8" t="s">
        <v>1657</v>
      </c>
      <c r="BC8">
        <v>1</v>
      </c>
      <c r="BD8" t="s">
        <v>432</v>
      </c>
      <c r="BE8">
        <v>1</v>
      </c>
      <c r="BF8" t="s">
        <v>753</v>
      </c>
      <c r="BI8" t="s">
        <v>754</v>
      </c>
      <c r="BL8">
        <v>2</v>
      </c>
      <c r="BM8" t="s">
        <v>754</v>
      </c>
      <c r="CD8">
        <v>2</v>
      </c>
      <c r="CF8">
        <v>1</v>
      </c>
      <c r="CH8">
        <v>1</v>
      </c>
      <c r="CJ8">
        <v>2</v>
      </c>
      <c r="CK8" s="4">
        <f t="shared" si="7"/>
        <v>24</v>
      </c>
      <c r="CL8">
        <v>8</v>
      </c>
      <c r="CM8">
        <v>2</v>
      </c>
      <c r="CN8">
        <v>8</v>
      </c>
      <c r="CO8">
        <v>8</v>
      </c>
      <c r="DI8">
        <v>1</v>
      </c>
      <c r="DJ8" t="s">
        <v>776</v>
      </c>
      <c r="DK8">
        <v>3</v>
      </c>
      <c r="DL8">
        <v>40000</v>
      </c>
      <c r="DM8">
        <v>40000</v>
      </c>
      <c r="DN8">
        <v>80000</v>
      </c>
      <c r="DW8">
        <v>21</v>
      </c>
      <c r="DX8" t="s">
        <v>541</v>
      </c>
      <c r="DY8">
        <v>2024</v>
      </c>
      <c r="DZ8" t="s">
        <v>755</v>
      </c>
      <c r="EA8" t="s">
        <v>756</v>
      </c>
      <c r="EB8" t="s">
        <v>757</v>
      </c>
      <c r="EC8" t="s">
        <v>758</v>
      </c>
      <c r="ED8" t="s">
        <v>759</v>
      </c>
      <c r="EF8" t="s">
        <v>442</v>
      </c>
      <c r="EG8" t="s">
        <v>443</v>
      </c>
      <c r="EI8" s="11" t="s">
        <v>1652</v>
      </c>
      <c r="EL8" s="11" t="s">
        <v>1653</v>
      </c>
      <c r="ER8" s="11" t="s">
        <v>1654</v>
      </c>
      <c r="EX8" s="11" t="s">
        <v>1655</v>
      </c>
      <c r="FD8" s="11" t="s">
        <v>1656</v>
      </c>
      <c r="FK8">
        <v>0</v>
      </c>
      <c r="FL8" s="4">
        <f t="shared" si="8"/>
        <v>0</v>
      </c>
      <c r="FM8" t="s">
        <v>454</v>
      </c>
      <c r="FN8">
        <v>80000</v>
      </c>
      <c r="FO8" s="4">
        <f t="shared" si="9"/>
        <v>57.142857142857146</v>
      </c>
      <c r="FP8" t="s">
        <v>760</v>
      </c>
      <c r="FQ8">
        <v>80200</v>
      </c>
      <c r="FR8" s="4">
        <f t="shared" si="10"/>
        <v>40.1</v>
      </c>
      <c r="FS8" t="s">
        <v>455</v>
      </c>
      <c r="FT8">
        <v>1000</v>
      </c>
      <c r="FU8" s="4">
        <f t="shared" si="11"/>
        <v>6.6666666666666666E-2</v>
      </c>
      <c r="FV8" s="4">
        <f t="shared" si="5"/>
        <v>97.30952380952381</v>
      </c>
      <c r="FW8" s="4" t="str">
        <f t="shared" si="12"/>
        <v>ALTO</v>
      </c>
    </row>
    <row r="9" spans="1:322" x14ac:dyDescent="0.3">
      <c r="A9">
        <v>7</v>
      </c>
      <c r="B9" t="s">
        <v>578</v>
      </c>
      <c r="C9" t="s">
        <v>761</v>
      </c>
      <c r="D9" t="s">
        <v>774</v>
      </c>
      <c r="E9" t="s">
        <v>763</v>
      </c>
      <c r="F9" t="s">
        <v>764</v>
      </c>
      <c r="G9" t="s">
        <v>578</v>
      </c>
      <c r="H9" t="s">
        <v>744</v>
      </c>
      <c r="I9" t="s">
        <v>765</v>
      </c>
      <c r="J9" t="s">
        <v>766</v>
      </c>
      <c r="L9" t="s">
        <v>767</v>
      </c>
      <c r="M9" t="s">
        <v>768</v>
      </c>
      <c r="N9" t="s">
        <v>424</v>
      </c>
      <c r="O9">
        <v>74160</v>
      </c>
      <c r="P9">
        <v>2482498271</v>
      </c>
      <c r="Q9" s="3" t="s">
        <v>769</v>
      </c>
      <c r="R9">
        <v>32</v>
      </c>
      <c r="S9" t="s">
        <v>770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463</v>
      </c>
      <c r="AE9" t="s">
        <v>751</v>
      </c>
      <c r="AF9" t="s">
        <v>771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430</v>
      </c>
      <c r="AQ9" t="s">
        <v>772</v>
      </c>
      <c r="AR9" s="4">
        <f t="shared" si="0"/>
        <v>13</v>
      </c>
      <c r="AS9">
        <v>1</v>
      </c>
      <c r="AT9" t="s">
        <v>432</v>
      </c>
      <c r="AU9">
        <v>5</v>
      </c>
      <c r="AV9" t="s">
        <v>752</v>
      </c>
      <c r="AW9">
        <v>5</v>
      </c>
      <c r="AY9">
        <v>3</v>
      </c>
      <c r="AZ9" t="s">
        <v>773</v>
      </c>
      <c r="BA9">
        <v>3</v>
      </c>
      <c r="BB9" t="s">
        <v>775</v>
      </c>
      <c r="BE9">
        <v>1</v>
      </c>
      <c r="BF9" t="s">
        <v>753</v>
      </c>
      <c r="BI9" t="s">
        <v>1658</v>
      </c>
      <c r="CD9">
        <v>5</v>
      </c>
      <c r="CH9">
        <v>1</v>
      </c>
      <c r="CJ9">
        <v>1</v>
      </c>
      <c r="CK9" s="4">
        <f t="shared" si="7"/>
        <v>26</v>
      </c>
      <c r="CL9">
        <v>10</v>
      </c>
      <c r="CN9">
        <v>8</v>
      </c>
      <c r="CO9">
        <v>8</v>
      </c>
      <c r="DI9">
        <v>1</v>
      </c>
      <c r="DJ9" t="s">
        <v>776</v>
      </c>
      <c r="DK9">
        <v>3</v>
      </c>
      <c r="DL9">
        <v>100000</v>
      </c>
      <c r="DM9">
        <v>100000</v>
      </c>
      <c r="DN9">
        <v>80000</v>
      </c>
      <c r="DW9">
        <v>22</v>
      </c>
      <c r="DX9" t="s">
        <v>541</v>
      </c>
      <c r="DY9">
        <v>2024</v>
      </c>
      <c r="DZ9" t="s">
        <v>777</v>
      </c>
      <c r="EA9" t="s">
        <v>778</v>
      </c>
      <c r="EB9" t="s">
        <v>779</v>
      </c>
      <c r="EC9" t="s">
        <v>779</v>
      </c>
      <c r="ED9" t="s">
        <v>780</v>
      </c>
      <c r="EF9" t="s">
        <v>442</v>
      </c>
      <c r="EG9" t="s">
        <v>443</v>
      </c>
      <c r="EI9" s="11" t="s">
        <v>781</v>
      </c>
      <c r="EX9" s="11" t="s">
        <v>782</v>
      </c>
      <c r="FK9">
        <v>0</v>
      </c>
      <c r="FL9" s="4">
        <f t="shared" si="8"/>
        <v>0</v>
      </c>
      <c r="FM9" t="s">
        <v>454</v>
      </c>
      <c r="FN9">
        <v>200000</v>
      </c>
      <c r="FO9" s="4">
        <f t="shared" si="9"/>
        <v>142.85714285714286</v>
      </c>
      <c r="FP9" t="s">
        <v>760</v>
      </c>
      <c r="FQ9">
        <v>80020</v>
      </c>
      <c r="FR9" s="4">
        <f t="shared" si="10"/>
        <v>40.01</v>
      </c>
      <c r="FS9" t="s">
        <v>455</v>
      </c>
      <c r="FT9">
        <v>1000</v>
      </c>
      <c r="FU9" s="4">
        <f t="shared" si="11"/>
        <v>6.6666666666666666E-2</v>
      </c>
      <c r="FV9" s="4">
        <f t="shared" si="5"/>
        <v>182.93380952380951</v>
      </c>
      <c r="FW9" s="4" t="str">
        <f t="shared" si="12"/>
        <v>ALTO</v>
      </c>
    </row>
    <row r="10" spans="1:322" x14ac:dyDescent="0.3">
      <c r="A10">
        <v>8</v>
      </c>
      <c r="B10" t="s">
        <v>578</v>
      </c>
      <c r="C10" t="s">
        <v>784</v>
      </c>
      <c r="D10" t="s">
        <v>785</v>
      </c>
      <c r="E10" t="s">
        <v>786</v>
      </c>
      <c r="F10" t="s">
        <v>787</v>
      </c>
      <c r="G10" t="s">
        <v>578</v>
      </c>
      <c r="H10" t="s">
        <v>744</v>
      </c>
      <c r="I10" t="s">
        <v>765</v>
      </c>
      <c r="J10" t="s">
        <v>788</v>
      </c>
      <c r="L10" t="s">
        <v>789</v>
      </c>
      <c r="M10" t="s">
        <v>768</v>
      </c>
      <c r="N10" t="s">
        <v>424</v>
      </c>
      <c r="O10">
        <v>74160</v>
      </c>
      <c r="P10">
        <v>2272762794</v>
      </c>
      <c r="Q10" s="3" t="s">
        <v>790</v>
      </c>
      <c r="R10">
        <v>24</v>
      </c>
      <c r="S10" t="s">
        <v>791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427</v>
      </c>
      <c r="AE10" t="s">
        <v>751</v>
      </c>
      <c r="AF10" t="s">
        <v>1059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430</v>
      </c>
      <c r="AQ10" t="s">
        <v>431</v>
      </c>
      <c r="AR10" s="4">
        <f t="shared" si="0"/>
        <v>18</v>
      </c>
      <c r="AS10">
        <v>1</v>
      </c>
      <c r="AT10" t="s">
        <v>432</v>
      </c>
      <c r="AU10">
        <v>8</v>
      </c>
      <c r="AV10" t="s">
        <v>752</v>
      </c>
      <c r="AW10">
        <v>7</v>
      </c>
      <c r="AX10">
        <v>1</v>
      </c>
      <c r="AY10">
        <v>9</v>
      </c>
      <c r="AZ10" t="s">
        <v>792</v>
      </c>
      <c r="BA10">
        <v>3</v>
      </c>
      <c r="BB10" t="s">
        <v>793</v>
      </c>
      <c r="BE10">
        <v>1</v>
      </c>
      <c r="BF10" t="s">
        <v>753</v>
      </c>
      <c r="BI10" t="s">
        <v>754</v>
      </c>
      <c r="BL10">
        <v>1</v>
      </c>
      <c r="BM10" t="s">
        <v>754</v>
      </c>
      <c r="CD10">
        <v>6</v>
      </c>
      <c r="CH10">
        <v>1</v>
      </c>
      <c r="CI10">
        <v>1</v>
      </c>
      <c r="CJ10">
        <v>5</v>
      </c>
      <c r="CK10" s="4">
        <f t="shared" si="7"/>
        <v>24</v>
      </c>
      <c r="CL10">
        <v>8</v>
      </c>
      <c r="CN10">
        <v>8</v>
      </c>
      <c r="CO10">
        <v>8</v>
      </c>
      <c r="DI10">
        <v>2</v>
      </c>
      <c r="DJ10" t="s">
        <v>776</v>
      </c>
      <c r="DK10">
        <v>3</v>
      </c>
      <c r="DL10">
        <v>40000</v>
      </c>
      <c r="DM10">
        <v>50000</v>
      </c>
      <c r="DN10">
        <v>60000</v>
      </c>
      <c r="DW10">
        <v>22</v>
      </c>
      <c r="DX10" t="s">
        <v>541</v>
      </c>
      <c r="DY10">
        <v>2024</v>
      </c>
      <c r="DZ10" t="s">
        <v>794</v>
      </c>
      <c r="EA10" t="s">
        <v>779</v>
      </c>
      <c r="EB10" t="s">
        <v>795</v>
      </c>
      <c r="EC10" t="s">
        <v>796</v>
      </c>
      <c r="ED10" t="s">
        <v>779</v>
      </c>
      <c r="EF10" t="s">
        <v>442</v>
      </c>
      <c r="EG10" t="s">
        <v>443</v>
      </c>
      <c r="EI10" s="11" t="s">
        <v>797</v>
      </c>
      <c r="EL10" s="11" t="s">
        <v>798</v>
      </c>
      <c r="EO10" s="11" t="s">
        <v>799</v>
      </c>
      <c r="ER10" s="11" t="s">
        <v>800</v>
      </c>
      <c r="EU10" s="11" t="s">
        <v>801</v>
      </c>
      <c r="EX10" s="11" t="s">
        <v>802</v>
      </c>
      <c r="FA10" s="11" t="s">
        <v>803</v>
      </c>
      <c r="FD10" s="11" t="s">
        <v>840</v>
      </c>
      <c r="FK10">
        <v>0</v>
      </c>
      <c r="FL10" s="4">
        <f t="shared" si="8"/>
        <v>0</v>
      </c>
      <c r="FM10" t="s">
        <v>454</v>
      </c>
      <c r="FN10">
        <v>90000</v>
      </c>
      <c r="FO10" s="4">
        <f t="shared" si="9"/>
        <v>64.285714285714292</v>
      </c>
      <c r="FP10" t="s">
        <v>760</v>
      </c>
      <c r="FQ10">
        <v>6030</v>
      </c>
      <c r="FR10" s="4">
        <f t="shared" si="10"/>
        <v>3.0150000000000001</v>
      </c>
      <c r="FS10" t="s">
        <v>455</v>
      </c>
      <c r="FT10">
        <v>1000</v>
      </c>
      <c r="FU10" s="4">
        <f t="shared" si="11"/>
        <v>6.6666666666666666E-2</v>
      </c>
      <c r="FV10" s="4">
        <f t="shared" si="5"/>
        <v>67.367380952380955</v>
      </c>
      <c r="FW10" s="4" t="str">
        <f t="shared" si="12"/>
        <v>ALTO</v>
      </c>
    </row>
    <row r="11" spans="1:322" x14ac:dyDescent="0.3">
      <c r="A11">
        <v>9</v>
      </c>
      <c r="B11" t="s">
        <v>578</v>
      </c>
      <c r="C11" t="s">
        <v>804</v>
      </c>
      <c r="D11" t="s">
        <v>806</v>
      </c>
      <c r="E11" t="s">
        <v>807</v>
      </c>
      <c r="F11" t="s">
        <v>805</v>
      </c>
      <c r="G11" t="s">
        <v>808</v>
      </c>
      <c r="H11" t="s">
        <v>744</v>
      </c>
      <c r="I11" t="s">
        <v>809</v>
      </c>
      <c r="J11" t="s">
        <v>810</v>
      </c>
      <c r="L11" t="s">
        <v>811</v>
      </c>
      <c r="M11" t="s">
        <v>812</v>
      </c>
      <c r="N11" t="s">
        <v>424</v>
      </c>
      <c r="O11">
        <v>72760</v>
      </c>
      <c r="P11" t="s">
        <v>813</v>
      </c>
      <c r="Q11" s="3" t="s">
        <v>814</v>
      </c>
      <c r="R11">
        <v>29</v>
      </c>
      <c r="S11" t="s">
        <v>815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532</v>
      </c>
      <c r="AE11" t="s">
        <v>751</v>
      </c>
      <c r="AF11" t="s">
        <v>1661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430</v>
      </c>
      <c r="AQ11" t="s">
        <v>431</v>
      </c>
      <c r="AR11" s="4">
        <f t="shared" si="0"/>
        <v>24</v>
      </c>
      <c r="AS11">
        <v>1</v>
      </c>
      <c r="AT11" t="s">
        <v>432</v>
      </c>
      <c r="AU11">
        <v>13</v>
      </c>
      <c r="AV11" t="s">
        <v>1662</v>
      </c>
      <c r="AW11">
        <v>13</v>
      </c>
      <c r="AY11">
        <v>9</v>
      </c>
      <c r="AZ11" t="s">
        <v>792</v>
      </c>
      <c r="BA11">
        <v>3</v>
      </c>
      <c r="BB11" t="s">
        <v>1657</v>
      </c>
      <c r="BE11">
        <v>1</v>
      </c>
      <c r="BF11" t="s">
        <v>753</v>
      </c>
      <c r="BI11" t="s">
        <v>754</v>
      </c>
      <c r="BL11">
        <v>1</v>
      </c>
      <c r="BM11" t="s">
        <v>754</v>
      </c>
      <c r="CD11">
        <v>3</v>
      </c>
      <c r="CF11">
        <v>4</v>
      </c>
      <c r="CH11">
        <v>1</v>
      </c>
      <c r="CI11">
        <v>1</v>
      </c>
      <c r="CJ11">
        <v>5</v>
      </c>
      <c r="CK11" s="4">
        <f t="shared" si="7"/>
        <v>20</v>
      </c>
      <c r="CL11">
        <v>8</v>
      </c>
      <c r="CM11">
        <v>1</v>
      </c>
      <c r="CN11">
        <v>6</v>
      </c>
      <c r="CO11">
        <v>6</v>
      </c>
      <c r="DE11">
        <v>1</v>
      </c>
      <c r="DF11" t="s">
        <v>754</v>
      </c>
      <c r="DK11">
        <v>3</v>
      </c>
      <c r="DL11">
        <v>60000</v>
      </c>
      <c r="DM11">
        <v>80000</v>
      </c>
      <c r="DN11">
        <v>80000</v>
      </c>
      <c r="DW11">
        <v>20</v>
      </c>
      <c r="DX11" t="s">
        <v>541</v>
      </c>
      <c r="DY11">
        <v>2024</v>
      </c>
      <c r="DZ11" t="s">
        <v>816</v>
      </c>
      <c r="EA11" t="s">
        <v>817</v>
      </c>
      <c r="EB11" t="s">
        <v>818</v>
      </c>
      <c r="EC11" t="s">
        <v>819</v>
      </c>
      <c r="ED11" t="s">
        <v>554</v>
      </c>
      <c r="EF11" t="s">
        <v>442</v>
      </c>
      <c r="EG11" t="s">
        <v>443</v>
      </c>
      <c r="EI11" s="11" t="s">
        <v>1663</v>
      </c>
      <c r="EL11" s="11" t="s">
        <v>1664</v>
      </c>
      <c r="EO11" s="11" t="s">
        <v>1665</v>
      </c>
      <c r="ER11" s="11" t="s">
        <v>1666</v>
      </c>
      <c r="EU11" s="11" t="s">
        <v>1667</v>
      </c>
      <c r="EX11" s="11" t="s">
        <v>1668</v>
      </c>
      <c r="FA11" s="11" t="s">
        <v>1669</v>
      </c>
      <c r="FD11" s="11" t="s">
        <v>1670</v>
      </c>
      <c r="FG11" s="11" t="s">
        <v>1671</v>
      </c>
      <c r="FJ11" t="s">
        <v>820</v>
      </c>
      <c r="FK11">
        <v>100</v>
      </c>
      <c r="FL11" s="4">
        <f t="shared" si="8"/>
        <v>3.3333333333333333E-2</v>
      </c>
      <c r="FM11" t="s">
        <v>454</v>
      </c>
      <c r="FN11">
        <v>140000</v>
      </c>
      <c r="FO11" s="4">
        <f t="shared" si="9"/>
        <v>100</v>
      </c>
      <c r="FP11" t="s">
        <v>760</v>
      </c>
      <c r="FQ11">
        <v>80130</v>
      </c>
      <c r="FR11" s="4">
        <f t="shared" si="10"/>
        <v>40.064999999999998</v>
      </c>
      <c r="FS11" t="s">
        <v>455</v>
      </c>
      <c r="FT11">
        <v>15000</v>
      </c>
      <c r="FU11" s="4">
        <f t="shared" si="11"/>
        <v>1</v>
      </c>
      <c r="FV11" s="4">
        <f t="shared" si="5"/>
        <v>141.09833333333333</v>
      </c>
      <c r="FW11" s="4" t="str">
        <f t="shared" si="12"/>
        <v>ALTO</v>
      </c>
    </row>
    <row r="12" spans="1:322" x14ac:dyDescent="0.3">
      <c r="A12">
        <v>10</v>
      </c>
      <c r="B12" t="s">
        <v>578</v>
      </c>
      <c r="C12" t="s">
        <v>784</v>
      </c>
      <c r="D12" t="s">
        <v>821</v>
      </c>
      <c r="E12" t="s">
        <v>786</v>
      </c>
      <c r="F12" t="s">
        <v>1692</v>
      </c>
      <c r="G12" t="s">
        <v>1693</v>
      </c>
      <c r="H12" t="s">
        <v>744</v>
      </c>
      <c r="I12" t="s">
        <v>822</v>
      </c>
      <c r="J12" t="s">
        <v>823</v>
      </c>
      <c r="L12" t="s">
        <v>824</v>
      </c>
      <c r="M12" t="s">
        <v>825</v>
      </c>
      <c r="N12" t="s">
        <v>424</v>
      </c>
      <c r="O12">
        <v>74170</v>
      </c>
      <c r="P12" t="s">
        <v>826</v>
      </c>
      <c r="Q12" s="3" t="s">
        <v>827</v>
      </c>
      <c r="R12">
        <v>24</v>
      </c>
      <c r="S12" t="s">
        <v>828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463</v>
      </c>
      <c r="AE12" t="s">
        <v>751</v>
      </c>
      <c r="AF12" t="s">
        <v>1695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430</v>
      </c>
      <c r="AQ12" t="s">
        <v>1694</v>
      </c>
      <c r="AR12" s="4">
        <f t="shared" si="0"/>
        <v>10</v>
      </c>
      <c r="AS12">
        <v>1</v>
      </c>
      <c r="AT12" t="s">
        <v>432</v>
      </c>
      <c r="AU12">
        <v>6</v>
      </c>
      <c r="AV12" t="s">
        <v>752</v>
      </c>
      <c r="AW12">
        <v>6</v>
      </c>
      <c r="AY12">
        <v>5</v>
      </c>
      <c r="AZ12" t="s">
        <v>792</v>
      </c>
      <c r="BA12">
        <v>3</v>
      </c>
      <c r="BB12" t="s">
        <v>1696</v>
      </c>
      <c r="BC12">
        <v>1</v>
      </c>
      <c r="BD12" t="s">
        <v>432</v>
      </c>
      <c r="BE12">
        <v>1</v>
      </c>
      <c r="BF12" t="s">
        <v>753</v>
      </c>
      <c r="BI12" t="s">
        <v>754</v>
      </c>
      <c r="CF12">
        <v>1</v>
      </c>
      <c r="CH12">
        <v>1</v>
      </c>
      <c r="CJ12">
        <v>3</v>
      </c>
      <c r="CK12" s="4">
        <f t="shared" si="7"/>
        <v>9</v>
      </c>
      <c r="CL12">
        <v>3</v>
      </c>
      <c r="CM12">
        <v>1</v>
      </c>
      <c r="CN12">
        <v>3</v>
      </c>
      <c r="CO12">
        <v>3</v>
      </c>
      <c r="DI12">
        <v>2</v>
      </c>
      <c r="DJ12" t="s">
        <v>776</v>
      </c>
      <c r="DK12">
        <v>3</v>
      </c>
      <c r="DL12">
        <v>60000</v>
      </c>
      <c r="DM12">
        <v>40000</v>
      </c>
      <c r="DN12">
        <v>60000</v>
      </c>
      <c r="DW12">
        <v>21</v>
      </c>
      <c r="DX12" t="s">
        <v>541</v>
      </c>
      <c r="DY12">
        <v>2024</v>
      </c>
      <c r="DZ12" t="s">
        <v>1697</v>
      </c>
      <c r="EA12" t="s">
        <v>1698</v>
      </c>
      <c r="EB12" t="s">
        <v>1699</v>
      </c>
      <c r="EC12" t="s">
        <v>1700</v>
      </c>
      <c r="ED12" t="s">
        <v>554</v>
      </c>
      <c r="EF12" t="s">
        <v>442</v>
      </c>
      <c r="EG12" t="s">
        <v>443</v>
      </c>
      <c r="EI12" s="11" t="s">
        <v>1701</v>
      </c>
      <c r="EL12" s="11" t="s">
        <v>1702</v>
      </c>
      <c r="ER12" s="11" t="s">
        <v>1703</v>
      </c>
      <c r="EX12" s="11" t="s">
        <v>1704</v>
      </c>
      <c r="FD12" s="11" t="s">
        <v>1705</v>
      </c>
      <c r="FK12">
        <v>0</v>
      </c>
      <c r="FL12" s="4">
        <f t="shared" si="8"/>
        <v>0</v>
      </c>
      <c r="FM12" t="s">
        <v>454</v>
      </c>
      <c r="FN12">
        <v>100000</v>
      </c>
      <c r="FO12" s="4">
        <f t="shared" si="9"/>
        <v>71.428571428571431</v>
      </c>
      <c r="FP12" t="s">
        <v>760</v>
      </c>
      <c r="FQ12">
        <v>60200</v>
      </c>
      <c r="FR12" s="4">
        <f t="shared" si="10"/>
        <v>30.1</v>
      </c>
      <c r="FS12" t="s">
        <v>455</v>
      </c>
      <c r="FT12">
        <v>15000</v>
      </c>
      <c r="FU12" s="4">
        <f t="shared" si="11"/>
        <v>1</v>
      </c>
      <c r="FV12" s="4">
        <f t="shared" si="5"/>
        <v>102.52857142857144</v>
      </c>
      <c r="FW12" s="4" t="str">
        <f t="shared" si="12"/>
        <v>ALTO</v>
      </c>
    </row>
    <row r="13" spans="1:322" x14ac:dyDescent="0.3">
      <c r="A13">
        <v>11</v>
      </c>
      <c r="B13" t="s">
        <v>578</v>
      </c>
      <c r="C13" t="s">
        <v>804</v>
      </c>
      <c r="D13" t="s">
        <v>1672</v>
      </c>
      <c r="E13" t="s">
        <v>807</v>
      </c>
      <c r="F13" t="s">
        <v>1673</v>
      </c>
      <c r="G13" t="s">
        <v>578</v>
      </c>
      <c r="H13" t="s">
        <v>744</v>
      </c>
      <c r="I13" t="s">
        <v>1674</v>
      </c>
      <c r="J13">
        <v>2</v>
      </c>
      <c r="L13" t="s">
        <v>1675</v>
      </c>
      <c r="M13" t="s">
        <v>1676</v>
      </c>
      <c r="N13" t="s">
        <v>424</v>
      </c>
      <c r="O13">
        <v>72850</v>
      </c>
      <c r="P13">
        <v>2221296938</v>
      </c>
      <c r="Q13" s="3" t="s">
        <v>1677</v>
      </c>
      <c r="R13">
        <v>12</v>
      </c>
      <c r="S13" t="s">
        <v>1678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463</v>
      </c>
      <c r="AE13" t="s">
        <v>751</v>
      </c>
      <c r="AF13" t="s">
        <v>1679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430</v>
      </c>
      <c r="AQ13" t="s">
        <v>1680</v>
      </c>
      <c r="AR13" s="4">
        <f t="shared" si="0"/>
        <v>18</v>
      </c>
      <c r="AS13">
        <v>1</v>
      </c>
      <c r="AT13" t="s">
        <v>432</v>
      </c>
      <c r="AU13">
        <v>8</v>
      </c>
      <c r="AV13" t="s">
        <v>752</v>
      </c>
      <c r="AW13">
        <v>8</v>
      </c>
      <c r="AY13">
        <v>6</v>
      </c>
      <c r="AZ13" t="s">
        <v>792</v>
      </c>
      <c r="BA13">
        <v>3</v>
      </c>
      <c r="BB13" t="s">
        <v>793</v>
      </c>
      <c r="BL13">
        <v>1</v>
      </c>
      <c r="BM13" t="s">
        <v>754</v>
      </c>
      <c r="CD13">
        <v>7</v>
      </c>
      <c r="CF13">
        <v>1</v>
      </c>
      <c r="CH13">
        <v>1</v>
      </c>
      <c r="CJ13">
        <v>1</v>
      </c>
      <c r="CK13" s="4">
        <f t="shared" si="7"/>
        <v>15</v>
      </c>
      <c r="CL13">
        <v>5</v>
      </c>
      <c r="CN13">
        <v>5</v>
      </c>
      <c r="CO13">
        <v>5</v>
      </c>
      <c r="DK13">
        <v>3</v>
      </c>
      <c r="DL13">
        <v>40000</v>
      </c>
      <c r="DM13">
        <v>80000</v>
      </c>
      <c r="DN13">
        <v>80000</v>
      </c>
      <c r="DW13">
        <v>20</v>
      </c>
      <c r="DX13" t="s">
        <v>541</v>
      </c>
      <c r="DY13">
        <v>2024</v>
      </c>
      <c r="DZ13" t="s">
        <v>1681</v>
      </c>
      <c r="EA13" t="s">
        <v>554</v>
      </c>
      <c r="EB13" t="s">
        <v>554</v>
      </c>
      <c r="EC13" t="s">
        <v>1682</v>
      </c>
      <c r="ED13" t="s">
        <v>554</v>
      </c>
      <c r="EF13" t="s">
        <v>442</v>
      </c>
      <c r="EG13" t="s">
        <v>443</v>
      </c>
      <c r="EI13" s="11" t="s">
        <v>1683</v>
      </c>
      <c r="EL13" s="11" t="s">
        <v>1684</v>
      </c>
      <c r="EO13" s="11" t="s">
        <v>1685</v>
      </c>
      <c r="ER13" s="11" t="s">
        <v>1686</v>
      </c>
      <c r="EU13" s="11" t="s">
        <v>1687</v>
      </c>
      <c r="EX13" s="11" t="s">
        <v>1688</v>
      </c>
      <c r="FA13" s="11" t="s">
        <v>1689</v>
      </c>
      <c r="FD13" s="11" t="s">
        <v>1690</v>
      </c>
      <c r="FG13" s="11" t="s">
        <v>1691</v>
      </c>
      <c r="FK13">
        <v>0</v>
      </c>
      <c r="FL13" s="4">
        <f t="shared" si="8"/>
        <v>0</v>
      </c>
      <c r="FM13" t="s">
        <v>454</v>
      </c>
      <c r="FN13">
        <v>120000</v>
      </c>
      <c r="FO13" s="4">
        <f t="shared" si="9"/>
        <v>85.714285714285708</v>
      </c>
      <c r="FP13" t="s">
        <v>760</v>
      </c>
      <c r="FQ13">
        <v>80307.45</v>
      </c>
      <c r="FR13" s="4">
        <f t="shared" si="10"/>
        <v>40.153725000000001</v>
      </c>
      <c r="FS13" t="s">
        <v>455</v>
      </c>
      <c r="FT13">
        <v>2500</v>
      </c>
      <c r="FU13" s="4">
        <f t="shared" si="11"/>
        <v>0.16666666666666666</v>
      </c>
      <c r="FV13" s="4">
        <f t="shared" si="5"/>
        <v>126.03467738095237</v>
      </c>
      <c r="FW13" s="4" t="str">
        <f t="shared" si="12"/>
        <v>ALTO</v>
      </c>
    </row>
    <row r="14" spans="1:322" x14ac:dyDescent="0.3">
      <c r="A14">
        <v>12</v>
      </c>
      <c r="B14" t="s">
        <v>842</v>
      </c>
      <c r="C14" t="s">
        <v>947</v>
      </c>
      <c r="D14" s="1" t="s">
        <v>1086</v>
      </c>
      <c r="E14" t="s">
        <v>844</v>
      </c>
      <c r="G14" t="s">
        <v>845</v>
      </c>
      <c r="H14" t="s">
        <v>846</v>
      </c>
      <c r="I14" t="s">
        <v>1087</v>
      </c>
      <c r="J14">
        <v>201</v>
      </c>
      <c r="L14" t="s">
        <v>1088</v>
      </c>
      <c r="M14" t="s">
        <v>424</v>
      </c>
      <c r="N14" t="s">
        <v>424</v>
      </c>
      <c r="O14">
        <v>72534</v>
      </c>
      <c r="P14">
        <v>2222405840</v>
      </c>
      <c r="Q14" s="3" t="s">
        <v>1089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427</v>
      </c>
      <c r="AE14" t="s">
        <v>850</v>
      </c>
      <c r="AF14" t="s">
        <v>1090</v>
      </c>
      <c r="AG14">
        <v>9</v>
      </c>
      <c r="AH14">
        <v>0</v>
      </c>
      <c r="AI14">
        <v>3</v>
      </c>
      <c r="AJ14">
        <v>6</v>
      </c>
      <c r="AK14">
        <v>0</v>
      </c>
      <c r="AL14">
        <v>0</v>
      </c>
      <c r="AM14">
        <v>1</v>
      </c>
      <c r="AP14" t="s">
        <v>534</v>
      </c>
      <c r="AQ14" t="s">
        <v>852</v>
      </c>
      <c r="AR14" s="4">
        <f t="shared" si="0"/>
        <v>15</v>
      </c>
      <c r="AS14">
        <v>1</v>
      </c>
      <c r="AT14" t="s">
        <v>1024</v>
      </c>
      <c r="AU14">
        <v>4</v>
      </c>
      <c r="AV14" t="s">
        <v>854</v>
      </c>
      <c r="AW14">
        <v>3</v>
      </c>
      <c r="AX14">
        <v>1</v>
      </c>
      <c r="BE14">
        <v>1</v>
      </c>
      <c r="BF14" t="s">
        <v>855</v>
      </c>
      <c r="BH14">
        <v>1</v>
      </c>
      <c r="BI14" t="s">
        <v>856</v>
      </c>
      <c r="BL14">
        <v>5</v>
      </c>
      <c r="BM14" t="s">
        <v>857</v>
      </c>
      <c r="CD14">
        <v>5</v>
      </c>
      <c r="CF14">
        <v>2</v>
      </c>
      <c r="CI14">
        <v>2</v>
      </c>
      <c r="CJ14">
        <v>1</v>
      </c>
      <c r="CK14" s="4">
        <f t="shared" ref="CK14:CK45" si="13">+CL14+CN14+CO14+CP14+CQ14</f>
        <v>6</v>
      </c>
      <c r="CL14">
        <v>1</v>
      </c>
      <c r="CM14">
        <v>1</v>
      </c>
      <c r="CO14">
        <v>4</v>
      </c>
      <c r="CP14">
        <v>1</v>
      </c>
      <c r="CS14">
        <v>4</v>
      </c>
      <c r="CT14" t="s">
        <v>856</v>
      </c>
      <c r="DC14">
        <v>4</v>
      </c>
      <c r="DD14" t="s">
        <v>858</v>
      </c>
      <c r="DG14">
        <v>2</v>
      </c>
      <c r="DH14" t="s">
        <v>859</v>
      </c>
      <c r="DW14">
        <v>6</v>
      </c>
      <c r="DX14" t="s">
        <v>853</v>
      </c>
      <c r="DY14">
        <v>2024</v>
      </c>
      <c r="DZ14" t="s">
        <v>1370</v>
      </c>
      <c r="EF14" t="s">
        <v>442</v>
      </c>
      <c r="EG14" t="s">
        <v>443</v>
      </c>
      <c r="EH14" t="s">
        <v>1091</v>
      </c>
      <c r="EI14" s="11" t="s">
        <v>1092</v>
      </c>
      <c r="EJ14" t="s">
        <v>1229</v>
      </c>
      <c r="EK14" t="s">
        <v>1093</v>
      </c>
      <c r="EL14" s="11" t="s">
        <v>1094</v>
      </c>
      <c r="EN14" t="s">
        <v>1095</v>
      </c>
      <c r="EO14" s="11" t="s">
        <v>1096</v>
      </c>
      <c r="EQ14" t="s">
        <v>1097</v>
      </c>
      <c r="ER14" s="11" t="s">
        <v>1098</v>
      </c>
      <c r="ET14" t="s">
        <v>1099</v>
      </c>
      <c r="EU14" s="11" t="s">
        <v>1100</v>
      </c>
      <c r="EW14" t="s">
        <v>1101</v>
      </c>
      <c r="EX14" s="11" t="s">
        <v>1102</v>
      </c>
      <c r="EZ14" t="s">
        <v>1103</v>
      </c>
      <c r="FA14" s="11" t="s">
        <v>1104</v>
      </c>
      <c r="FC14" t="s">
        <v>1105</v>
      </c>
      <c r="FK14">
        <v>0</v>
      </c>
      <c r="FL14" s="4">
        <f t="shared" ref="FL14:FL45" si="14">+FK14/3000</f>
        <v>0</v>
      </c>
      <c r="FN14">
        <v>0</v>
      </c>
      <c r="FO14" s="4">
        <f t="shared" ref="FO14:FO45" si="15">+FN14/1400</f>
        <v>0</v>
      </c>
      <c r="FQ14">
        <v>0</v>
      </c>
      <c r="FR14" s="4">
        <f t="shared" ref="FR14:FR45" si="16">+FQ14/2000</f>
        <v>0</v>
      </c>
      <c r="FS14" t="s">
        <v>455</v>
      </c>
      <c r="FU14" s="4">
        <f t="shared" ref="FU14:FU45" si="17">+FT14/15000</f>
        <v>0</v>
      </c>
      <c r="FV14" s="4">
        <f t="shared" ref="FV14:FV45" si="18">+FL14+FO14+FR14+FU14</f>
        <v>0</v>
      </c>
      <c r="FW14" s="4" t="str">
        <f t="shared" ref="FW14:FW45" si="19">+IF((FL14+FO14+FR14+FU14)&gt;=1,"ALTO","ORDINARIO")</f>
        <v>ORDINARIO</v>
      </c>
      <c r="GD14" s="7" t="s">
        <v>842</v>
      </c>
      <c r="GE14" s="7" t="s">
        <v>842</v>
      </c>
      <c r="GF14" s="7" t="s">
        <v>842</v>
      </c>
      <c r="GG14" t="s">
        <v>842</v>
      </c>
      <c r="GH14" t="s">
        <v>842</v>
      </c>
      <c r="GI14" t="s">
        <v>842</v>
      </c>
      <c r="GK14" s="7" t="s">
        <v>842</v>
      </c>
      <c r="GX14" s="7" t="s">
        <v>842</v>
      </c>
      <c r="HB14" t="s">
        <v>842</v>
      </c>
      <c r="HC14" t="s">
        <v>842</v>
      </c>
      <c r="HD14" t="s">
        <v>842</v>
      </c>
      <c r="HE14" s="7" t="s">
        <v>842</v>
      </c>
      <c r="HG14" s="7" t="s">
        <v>842</v>
      </c>
      <c r="HH14" t="s">
        <v>842</v>
      </c>
      <c r="HI14" t="s">
        <v>842</v>
      </c>
      <c r="HJ14" t="s">
        <v>842</v>
      </c>
      <c r="HL14" t="s">
        <v>842</v>
      </c>
      <c r="HM14" s="7" t="s">
        <v>842</v>
      </c>
      <c r="HN14" s="7" t="s">
        <v>842</v>
      </c>
      <c r="HO14" s="7" t="s">
        <v>842</v>
      </c>
      <c r="HS14" s="7" t="s">
        <v>842</v>
      </c>
      <c r="HT14" s="7" t="s">
        <v>842</v>
      </c>
      <c r="HW14" t="s">
        <v>842</v>
      </c>
      <c r="HX14" t="s">
        <v>842</v>
      </c>
      <c r="HY14" s="7" t="s">
        <v>842</v>
      </c>
      <c r="HZ14" s="7" t="s">
        <v>842</v>
      </c>
      <c r="IA14" s="7"/>
      <c r="IB14" s="7" t="s">
        <v>842</v>
      </c>
      <c r="IG14" t="s">
        <v>842</v>
      </c>
      <c r="IK14" s="7" t="s">
        <v>842</v>
      </c>
      <c r="IL14" s="7" t="s">
        <v>842</v>
      </c>
      <c r="IM14" t="s">
        <v>842</v>
      </c>
      <c r="IN14" t="s">
        <v>842</v>
      </c>
      <c r="IO14" t="s">
        <v>842</v>
      </c>
      <c r="IP14" t="s">
        <v>842</v>
      </c>
      <c r="IQ14" t="s">
        <v>842</v>
      </c>
      <c r="IR14" s="7" t="s">
        <v>842</v>
      </c>
      <c r="IS14" s="7" t="s">
        <v>842</v>
      </c>
      <c r="IU14" s="7" t="s">
        <v>842</v>
      </c>
      <c r="IV14" t="s">
        <v>842</v>
      </c>
      <c r="JB14" s="7" t="s">
        <v>842</v>
      </c>
      <c r="JE14" t="s">
        <v>842</v>
      </c>
      <c r="JF14" t="s">
        <v>842</v>
      </c>
      <c r="JG14" t="s">
        <v>842</v>
      </c>
      <c r="JH14" t="s">
        <v>842</v>
      </c>
      <c r="JI14" s="7" t="s">
        <v>842</v>
      </c>
      <c r="JJ14" s="7" t="s">
        <v>842</v>
      </c>
      <c r="JM14" t="s">
        <v>842</v>
      </c>
      <c r="JN14" t="s">
        <v>842</v>
      </c>
      <c r="JO14" t="s">
        <v>842</v>
      </c>
      <c r="JP14" t="s">
        <v>842</v>
      </c>
      <c r="JQ14" t="s">
        <v>842</v>
      </c>
      <c r="JR14" t="s">
        <v>842</v>
      </c>
      <c r="JS14" s="7" t="s">
        <v>842</v>
      </c>
      <c r="JU14" t="s">
        <v>842</v>
      </c>
      <c r="JW14" s="7" t="s">
        <v>842</v>
      </c>
      <c r="JZ14" s="7" t="s">
        <v>842</v>
      </c>
      <c r="KB14" s="7"/>
      <c r="KC14" t="s">
        <v>842</v>
      </c>
    </row>
    <row r="15" spans="1:322" x14ac:dyDescent="0.3">
      <c r="A15">
        <v>13</v>
      </c>
      <c r="B15" t="s">
        <v>842</v>
      </c>
      <c r="C15" t="s">
        <v>947</v>
      </c>
      <c r="D15" s="1" t="s">
        <v>1054</v>
      </c>
      <c r="E15" t="s">
        <v>844</v>
      </c>
      <c r="G15" t="s">
        <v>845</v>
      </c>
      <c r="H15" t="s">
        <v>846</v>
      </c>
      <c r="I15" t="s">
        <v>911</v>
      </c>
      <c r="J15">
        <v>1506</v>
      </c>
      <c r="L15" t="s">
        <v>422</v>
      </c>
      <c r="M15" t="s">
        <v>424</v>
      </c>
      <c r="N15" t="s">
        <v>424</v>
      </c>
      <c r="O15">
        <v>72000</v>
      </c>
      <c r="P15" t="s">
        <v>1721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912</v>
      </c>
      <c r="AE15" t="s">
        <v>850</v>
      </c>
      <c r="AF15" t="s">
        <v>951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534</v>
      </c>
      <c r="AQ15" t="s">
        <v>852</v>
      </c>
      <c r="AR15" s="4">
        <f t="shared" si="0"/>
        <v>32</v>
      </c>
      <c r="AS15">
        <v>1</v>
      </c>
      <c r="AT15" t="s">
        <v>1024</v>
      </c>
      <c r="AU15">
        <v>6</v>
      </c>
      <c r="AV15" t="s">
        <v>854</v>
      </c>
      <c r="AW15">
        <v>4</v>
      </c>
      <c r="AX15">
        <v>2</v>
      </c>
      <c r="BE15">
        <v>2</v>
      </c>
      <c r="BF15" t="s">
        <v>855</v>
      </c>
      <c r="BH15">
        <v>2</v>
      </c>
      <c r="BI15" t="s">
        <v>856</v>
      </c>
      <c r="BL15">
        <v>19</v>
      </c>
      <c r="BM15" t="s">
        <v>857</v>
      </c>
      <c r="CD15">
        <v>19</v>
      </c>
      <c r="CF15">
        <v>1</v>
      </c>
      <c r="CI15">
        <v>3</v>
      </c>
      <c r="CJ15">
        <v>1</v>
      </c>
      <c r="CK15" s="4">
        <f t="shared" si="13"/>
        <v>11</v>
      </c>
      <c r="CL15">
        <v>9</v>
      </c>
      <c r="CM15">
        <v>1</v>
      </c>
      <c r="CO15">
        <v>1</v>
      </c>
      <c r="CP15">
        <v>1</v>
      </c>
      <c r="CS15">
        <v>9</v>
      </c>
      <c r="CT15" t="s">
        <v>856</v>
      </c>
      <c r="DC15">
        <v>4</v>
      </c>
      <c r="DD15" t="s">
        <v>858</v>
      </c>
      <c r="DG15">
        <v>2</v>
      </c>
      <c r="DH15" t="s">
        <v>859</v>
      </c>
      <c r="DW15">
        <v>1</v>
      </c>
      <c r="DX15" t="s">
        <v>853</v>
      </c>
      <c r="DY15">
        <v>2024</v>
      </c>
      <c r="DZ15" t="s">
        <v>1340</v>
      </c>
      <c r="EA15" t="s">
        <v>1722</v>
      </c>
      <c r="EB15" t="s">
        <v>1723</v>
      </c>
      <c r="EC15" t="s">
        <v>1724</v>
      </c>
      <c r="ED15" t="s">
        <v>440</v>
      </c>
      <c r="EE15" t="s">
        <v>1725</v>
      </c>
      <c r="EF15" t="s">
        <v>442</v>
      </c>
      <c r="EG15" t="s">
        <v>443</v>
      </c>
      <c r="EH15" t="s">
        <v>913</v>
      </c>
      <c r="EI15" s="11" t="s">
        <v>914</v>
      </c>
      <c r="EJ15" t="s">
        <v>1229</v>
      </c>
      <c r="EK15" t="s">
        <v>915</v>
      </c>
      <c r="EL15" s="11" t="s">
        <v>916</v>
      </c>
      <c r="EM15" t="s">
        <v>873</v>
      </c>
      <c r="EN15" t="s">
        <v>917</v>
      </c>
      <c r="EO15" s="11" t="s">
        <v>918</v>
      </c>
      <c r="EP15" t="s">
        <v>867</v>
      </c>
      <c r="EQ15" t="s">
        <v>919</v>
      </c>
      <c r="ER15" s="11" t="s">
        <v>920</v>
      </c>
      <c r="ES15" t="s">
        <v>867</v>
      </c>
      <c r="ET15" t="s">
        <v>921</v>
      </c>
      <c r="EU15" s="11" t="s">
        <v>922</v>
      </c>
      <c r="EV15" t="s">
        <v>867</v>
      </c>
      <c r="EW15" t="s">
        <v>923</v>
      </c>
      <c r="EX15" s="11" t="s">
        <v>924</v>
      </c>
      <c r="EY15" t="s">
        <v>925</v>
      </c>
      <c r="EZ15" t="s">
        <v>926</v>
      </c>
      <c r="FA15" s="11" t="s">
        <v>927</v>
      </c>
      <c r="FB15" t="s">
        <v>870</v>
      </c>
      <c r="FC15" t="s">
        <v>928</v>
      </c>
      <c r="FD15" s="11" t="s">
        <v>929</v>
      </c>
      <c r="FE15" t="s">
        <v>873</v>
      </c>
      <c r="FF15" t="s">
        <v>930</v>
      </c>
      <c r="FG15" s="11" t="s">
        <v>931</v>
      </c>
      <c r="FH15" t="s">
        <v>873</v>
      </c>
      <c r="FI15" t="s">
        <v>932</v>
      </c>
      <c r="FK15">
        <v>0</v>
      </c>
      <c r="FL15" s="4">
        <f t="shared" si="14"/>
        <v>0</v>
      </c>
      <c r="FN15">
        <v>0</v>
      </c>
      <c r="FO15" s="4">
        <f t="shared" si="15"/>
        <v>0</v>
      </c>
      <c r="FQ15">
        <v>0</v>
      </c>
      <c r="FR15" s="4">
        <f t="shared" si="16"/>
        <v>0</v>
      </c>
      <c r="FS15" t="s">
        <v>455</v>
      </c>
      <c r="FT15">
        <v>960</v>
      </c>
      <c r="FU15" s="4">
        <f t="shared" si="17"/>
        <v>6.4000000000000001E-2</v>
      </c>
      <c r="FV15" s="4">
        <f t="shared" si="18"/>
        <v>6.4000000000000001E-2</v>
      </c>
      <c r="FW15" s="4" t="str">
        <f t="shared" si="19"/>
        <v>ORDINARIO</v>
      </c>
      <c r="FX15" t="s">
        <v>933</v>
      </c>
      <c r="FY15" t="s">
        <v>867</v>
      </c>
      <c r="FZ15" t="s">
        <v>934</v>
      </c>
      <c r="GA15" t="s">
        <v>935</v>
      </c>
      <c r="GB15" t="s">
        <v>936</v>
      </c>
      <c r="GC15" t="s">
        <v>937</v>
      </c>
      <c r="GD15" s="7" t="s">
        <v>842</v>
      </c>
      <c r="GE15" s="7" t="s">
        <v>842</v>
      </c>
      <c r="GF15" s="7" t="s">
        <v>842</v>
      </c>
      <c r="GG15" s="7" t="s">
        <v>842</v>
      </c>
      <c r="GH15" s="7" t="s">
        <v>842</v>
      </c>
      <c r="GI15" s="7" t="s">
        <v>842</v>
      </c>
      <c r="GJ15" s="7"/>
      <c r="GK15" s="7" t="s">
        <v>842</v>
      </c>
      <c r="GX15" s="7" t="s">
        <v>842</v>
      </c>
      <c r="HB15" t="s">
        <v>842</v>
      </c>
      <c r="HC15" t="s">
        <v>842</v>
      </c>
      <c r="HD15" t="s">
        <v>842</v>
      </c>
      <c r="HE15" s="7" t="s">
        <v>842</v>
      </c>
      <c r="HG15" s="7" t="s">
        <v>842</v>
      </c>
      <c r="HH15" t="s">
        <v>842</v>
      </c>
      <c r="HI15" s="7" t="s">
        <v>842</v>
      </c>
      <c r="HJ15" s="7" t="s">
        <v>842</v>
      </c>
      <c r="HL15" s="7" t="s">
        <v>842</v>
      </c>
      <c r="HM15" s="7" t="s">
        <v>842</v>
      </c>
      <c r="HN15" s="7" t="s">
        <v>842</v>
      </c>
      <c r="HO15" s="7" t="s">
        <v>842</v>
      </c>
      <c r="HS15" s="7" t="s">
        <v>842</v>
      </c>
      <c r="HT15" s="7" t="s">
        <v>842</v>
      </c>
      <c r="HW15" s="7" t="s">
        <v>842</v>
      </c>
      <c r="HX15" s="7" t="s">
        <v>842</v>
      </c>
      <c r="HY15" s="7" t="s">
        <v>842</v>
      </c>
      <c r="HZ15" s="7" t="s">
        <v>842</v>
      </c>
      <c r="IA15" s="7"/>
      <c r="IB15" s="7" t="s">
        <v>842</v>
      </c>
      <c r="IE15" s="7"/>
      <c r="IF15" s="7"/>
      <c r="IG15" t="s">
        <v>842</v>
      </c>
      <c r="IK15" s="7" t="s">
        <v>842</v>
      </c>
      <c r="IL15" t="s">
        <v>842</v>
      </c>
      <c r="IM15" s="7" t="s">
        <v>842</v>
      </c>
      <c r="IN15" t="s">
        <v>842</v>
      </c>
      <c r="IO15" s="7" t="s">
        <v>842</v>
      </c>
      <c r="IP15" t="s">
        <v>842</v>
      </c>
      <c r="IQ15" t="s">
        <v>842</v>
      </c>
      <c r="IR15" s="7" t="s">
        <v>842</v>
      </c>
      <c r="IS15" t="s">
        <v>842</v>
      </c>
      <c r="IU15" s="7" t="s">
        <v>842</v>
      </c>
      <c r="IV15" s="7" t="s">
        <v>842</v>
      </c>
      <c r="JB15" s="7" t="s">
        <v>842</v>
      </c>
      <c r="JE15" t="s">
        <v>842</v>
      </c>
      <c r="JF15" t="s">
        <v>842</v>
      </c>
      <c r="JG15" t="s">
        <v>842</v>
      </c>
      <c r="JH15" t="s">
        <v>842</v>
      </c>
      <c r="JI15" s="7" t="s">
        <v>842</v>
      </c>
      <c r="JJ15" s="7" t="s">
        <v>842</v>
      </c>
      <c r="JM15" s="7" t="s">
        <v>842</v>
      </c>
      <c r="JN15" s="7" t="s">
        <v>842</v>
      </c>
      <c r="JO15" s="7" t="s">
        <v>842</v>
      </c>
      <c r="JP15" s="7" t="s">
        <v>842</v>
      </c>
      <c r="JQ15" s="7" t="s">
        <v>842</v>
      </c>
      <c r="JR15" s="7" t="s">
        <v>842</v>
      </c>
      <c r="JS15" s="7" t="s">
        <v>842</v>
      </c>
      <c r="JU15" s="7" t="s">
        <v>842</v>
      </c>
      <c r="JW15" s="7" t="s">
        <v>842</v>
      </c>
      <c r="JZ15" s="7" t="s">
        <v>842</v>
      </c>
      <c r="KB15" s="7"/>
      <c r="KC15" t="s">
        <v>842</v>
      </c>
      <c r="KD15" t="s">
        <v>938</v>
      </c>
      <c r="KE15" t="s">
        <v>867</v>
      </c>
      <c r="KF15" t="s">
        <v>939</v>
      </c>
      <c r="KG15" t="s">
        <v>940</v>
      </c>
      <c r="KH15" t="s">
        <v>867</v>
      </c>
      <c r="KI15" t="s">
        <v>941</v>
      </c>
      <c r="KJ15" t="s">
        <v>942</v>
      </c>
      <c r="KK15" t="s">
        <v>870</v>
      </c>
      <c r="KL15" t="s">
        <v>943</v>
      </c>
    </row>
    <row r="16" spans="1:322" x14ac:dyDescent="0.3">
      <c r="A16">
        <v>14</v>
      </c>
      <c r="B16" t="s">
        <v>842</v>
      </c>
      <c r="C16" t="s">
        <v>947</v>
      </c>
      <c r="D16" s="1" t="s">
        <v>1726</v>
      </c>
      <c r="E16" t="s">
        <v>844</v>
      </c>
      <c r="G16" t="s">
        <v>845</v>
      </c>
      <c r="H16" t="s">
        <v>846</v>
      </c>
      <c r="I16" t="s">
        <v>1310</v>
      </c>
      <c r="J16">
        <v>5128</v>
      </c>
      <c r="K16" t="s">
        <v>848</v>
      </c>
      <c r="L16" t="s">
        <v>1311</v>
      </c>
      <c r="M16" t="s">
        <v>424</v>
      </c>
      <c r="N16" t="s">
        <v>424</v>
      </c>
      <c r="O16">
        <v>72570</v>
      </c>
      <c r="P16">
        <v>2216671314</v>
      </c>
      <c r="Q16" s="3" t="s">
        <v>1312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 t="s">
        <v>463</v>
      </c>
      <c r="AE16" t="s">
        <v>850</v>
      </c>
      <c r="AF16" t="s">
        <v>1313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534</v>
      </c>
      <c r="AQ16" t="s">
        <v>852</v>
      </c>
      <c r="AR16" s="4">
        <f t="shared" si="0"/>
        <v>21</v>
      </c>
      <c r="AS16">
        <v>2</v>
      </c>
      <c r="AT16" t="s">
        <v>1024</v>
      </c>
      <c r="AU16">
        <v>5</v>
      </c>
      <c r="AV16" t="s">
        <v>854</v>
      </c>
      <c r="AW16">
        <v>4</v>
      </c>
      <c r="AX16">
        <v>1</v>
      </c>
      <c r="BE16">
        <v>1</v>
      </c>
      <c r="BF16" t="s">
        <v>855</v>
      </c>
      <c r="BH16">
        <v>1</v>
      </c>
      <c r="BI16" t="s">
        <v>856</v>
      </c>
      <c r="BL16">
        <v>5</v>
      </c>
      <c r="BM16" t="s">
        <v>857</v>
      </c>
      <c r="CD16">
        <v>7</v>
      </c>
      <c r="CF16">
        <v>1</v>
      </c>
      <c r="CH16">
        <v>1</v>
      </c>
      <c r="CI16">
        <v>4</v>
      </c>
      <c r="CJ16">
        <v>1</v>
      </c>
      <c r="CK16" s="4">
        <f t="shared" si="13"/>
        <v>3</v>
      </c>
      <c r="CL16">
        <v>1</v>
      </c>
      <c r="CM16">
        <v>1</v>
      </c>
      <c r="CO16">
        <v>1</v>
      </c>
      <c r="CP16">
        <v>1</v>
      </c>
      <c r="CS16">
        <v>2</v>
      </c>
      <c r="CT16" t="s">
        <v>856</v>
      </c>
      <c r="DC16">
        <v>4</v>
      </c>
      <c r="DD16" t="s">
        <v>858</v>
      </c>
      <c r="DG16">
        <v>2</v>
      </c>
      <c r="DH16" t="s">
        <v>859</v>
      </c>
      <c r="DW16">
        <v>22</v>
      </c>
      <c r="DX16" t="s">
        <v>853</v>
      </c>
      <c r="DY16">
        <v>2024</v>
      </c>
      <c r="DZ16" t="s">
        <v>1314</v>
      </c>
      <c r="EF16" t="s">
        <v>442</v>
      </c>
      <c r="EG16" t="s">
        <v>443</v>
      </c>
      <c r="EI16" s="11" t="s">
        <v>1315</v>
      </c>
      <c r="EJ16" s="1"/>
      <c r="EK16" t="s">
        <v>1316</v>
      </c>
      <c r="EL16" s="11" t="s">
        <v>1317</v>
      </c>
      <c r="EM16" t="s">
        <v>1318</v>
      </c>
      <c r="EN16" t="s">
        <v>1319</v>
      </c>
      <c r="EO16" s="11" t="s">
        <v>1320</v>
      </c>
      <c r="EP16" t="s">
        <v>873</v>
      </c>
      <c r="EQ16" t="s">
        <v>1321</v>
      </c>
      <c r="ER16" s="11" t="s">
        <v>1322</v>
      </c>
      <c r="ES16" t="s">
        <v>873</v>
      </c>
      <c r="ET16" t="s">
        <v>1323</v>
      </c>
      <c r="EU16" s="11" t="s">
        <v>1324</v>
      </c>
      <c r="EV16" t="s">
        <v>1318</v>
      </c>
      <c r="EW16" t="s">
        <v>1325</v>
      </c>
      <c r="EX16" s="11" t="s">
        <v>1326</v>
      </c>
      <c r="EY16" t="s">
        <v>1269</v>
      </c>
      <c r="EZ16" t="s">
        <v>1327</v>
      </c>
      <c r="FA16" s="11" t="s">
        <v>1328</v>
      </c>
      <c r="FB16" t="s">
        <v>867</v>
      </c>
      <c r="FC16" t="s">
        <v>1329</v>
      </c>
      <c r="FD16" s="11" t="s">
        <v>1330</v>
      </c>
      <c r="FE16" t="s">
        <v>867</v>
      </c>
      <c r="FF16" t="s">
        <v>1331</v>
      </c>
      <c r="FK16">
        <v>0</v>
      </c>
      <c r="FL16" s="4">
        <f t="shared" si="14"/>
        <v>0</v>
      </c>
      <c r="FN16">
        <v>0</v>
      </c>
      <c r="FO16" s="4">
        <f t="shared" si="15"/>
        <v>0</v>
      </c>
      <c r="FQ16">
        <v>0</v>
      </c>
      <c r="FR16" s="4">
        <f t="shared" si="16"/>
        <v>0</v>
      </c>
      <c r="FS16" t="s">
        <v>455</v>
      </c>
      <c r="FU16" s="4">
        <f t="shared" si="17"/>
        <v>0</v>
      </c>
      <c r="FV16" s="4">
        <f t="shared" si="18"/>
        <v>0</v>
      </c>
      <c r="FW16" s="4" t="str">
        <f t="shared" si="19"/>
        <v>ORDINARIO</v>
      </c>
      <c r="GD16" t="s">
        <v>842</v>
      </c>
      <c r="GE16" t="s">
        <v>842</v>
      </c>
      <c r="GF16" t="s">
        <v>842</v>
      </c>
      <c r="GG16" t="s">
        <v>842</v>
      </c>
      <c r="GH16" t="s">
        <v>842</v>
      </c>
      <c r="GI16" t="s">
        <v>842</v>
      </c>
      <c r="GK16" t="s">
        <v>842</v>
      </c>
      <c r="GX16" t="s">
        <v>842</v>
      </c>
      <c r="HB16" t="s">
        <v>842</v>
      </c>
      <c r="HC16" t="s">
        <v>842</v>
      </c>
      <c r="HD16" t="s">
        <v>842</v>
      </c>
      <c r="HE16" t="s">
        <v>842</v>
      </c>
      <c r="HG16" t="s">
        <v>842</v>
      </c>
      <c r="HH16" t="s">
        <v>842</v>
      </c>
      <c r="HI16" t="s">
        <v>842</v>
      </c>
      <c r="HJ16" t="s">
        <v>842</v>
      </c>
      <c r="HL16" t="s">
        <v>842</v>
      </c>
      <c r="HM16" t="s">
        <v>842</v>
      </c>
      <c r="HN16" t="s">
        <v>842</v>
      </c>
      <c r="HO16" t="s">
        <v>842</v>
      </c>
      <c r="HS16" t="s">
        <v>842</v>
      </c>
      <c r="HT16" t="s">
        <v>842</v>
      </c>
      <c r="HW16" t="s">
        <v>842</v>
      </c>
      <c r="HX16" t="s">
        <v>842</v>
      </c>
      <c r="HY16" t="s">
        <v>842</v>
      </c>
      <c r="HZ16" t="s">
        <v>842</v>
      </c>
      <c r="IB16" t="s">
        <v>842</v>
      </c>
      <c r="IG16" t="s">
        <v>842</v>
      </c>
      <c r="IK16" t="s">
        <v>842</v>
      </c>
      <c r="IL16" t="s">
        <v>842</v>
      </c>
      <c r="IM16" t="s">
        <v>842</v>
      </c>
      <c r="IN16" t="s">
        <v>842</v>
      </c>
      <c r="IO16" t="s">
        <v>842</v>
      </c>
      <c r="IP16" t="s">
        <v>842</v>
      </c>
      <c r="IQ16" t="s">
        <v>842</v>
      </c>
      <c r="IR16" t="s">
        <v>842</v>
      </c>
      <c r="IS16" t="s">
        <v>842</v>
      </c>
      <c r="IU16" t="s">
        <v>842</v>
      </c>
      <c r="IV16" t="s">
        <v>842</v>
      </c>
      <c r="JB16" t="s">
        <v>842</v>
      </c>
      <c r="JE16" t="s">
        <v>842</v>
      </c>
      <c r="JF16" t="s">
        <v>842</v>
      </c>
      <c r="JG16" t="s">
        <v>842</v>
      </c>
      <c r="JH16" t="s">
        <v>842</v>
      </c>
      <c r="JI16" t="s">
        <v>842</v>
      </c>
      <c r="JJ16" t="s">
        <v>842</v>
      </c>
      <c r="JM16" t="s">
        <v>842</v>
      </c>
      <c r="JN16" t="s">
        <v>842</v>
      </c>
      <c r="JO16" t="s">
        <v>842</v>
      </c>
      <c r="JP16" t="s">
        <v>842</v>
      </c>
      <c r="JQ16" t="s">
        <v>842</v>
      </c>
      <c r="JR16" t="s">
        <v>842</v>
      </c>
      <c r="JS16" t="s">
        <v>842</v>
      </c>
      <c r="JU16" t="s">
        <v>842</v>
      </c>
      <c r="JW16" t="s">
        <v>842</v>
      </c>
      <c r="JZ16" t="s">
        <v>842</v>
      </c>
      <c r="KC16" t="s">
        <v>842</v>
      </c>
    </row>
    <row r="17" spans="1:295" x14ac:dyDescent="0.3">
      <c r="A17">
        <v>15</v>
      </c>
      <c r="B17" t="s">
        <v>842</v>
      </c>
      <c r="C17" t="s">
        <v>947</v>
      </c>
      <c r="D17" s="1" t="s">
        <v>1419</v>
      </c>
      <c r="E17" t="s">
        <v>844</v>
      </c>
      <c r="G17" t="s">
        <v>1398</v>
      </c>
      <c r="H17" t="s">
        <v>846</v>
      </c>
      <c r="I17" t="s">
        <v>1420</v>
      </c>
      <c r="J17">
        <v>2</v>
      </c>
      <c r="K17" t="s">
        <v>1421</v>
      </c>
      <c r="L17" t="s">
        <v>422</v>
      </c>
      <c r="M17" t="s">
        <v>1402</v>
      </c>
      <c r="N17" t="s">
        <v>424</v>
      </c>
      <c r="O17">
        <v>74200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849</v>
      </c>
      <c r="AE17" t="s">
        <v>850</v>
      </c>
      <c r="AF17" t="s">
        <v>1422</v>
      </c>
      <c r="AG17">
        <v>9</v>
      </c>
      <c r="AH17">
        <v>0</v>
      </c>
      <c r="AI17">
        <v>2</v>
      </c>
      <c r="AJ17">
        <v>7</v>
      </c>
      <c r="AK17">
        <v>0</v>
      </c>
      <c r="AL17">
        <v>0</v>
      </c>
      <c r="AM17">
        <v>1</v>
      </c>
      <c r="AP17" t="s">
        <v>534</v>
      </c>
      <c r="AQ17" t="s">
        <v>852</v>
      </c>
      <c r="AR17" s="4">
        <f t="shared" si="0"/>
        <v>19</v>
      </c>
      <c r="AS17">
        <v>1</v>
      </c>
      <c r="AT17" t="s">
        <v>1024</v>
      </c>
      <c r="AU17">
        <v>6</v>
      </c>
      <c r="AV17" t="s">
        <v>854</v>
      </c>
      <c r="AW17">
        <v>5</v>
      </c>
      <c r="AX17">
        <v>1</v>
      </c>
      <c r="BE17">
        <v>1</v>
      </c>
      <c r="BF17" t="s">
        <v>855</v>
      </c>
      <c r="BH17">
        <v>1</v>
      </c>
      <c r="BI17" t="s">
        <v>856</v>
      </c>
      <c r="BL17">
        <v>9</v>
      </c>
      <c r="BM17" t="s">
        <v>857</v>
      </c>
      <c r="CD17">
        <v>6</v>
      </c>
      <c r="CF17">
        <v>2</v>
      </c>
      <c r="CI17">
        <v>3</v>
      </c>
      <c r="CJ17">
        <v>2</v>
      </c>
      <c r="CK17" s="4">
        <f t="shared" si="13"/>
        <v>6</v>
      </c>
      <c r="CL17">
        <v>4</v>
      </c>
      <c r="CM17">
        <v>1</v>
      </c>
      <c r="CO17">
        <v>1</v>
      </c>
      <c r="CP17">
        <v>1</v>
      </c>
      <c r="CS17">
        <v>12</v>
      </c>
      <c r="CT17" t="s">
        <v>856</v>
      </c>
      <c r="DC17">
        <v>4</v>
      </c>
      <c r="DD17" t="s">
        <v>858</v>
      </c>
      <c r="DG17">
        <v>2</v>
      </c>
      <c r="DH17" t="s">
        <v>859</v>
      </c>
      <c r="DW17">
        <v>24</v>
      </c>
      <c r="DX17" t="s">
        <v>436</v>
      </c>
      <c r="DY17">
        <v>2024</v>
      </c>
      <c r="DZ17" t="s">
        <v>1423</v>
      </c>
      <c r="EF17" t="s">
        <v>442</v>
      </c>
      <c r="EG17" t="s">
        <v>443</v>
      </c>
      <c r="EH17" t="s">
        <v>1424</v>
      </c>
      <c r="EI17" s="11" t="s">
        <v>1425</v>
      </c>
      <c r="EJ17" t="s">
        <v>1229</v>
      </c>
      <c r="EK17" t="s">
        <v>1426</v>
      </c>
      <c r="EL17" s="11" t="s">
        <v>1427</v>
      </c>
      <c r="EM17" t="s">
        <v>1046</v>
      </c>
      <c r="EN17" t="s">
        <v>1428</v>
      </c>
      <c r="EO17" s="11" t="s">
        <v>1429</v>
      </c>
      <c r="EP17" t="s">
        <v>873</v>
      </c>
      <c r="EQ17" t="s">
        <v>1430</v>
      </c>
      <c r="ER17" s="11" t="s">
        <v>1431</v>
      </c>
      <c r="ES17" t="s">
        <v>1046</v>
      </c>
      <c r="ET17" t="s">
        <v>1432</v>
      </c>
      <c r="EU17" s="11" t="s">
        <v>1433</v>
      </c>
      <c r="EV17" t="s">
        <v>873</v>
      </c>
      <c r="EW17" t="s">
        <v>1434</v>
      </c>
      <c r="EX17" s="11" t="s">
        <v>1435</v>
      </c>
      <c r="EY17" t="s">
        <v>867</v>
      </c>
      <c r="EZ17" t="s">
        <v>1436</v>
      </c>
      <c r="FA17" s="11" t="s">
        <v>1437</v>
      </c>
      <c r="FB17" t="s">
        <v>883</v>
      </c>
      <c r="FC17" t="s">
        <v>1438</v>
      </c>
      <c r="FD17" s="11" t="s">
        <v>1439</v>
      </c>
      <c r="FE17" t="s">
        <v>867</v>
      </c>
      <c r="FF17" t="s">
        <v>1440</v>
      </c>
      <c r="FK17">
        <v>0</v>
      </c>
      <c r="FL17" s="4">
        <f t="shared" si="14"/>
        <v>0</v>
      </c>
      <c r="FN17">
        <v>0</v>
      </c>
      <c r="FO17" s="4">
        <f t="shared" si="15"/>
        <v>0</v>
      </c>
      <c r="FQ17">
        <v>0</v>
      </c>
      <c r="FR17" s="4">
        <f t="shared" si="16"/>
        <v>0</v>
      </c>
      <c r="FS17" t="s">
        <v>455</v>
      </c>
      <c r="FU17" s="4">
        <f t="shared" si="17"/>
        <v>0</v>
      </c>
      <c r="FV17" s="4">
        <f t="shared" si="18"/>
        <v>0</v>
      </c>
      <c r="FW17" s="4" t="str">
        <f t="shared" si="19"/>
        <v>ORDINARIO</v>
      </c>
      <c r="GD17" s="7" t="s">
        <v>842</v>
      </c>
      <c r="GE17" s="7" t="s">
        <v>842</v>
      </c>
      <c r="GF17" s="7" t="s">
        <v>842</v>
      </c>
      <c r="GG17" s="7" t="s">
        <v>842</v>
      </c>
      <c r="GH17" s="7" t="s">
        <v>842</v>
      </c>
      <c r="GI17" s="7" t="s">
        <v>842</v>
      </c>
      <c r="GJ17" s="7"/>
      <c r="GK17" s="7" t="s">
        <v>842</v>
      </c>
      <c r="GX17" s="7" t="s">
        <v>842</v>
      </c>
      <c r="HB17" t="s">
        <v>842</v>
      </c>
      <c r="HC17" t="s">
        <v>842</v>
      </c>
      <c r="HD17" t="s">
        <v>842</v>
      </c>
      <c r="HE17" s="7" t="s">
        <v>842</v>
      </c>
      <c r="HG17" s="7" t="s">
        <v>842</v>
      </c>
      <c r="HH17" t="s">
        <v>842</v>
      </c>
      <c r="HI17" s="7" t="s">
        <v>842</v>
      </c>
      <c r="HJ17" s="7" t="s">
        <v>842</v>
      </c>
      <c r="HL17" s="7" t="s">
        <v>842</v>
      </c>
      <c r="HM17" s="7" t="s">
        <v>842</v>
      </c>
      <c r="HN17" s="7" t="s">
        <v>842</v>
      </c>
      <c r="HO17" s="7" t="s">
        <v>842</v>
      </c>
      <c r="HS17" s="7" t="s">
        <v>842</v>
      </c>
      <c r="HT17" s="7" t="s">
        <v>842</v>
      </c>
      <c r="HW17" s="7" t="s">
        <v>842</v>
      </c>
      <c r="HX17" s="7" t="s">
        <v>842</v>
      </c>
      <c r="HY17" s="7" t="s">
        <v>842</v>
      </c>
      <c r="HZ17" s="7" t="s">
        <v>842</v>
      </c>
      <c r="IA17" s="7"/>
      <c r="IB17" s="7" t="s">
        <v>842</v>
      </c>
      <c r="IE17" s="7"/>
      <c r="IF17" s="7"/>
      <c r="IG17" t="s">
        <v>842</v>
      </c>
      <c r="IK17" s="7" t="s">
        <v>842</v>
      </c>
      <c r="IL17" t="s">
        <v>842</v>
      </c>
      <c r="IM17" t="s">
        <v>842</v>
      </c>
      <c r="IN17" t="s">
        <v>842</v>
      </c>
      <c r="IO17" t="s">
        <v>842</v>
      </c>
      <c r="IP17" t="s">
        <v>842</v>
      </c>
      <c r="IQ17" t="s">
        <v>842</v>
      </c>
      <c r="IR17" s="7" t="s">
        <v>842</v>
      </c>
      <c r="IS17" s="7" t="s">
        <v>842</v>
      </c>
      <c r="IU17" s="7" t="s">
        <v>842</v>
      </c>
      <c r="IV17" t="s">
        <v>842</v>
      </c>
      <c r="JB17" s="7" t="s">
        <v>842</v>
      </c>
      <c r="JE17" t="s">
        <v>842</v>
      </c>
      <c r="JF17" t="s">
        <v>842</v>
      </c>
      <c r="JG17" t="s">
        <v>842</v>
      </c>
      <c r="JH17" t="s">
        <v>842</v>
      </c>
      <c r="JI17" s="7" t="s">
        <v>842</v>
      </c>
      <c r="JJ17" s="7" t="s">
        <v>842</v>
      </c>
      <c r="JM17" s="7" t="s">
        <v>842</v>
      </c>
      <c r="JN17" s="7" t="s">
        <v>842</v>
      </c>
      <c r="JO17" s="7" t="s">
        <v>842</v>
      </c>
      <c r="JP17" s="7" t="s">
        <v>842</v>
      </c>
      <c r="JQ17" s="7" t="s">
        <v>842</v>
      </c>
      <c r="JR17" s="7" t="s">
        <v>842</v>
      </c>
      <c r="JS17" s="7" t="s">
        <v>842</v>
      </c>
      <c r="JU17" s="7" t="s">
        <v>842</v>
      </c>
      <c r="JW17" s="7" t="s">
        <v>842</v>
      </c>
      <c r="JZ17" s="7" t="s">
        <v>842</v>
      </c>
      <c r="KB17" s="7"/>
      <c r="KC17" t="s">
        <v>842</v>
      </c>
    </row>
    <row r="18" spans="1:295" x14ac:dyDescent="0.3">
      <c r="A18">
        <v>16</v>
      </c>
      <c r="B18" t="s">
        <v>842</v>
      </c>
      <c r="C18" t="s">
        <v>947</v>
      </c>
      <c r="D18" s="1" t="s">
        <v>1130</v>
      </c>
      <c r="E18" t="s">
        <v>844</v>
      </c>
      <c r="G18" t="s">
        <v>845</v>
      </c>
      <c r="H18" t="s">
        <v>846</v>
      </c>
      <c r="I18" t="s">
        <v>1131</v>
      </c>
      <c r="J18">
        <v>3156</v>
      </c>
      <c r="K18" t="s">
        <v>1132</v>
      </c>
      <c r="L18" t="s">
        <v>1133</v>
      </c>
      <c r="M18" t="s">
        <v>424</v>
      </c>
      <c r="N18" t="s">
        <v>424</v>
      </c>
      <c r="O18">
        <v>72400</v>
      </c>
      <c r="P18">
        <v>2222313245</v>
      </c>
      <c r="Q18" s="3" t="s">
        <v>1134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912</v>
      </c>
      <c r="AE18" t="s">
        <v>850</v>
      </c>
      <c r="AF18" t="s">
        <v>1136</v>
      </c>
      <c r="AG18">
        <v>8</v>
      </c>
      <c r="AH18">
        <v>0</v>
      </c>
      <c r="AI18">
        <v>3</v>
      </c>
      <c r="AJ18">
        <v>5</v>
      </c>
      <c r="AK18">
        <v>0</v>
      </c>
      <c r="AL18">
        <v>0</v>
      </c>
      <c r="AM18">
        <v>1</v>
      </c>
      <c r="AP18" t="s">
        <v>534</v>
      </c>
      <c r="AQ18" t="s">
        <v>852</v>
      </c>
      <c r="AR18" s="4">
        <f t="shared" si="0"/>
        <v>28</v>
      </c>
      <c r="AS18">
        <v>1</v>
      </c>
      <c r="AT18" t="s">
        <v>1024</v>
      </c>
      <c r="AU18">
        <v>8</v>
      </c>
      <c r="AV18" t="s">
        <v>854</v>
      </c>
      <c r="AW18">
        <v>7</v>
      </c>
      <c r="AX18">
        <v>1</v>
      </c>
      <c r="BE18">
        <v>2</v>
      </c>
      <c r="BF18" t="s">
        <v>855</v>
      </c>
      <c r="BH18">
        <v>2</v>
      </c>
      <c r="BI18" t="s">
        <v>856</v>
      </c>
      <c r="BL18">
        <v>12</v>
      </c>
      <c r="BM18" t="s">
        <v>857</v>
      </c>
      <c r="CD18">
        <v>12</v>
      </c>
      <c r="CF18">
        <v>1</v>
      </c>
      <c r="CH18">
        <v>1</v>
      </c>
      <c r="CI18">
        <v>3</v>
      </c>
      <c r="CJ18">
        <v>2</v>
      </c>
      <c r="CK18" s="4">
        <f t="shared" si="13"/>
        <v>6</v>
      </c>
      <c r="CL18">
        <v>4</v>
      </c>
      <c r="CM18">
        <v>1</v>
      </c>
      <c r="CO18">
        <v>1</v>
      </c>
      <c r="CP18">
        <v>1</v>
      </c>
      <c r="CS18">
        <v>4</v>
      </c>
      <c r="CT18" t="s">
        <v>856</v>
      </c>
      <c r="DC18">
        <v>4</v>
      </c>
      <c r="DD18" t="s">
        <v>858</v>
      </c>
      <c r="DG18">
        <v>2</v>
      </c>
      <c r="DH18" t="s">
        <v>859</v>
      </c>
      <c r="DW18">
        <v>20</v>
      </c>
      <c r="DX18" t="s">
        <v>853</v>
      </c>
      <c r="DY18">
        <v>2024</v>
      </c>
      <c r="DZ18" t="s">
        <v>1372</v>
      </c>
      <c r="EF18" t="s">
        <v>442</v>
      </c>
      <c r="EG18" t="s">
        <v>443</v>
      </c>
      <c r="EH18" t="s">
        <v>1137</v>
      </c>
      <c r="EI18" s="11" t="s">
        <v>1138</v>
      </c>
      <c r="EJ18" t="s">
        <v>1229</v>
      </c>
      <c r="EK18" t="s">
        <v>1139</v>
      </c>
      <c r="EL18" s="11" t="s">
        <v>1140</v>
      </c>
      <c r="EM18" t="s">
        <v>1141</v>
      </c>
      <c r="EN18" t="s">
        <v>1142</v>
      </c>
      <c r="EO18" s="11" t="s">
        <v>1143</v>
      </c>
      <c r="EP18" t="s">
        <v>867</v>
      </c>
      <c r="EQ18" t="s">
        <v>1144</v>
      </c>
      <c r="ER18" s="11" t="s">
        <v>1145</v>
      </c>
      <c r="ES18" t="s">
        <v>867</v>
      </c>
      <c r="ET18" t="s">
        <v>1146</v>
      </c>
      <c r="EU18" s="11" t="s">
        <v>1147</v>
      </c>
      <c r="EV18" t="s">
        <v>883</v>
      </c>
      <c r="EW18" t="s">
        <v>1148</v>
      </c>
      <c r="EX18" s="11" t="s">
        <v>1149</v>
      </c>
      <c r="EY18" t="s">
        <v>873</v>
      </c>
      <c r="EZ18" t="s">
        <v>1150</v>
      </c>
      <c r="FA18" s="11" t="s">
        <v>1145</v>
      </c>
      <c r="FB18" t="s">
        <v>867</v>
      </c>
      <c r="FC18" t="s">
        <v>1146</v>
      </c>
      <c r="FD18" s="11" t="s">
        <v>1140</v>
      </c>
      <c r="FE18" t="s">
        <v>1141</v>
      </c>
      <c r="FF18" t="s">
        <v>1142</v>
      </c>
      <c r="FG18" s="11" t="s">
        <v>1143</v>
      </c>
      <c r="FH18" t="s">
        <v>867</v>
      </c>
      <c r="FI18" t="s">
        <v>1144</v>
      </c>
      <c r="FK18">
        <v>0</v>
      </c>
      <c r="FL18" s="4">
        <f t="shared" si="14"/>
        <v>0</v>
      </c>
      <c r="FN18">
        <v>0</v>
      </c>
      <c r="FO18" s="4">
        <f t="shared" si="15"/>
        <v>0</v>
      </c>
      <c r="FQ18">
        <v>0</v>
      </c>
      <c r="FR18" s="4">
        <f t="shared" si="16"/>
        <v>0</v>
      </c>
      <c r="FS18" t="s">
        <v>455</v>
      </c>
      <c r="FU18" s="4">
        <f t="shared" si="17"/>
        <v>0</v>
      </c>
      <c r="FV18" s="4">
        <f t="shared" si="18"/>
        <v>0</v>
      </c>
      <c r="FW18" s="4" t="str">
        <f t="shared" si="19"/>
        <v>ORDINARIO</v>
      </c>
      <c r="FX18" t="s">
        <v>1151</v>
      </c>
      <c r="FY18" t="s">
        <v>873</v>
      </c>
      <c r="FZ18" t="s">
        <v>1152</v>
      </c>
      <c r="GD18" s="7" t="s">
        <v>842</v>
      </c>
      <c r="GE18" s="7" t="s">
        <v>842</v>
      </c>
      <c r="GF18" s="7" t="s">
        <v>842</v>
      </c>
      <c r="GG18" s="7" t="s">
        <v>842</v>
      </c>
      <c r="GH18" s="7" t="s">
        <v>842</v>
      </c>
      <c r="GI18" s="7" t="s">
        <v>842</v>
      </c>
      <c r="GJ18" s="7"/>
      <c r="GK18" s="7" t="s">
        <v>842</v>
      </c>
      <c r="GX18" s="7" t="s">
        <v>842</v>
      </c>
      <c r="HB18" t="s">
        <v>842</v>
      </c>
      <c r="HC18" t="s">
        <v>842</v>
      </c>
      <c r="HD18" t="s">
        <v>842</v>
      </c>
      <c r="HE18" s="7" t="s">
        <v>842</v>
      </c>
      <c r="HG18" s="7" t="s">
        <v>842</v>
      </c>
      <c r="HH18" t="s">
        <v>842</v>
      </c>
      <c r="HI18" s="7" t="s">
        <v>842</v>
      </c>
      <c r="HJ18" s="7" t="s">
        <v>842</v>
      </c>
      <c r="HL18" s="7" t="s">
        <v>842</v>
      </c>
      <c r="HM18" s="7" t="s">
        <v>842</v>
      </c>
      <c r="HN18" s="7" t="s">
        <v>842</v>
      </c>
      <c r="HO18" s="7" t="s">
        <v>842</v>
      </c>
      <c r="HS18" s="7" t="s">
        <v>842</v>
      </c>
      <c r="HT18" s="7" t="s">
        <v>842</v>
      </c>
      <c r="HW18" s="7" t="s">
        <v>842</v>
      </c>
      <c r="HX18" s="7" t="s">
        <v>842</v>
      </c>
      <c r="HY18" s="7" t="s">
        <v>842</v>
      </c>
      <c r="HZ18" s="7" t="s">
        <v>842</v>
      </c>
      <c r="IA18" s="7"/>
      <c r="IB18" s="7" t="s">
        <v>842</v>
      </c>
      <c r="IE18" s="7"/>
      <c r="IF18" s="7"/>
      <c r="IG18" t="s">
        <v>842</v>
      </c>
      <c r="IK18" s="7" t="s">
        <v>842</v>
      </c>
      <c r="IL18" t="s">
        <v>842</v>
      </c>
      <c r="IM18" t="s">
        <v>842</v>
      </c>
      <c r="IN18" t="s">
        <v>842</v>
      </c>
      <c r="IO18" t="s">
        <v>842</v>
      </c>
      <c r="IP18" t="s">
        <v>842</v>
      </c>
      <c r="IQ18" t="s">
        <v>842</v>
      </c>
      <c r="IR18" s="7" t="s">
        <v>842</v>
      </c>
      <c r="IS18" s="7" t="s">
        <v>842</v>
      </c>
      <c r="IU18" s="7" t="s">
        <v>842</v>
      </c>
      <c r="IV18" t="s">
        <v>842</v>
      </c>
      <c r="JB18" s="7" t="s">
        <v>842</v>
      </c>
      <c r="JE18" t="s">
        <v>842</v>
      </c>
      <c r="JF18" t="s">
        <v>842</v>
      </c>
      <c r="JG18" t="s">
        <v>842</v>
      </c>
      <c r="JH18" t="s">
        <v>842</v>
      </c>
      <c r="JI18" s="7" t="s">
        <v>842</v>
      </c>
      <c r="JJ18" s="7" t="s">
        <v>842</v>
      </c>
      <c r="JM18" s="7" t="s">
        <v>842</v>
      </c>
      <c r="JN18" s="7" t="s">
        <v>842</v>
      </c>
      <c r="JO18" s="7" t="s">
        <v>842</v>
      </c>
      <c r="JP18" s="7" t="s">
        <v>842</v>
      </c>
      <c r="JQ18" s="7" t="s">
        <v>842</v>
      </c>
      <c r="JR18" s="7" t="s">
        <v>842</v>
      </c>
      <c r="JS18" s="7" t="s">
        <v>842</v>
      </c>
      <c r="JU18" s="7" t="s">
        <v>842</v>
      </c>
      <c r="JW18" s="7" t="s">
        <v>842</v>
      </c>
      <c r="JZ18" s="7" t="s">
        <v>842</v>
      </c>
      <c r="KB18" s="7"/>
      <c r="KC18" t="s">
        <v>842</v>
      </c>
    </row>
    <row r="19" spans="1:295" x14ac:dyDescent="0.3">
      <c r="A19">
        <v>17</v>
      </c>
      <c r="B19" t="s">
        <v>842</v>
      </c>
      <c r="C19" t="s">
        <v>947</v>
      </c>
      <c r="D19" s="1" t="s">
        <v>1231</v>
      </c>
      <c r="E19" t="s">
        <v>844</v>
      </c>
      <c r="G19" t="s">
        <v>1232</v>
      </c>
      <c r="H19" t="s">
        <v>846</v>
      </c>
      <c r="I19" t="s">
        <v>1393</v>
      </c>
      <c r="J19">
        <v>7</v>
      </c>
      <c r="K19" t="s">
        <v>1234</v>
      </c>
      <c r="L19" t="s">
        <v>422</v>
      </c>
      <c r="M19" t="s">
        <v>1233</v>
      </c>
      <c r="N19" t="s">
        <v>424</v>
      </c>
      <c r="O19">
        <v>74400</v>
      </c>
      <c r="X19">
        <v>1</v>
      </c>
      <c r="Y19">
        <v>1</v>
      </c>
      <c r="Z19">
        <v>1</v>
      </c>
      <c r="AA19">
        <v>1</v>
      </c>
      <c r="AB19">
        <v>2</v>
      </c>
      <c r="AC19">
        <v>0</v>
      </c>
      <c r="AD19" t="s">
        <v>1235</v>
      </c>
      <c r="AE19" t="s">
        <v>850</v>
      </c>
      <c r="AF19" t="s">
        <v>1236</v>
      </c>
      <c r="AG19">
        <v>9</v>
      </c>
      <c r="AH19">
        <v>0</v>
      </c>
      <c r="AI19">
        <v>3</v>
      </c>
      <c r="AJ19">
        <v>6</v>
      </c>
      <c r="AK19">
        <v>0</v>
      </c>
      <c r="AL19">
        <v>0</v>
      </c>
      <c r="AM19">
        <v>1</v>
      </c>
      <c r="AP19" t="s">
        <v>534</v>
      </c>
      <c r="AQ19" t="s">
        <v>852</v>
      </c>
      <c r="AR19" s="4">
        <f t="shared" si="0"/>
        <v>30</v>
      </c>
      <c r="AS19">
        <v>1</v>
      </c>
      <c r="AT19" t="s">
        <v>1024</v>
      </c>
      <c r="AU19">
        <v>7</v>
      </c>
      <c r="AV19" t="s">
        <v>854</v>
      </c>
      <c r="AW19">
        <v>6</v>
      </c>
      <c r="AX19">
        <v>1</v>
      </c>
      <c r="BE19">
        <v>1</v>
      </c>
      <c r="BF19" t="s">
        <v>855</v>
      </c>
      <c r="BH19">
        <v>1</v>
      </c>
      <c r="BI19" t="s">
        <v>856</v>
      </c>
      <c r="BL19">
        <v>20</v>
      </c>
      <c r="BM19" t="s">
        <v>857</v>
      </c>
      <c r="CD19">
        <v>16</v>
      </c>
      <c r="CF19">
        <v>2</v>
      </c>
      <c r="CI19">
        <v>3</v>
      </c>
      <c r="CJ19">
        <v>1</v>
      </c>
      <c r="CK19" s="4">
        <f t="shared" si="13"/>
        <v>6</v>
      </c>
      <c r="CL19">
        <v>4</v>
      </c>
      <c r="CM19">
        <v>1</v>
      </c>
      <c r="CO19">
        <v>1</v>
      </c>
      <c r="CP19">
        <v>1</v>
      </c>
      <c r="CS19">
        <v>10</v>
      </c>
      <c r="CT19" t="s">
        <v>856</v>
      </c>
      <c r="DC19">
        <v>4</v>
      </c>
      <c r="DD19" t="s">
        <v>858</v>
      </c>
      <c r="DG19">
        <v>2</v>
      </c>
      <c r="DH19" t="s">
        <v>859</v>
      </c>
      <c r="DW19">
        <v>2</v>
      </c>
      <c r="DX19" t="s">
        <v>853</v>
      </c>
      <c r="DY19">
        <v>2024</v>
      </c>
      <c r="DZ19" t="s">
        <v>1394</v>
      </c>
      <c r="EF19" t="s">
        <v>442</v>
      </c>
      <c r="EG19" t="s">
        <v>443</v>
      </c>
      <c r="EH19" t="s">
        <v>1237</v>
      </c>
      <c r="EI19" s="11" t="s">
        <v>1238</v>
      </c>
      <c r="EJ19" t="s">
        <v>1229</v>
      </c>
      <c r="EK19" t="s">
        <v>1239</v>
      </c>
      <c r="EL19" s="11" t="s">
        <v>1240</v>
      </c>
      <c r="EM19" t="s">
        <v>873</v>
      </c>
      <c r="EN19" t="s">
        <v>1241</v>
      </c>
      <c r="ER19" s="11" t="s">
        <v>1242</v>
      </c>
      <c r="ES19" t="s">
        <v>925</v>
      </c>
      <c r="ET19" t="s">
        <v>1243</v>
      </c>
      <c r="EU19" s="11" t="s">
        <v>1244</v>
      </c>
      <c r="EV19" t="s">
        <v>925</v>
      </c>
      <c r="EW19" t="s">
        <v>1245</v>
      </c>
      <c r="EX19" s="11" t="s">
        <v>1246</v>
      </c>
      <c r="EY19" t="s">
        <v>883</v>
      </c>
      <c r="EZ19" t="s">
        <v>1247</v>
      </c>
      <c r="FA19" s="11" t="s">
        <v>1248</v>
      </c>
      <c r="FB19" t="s">
        <v>867</v>
      </c>
      <c r="FC19" t="s">
        <v>1249</v>
      </c>
      <c r="FD19" s="11" t="s">
        <v>1250</v>
      </c>
      <c r="FE19" t="s">
        <v>867</v>
      </c>
      <c r="FF19" t="s">
        <v>1251</v>
      </c>
      <c r="FG19" s="11" t="s">
        <v>1252</v>
      </c>
      <c r="FH19" t="s">
        <v>867</v>
      </c>
      <c r="FI19" t="s">
        <v>1253</v>
      </c>
      <c r="FK19">
        <v>0</v>
      </c>
      <c r="FL19" s="4">
        <f t="shared" si="14"/>
        <v>0</v>
      </c>
      <c r="FN19">
        <v>0</v>
      </c>
      <c r="FO19" s="4">
        <f t="shared" si="15"/>
        <v>0</v>
      </c>
      <c r="FQ19">
        <v>0</v>
      </c>
      <c r="FR19" s="4">
        <f t="shared" si="16"/>
        <v>0</v>
      </c>
      <c r="FS19" t="s">
        <v>455</v>
      </c>
      <c r="FU19" s="4">
        <f t="shared" si="17"/>
        <v>0</v>
      </c>
      <c r="FV19" s="4">
        <f t="shared" si="18"/>
        <v>0</v>
      </c>
      <c r="FW19" s="4" t="str">
        <f t="shared" si="19"/>
        <v>ORDINARIO</v>
      </c>
      <c r="GD19" s="7" t="s">
        <v>842</v>
      </c>
      <c r="GE19" s="7" t="s">
        <v>842</v>
      </c>
      <c r="GF19" s="7" t="s">
        <v>842</v>
      </c>
      <c r="GG19" s="7" t="s">
        <v>842</v>
      </c>
      <c r="GH19" t="s">
        <v>842</v>
      </c>
      <c r="GI19" s="7" t="s">
        <v>842</v>
      </c>
      <c r="GJ19" s="7"/>
      <c r="GK19" s="7" t="s">
        <v>842</v>
      </c>
      <c r="GX19" s="7" t="s">
        <v>842</v>
      </c>
      <c r="HB19" t="s">
        <v>842</v>
      </c>
      <c r="HC19" t="s">
        <v>842</v>
      </c>
      <c r="HD19" t="s">
        <v>842</v>
      </c>
      <c r="HE19" s="7" t="s">
        <v>842</v>
      </c>
      <c r="HG19" s="7" t="s">
        <v>842</v>
      </c>
      <c r="HH19" t="s">
        <v>842</v>
      </c>
      <c r="HI19" s="7" t="s">
        <v>842</v>
      </c>
      <c r="HJ19" s="7" t="s">
        <v>842</v>
      </c>
      <c r="HK19" s="7"/>
      <c r="HL19" s="7" t="s">
        <v>842</v>
      </c>
      <c r="HM19" s="7" t="s">
        <v>842</v>
      </c>
      <c r="HN19" s="7" t="s">
        <v>842</v>
      </c>
      <c r="HO19" s="7" t="s">
        <v>842</v>
      </c>
      <c r="HS19" s="7" t="s">
        <v>842</v>
      </c>
      <c r="HT19" s="7" t="s">
        <v>842</v>
      </c>
      <c r="HW19" s="7" t="s">
        <v>842</v>
      </c>
      <c r="HX19" s="7" t="s">
        <v>842</v>
      </c>
      <c r="HY19" s="7" t="s">
        <v>842</v>
      </c>
      <c r="HZ19" s="7" t="s">
        <v>842</v>
      </c>
      <c r="IA19" s="7"/>
      <c r="IB19" s="7" t="s">
        <v>842</v>
      </c>
      <c r="IE19" s="7"/>
      <c r="IF19" s="7"/>
      <c r="IG19" t="s">
        <v>842</v>
      </c>
      <c r="IK19" s="7" t="s">
        <v>842</v>
      </c>
      <c r="IL19" t="s">
        <v>842</v>
      </c>
      <c r="IM19" t="s">
        <v>842</v>
      </c>
      <c r="IN19" t="s">
        <v>842</v>
      </c>
      <c r="IO19" t="s">
        <v>842</v>
      </c>
      <c r="IP19" t="s">
        <v>842</v>
      </c>
      <c r="IQ19" t="s">
        <v>842</v>
      </c>
      <c r="IR19" s="7" t="s">
        <v>842</v>
      </c>
      <c r="IS19" s="7" t="s">
        <v>842</v>
      </c>
      <c r="IU19" s="7" t="s">
        <v>842</v>
      </c>
      <c r="IV19" t="s">
        <v>842</v>
      </c>
      <c r="JB19" s="7" t="s">
        <v>842</v>
      </c>
      <c r="JE19" t="s">
        <v>842</v>
      </c>
      <c r="JF19" t="s">
        <v>842</v>
      </c>
      <c r="JG19" t="s">
        <v>842</v>
      </c>
      <c r="JH19" t="s">
        <v>842</v>
      </c>
      <c r="JI19" s="7" t="s">
        <v>842</v>
      </c>
      <c r="JJ19" s="7" t="s">
        <v>842</v>
      </c>
      <c r="JM19" s="7" t="s">
        <v>842</v>
      </c>
      <c r="JN19" s="7" t="s">
        <v>842</v>
      </c>
      <c r="JO19" s="7" t="s">
        <v>842</v>
      </c>
      <c r="JP19" s="7" t="s">
        <v>842</v>
      </c>
      <c r="JQ19" s="7" t="s">
        <v>842</v>
      </c>
      <c r="JR19" s="7" t="s">
        <v>842</v>
      </c>
      <c r="JS19" s="7" t="s">
        <v>842</v>
      </c>
      <c r="JU19" s="7" t="s">
        <v>842</v>
      </c>
      <c r="JW19" s="7" t="s">
        <v>842</v>
      </c>
      <c r="JZ19" s="7" t="s">
        <v>842</v>
      </c>
      <c r="KB19" s="7"/>
      <c r="KC19" t="s">
        <v>842</v>
      </c>
    </row>
    <row r="20" spans="1:295" x14ac:dyDescent="0.3">
      <c r="A20">
        <v>18</v>
      </c>
      <c r="B20" t="s">
        <v>842</v>
      </c>
      <c r="C20" t="s">
        <v>947</v>
      </c>
      <c r="D20" s="1" t="s">
        <v>1624</v>
      </c>
      <c r="E20" t="s">
        <v>844</v>
      </c>
      <c r="H20" t="s">
        <v>846</v>
      </c>
      <c r="I20" t="s">
        <v>1710</v>
      </c>
      <c r="J20">
        <v>101</v>
      </c>
      <c r="L20" t="s">
        <v>422</v>
      </c>
      <c r="M20" t="s">
        <v>1623</v>
      </c>
      <c r="N20" t="s">
        <v>424</v>
      </c>
      <c r="O20">
        <v>75280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849</v>
      </c>
      <c r="AE20" t="s">
        <v>850</v>
      </c>
      <c r="AF20" t="s">
        <v>1280</v>
      </c>
      <c r="AG20">
        <v>14</v>
      </c>
      <c r="AH20">
        <v>0</v>
      </c>
      <c r="AI20">
        <v>5</v>
      </c>
      <c r="AJ20">
        <v>9</v>
      </c>
      <c r="AK20">
        <v>0</v>
      </c>
      <c r="AL20">
        <v>0</v>
      </c>
      <c r="AM20">
        <v>1</v>
      </c>
      <c r="AP20" t="s">
        <v>534</v>
      </c>
      <c r="AQ20" t="s">
        <v>852</v>
      </c>
      <c r="AR20" s="4">
        <f t="shared" si="0"/>
        <v>0</v>
      </c>
      <c r="AT20" t="s">
        <v>1024</v>
      </c>
      <c r="AV20" t="s">
        <v>854</v>
      </c>
      <c r="BF20" t="s">
        <v>855</v>
      </c>
      <c r="BI20" t="s">
        <v>856</v>
      </c>
      <c r="BM20" t="s">
        <v>857</v>
      </c>
      <c r="CK20" s="4">
        <f t="shared" si="13"/>
        <v>0</v>
      </c>
      <c r="CT20" t="s">
        <v>856</v>
      </c>
      <c r="DC20">
        <v>4</v>
      </c>
      <c r="DD20" t="s">
        <v>858</v>
      </c>
      <c r="DG20">
        <v>2</v>
      </c>
      <c r="DH20" t="s">
        <v>859</v>
      </c>
      <c r="DW20">
        <v>22</v>
      </c>
      <c r="DX20" t="s">
        <v>853</v>
      </c>
      <c r="DY20">
        <v>2024</v>
      </c>
      <c r="DZ20" t="s">
        <v>1711</v>
      </c>
      <c r="EF20" t="s">
        <v>442</v>
      </c>
      <c r="EG20" t="s">
        <v>443</v>
      </c>
      <c r="EH20" t="s">
        <v>1281</v>
      </c>
      <c r="EI20" s="11" t="s">
        <v>1625</v>
      </c>
      <c r="EJ20" t="s">
        <v>1229</v>
      </c>
      <c r="EK20" t="s">
        <v>1626</v>
      </c>
      <c r="EL20" s="11" t="s">
        <v>1627</v>
      </c>
      <c r="EM20" t="s">
        <v>867</v>
      </c>
      <c r="EN20" t="s">
        <v>1628</v>
      </c>
      <c r="EO20" s="11" t="s">
        <v>1629</v>
      </c>
      <c r="EP20" t="s">
        <v>883</v>
      </c>
      <c r="EQ20" t="s">
        <v>1630</v>
      </c>
      <c r="ER20" s="11" t="s">
        <v>1631</v>
      </c>
      <c r="ES20" t="s">
        <v>883</v>
      </c>
      <c r="ET20" t="s">
        <v>1632</v>
      </c>
      <c r="EU20" s="11" t="s">
        <v>1633</v>
      </c>
      <c r="EV20" t="s">
        <v>867</v>
      </c>
      <c r="EW20" t="s">
        <v>1634</v>
      </c>
      <c r="EX20" s="11" t="s">
        <v>1635</v>
      </c>
      <c r="EY20" t="s">
        <v>867</v>
      </c>
      <c r="EZ20" t="s">
        <v>1636</v>
      </c>
      <c r="FA20" s="11" t="s">
        <v>1637</v>
      </c>
      <c r="FB20" t="s">
        <v>867</v>
      </c>
      <c r="FC20" t="s">
        <v>1638</v>
      </c>
      <c r="FD20" s="11" t="s">
        <v>1639</v>
      </c>
      <c r="FE20" t="s">
        <v>873</v>
      </c>
      <c r="FF20" t="s">
        <v>1640</v>
      </c>
      <c r="FG20" s="11" t="s">
        <v>1641</v>
      </c>
      <c r="FH20" t="s">
        <v>873</v>
      </c>
      <c r="FI20" t="s">
        <v>1642</v>
      </c>
      <c r="FK20">
        <v>0</v>
      </c>
      <c r="FL20" s="4">
        <f t="shared" si="14"/>
        <v>0</v>
      </c>
      <c r="FN20">
        <v>0</v>
      </c>
      <c r="FO20" s="4">
        <f t="shared" si="15"/>
        <v>0</v>
      </c>
      <c r="FQ20">
        <v>0</v>
      </c>
      <c r="FR20" s="4">
        <f t="shared" si="16"/>
        <v>0</v>
      </c>
      <c r="FS20" t="s">
        <v>455</v>
      </c>
      <c r="FU20" s="4">
        <f t="shared" si="17"/>
        <v>0</v>
      </c>
      <c r="FV20" s="4">
        <f t="shared" si="18"/>
        <v>0</v>
      </c>
      <c r="FW20" s="4" t="str">
        <f t="shared" si="19"/>
        <v>ORDINARIO</v>
      </c>
      <c r="FX20" t="s">
        <v>1643</v>
      </c>
      <c r="FY20" t="s">
        <v>864</v>
      </c>
      <c r="FZ20" t="s">
        <v>1644</v>
      </c>
      <c r="GA20" t="s">
        <v>1645</v>
      </c>
      <c r="GB20" t="s">
        <v>1318</v>
      </c>
      <c r="GC20" t="s">
        <v>1646</v>
      </c>
      <c r="GD20" s="7" t="s">
        <v>842</v>
      </c>
      <c r="GE20" s="7" t="s">
        <v>842</v>
      </c>
      <c r="GF20" t="s">
        <v>842</v>
      </c>
      <c r="GG20" t="s">
        <v>842</v>
      </c>
      <c r="GH20" t="s">
        <v>842</v>
      </c>
      <c r="GI20" t="s">
        <v>842</v>
      </c>
      <c r="GK20" t="s">
        <v>842</v>
      </c>
      <c r="GX20" t="s">
        <v>842</v>
      </c>
      <c r="HB20" t="s">
        <v>842</v>
      </c>
      <c r="HC20" t="s">
        <v>842</v>
      </c>
      <c r="HD20" t="s">
        <v>842</v>
      </c>
      <c r="HE20" s="7" t="s">
        <v>842</v>
      </c>
      <c r="HG20" t="s">
        <v>842</v>
      </c>
      <c r="HH20" t="s">
        <v>842</v>
      </c>
      <c r="HI20" t="s">
        <v>842</v>
      </c>
      <c r="HJ20" t="s">
        <v>842</v>
      </c>
      <c r="HL20" t="s">
        <v>842</v>
      </c>
      <c r="HM20" s="7" t="s">
        <v>842</v>
      </c>
      <c r="HN20" s="7" t="s">
        <v>842</v>
      </c>
      <c r="HO20" t="s">
        <v>842</v>
      </c>
      <c r="HS20" t="s">
        <v>842</v>
      </c>
      <c r="HT20" t="s">
        <v>842</v>
      </c>
      <c r="HW20" t="s">
        <v>842</v>
      </c>
      <c r="HX20" t="s">
        <v>842</v>
      </c>
      <c r="HY20" t="s">
        <v>842</v>
      </c>
      <c r="HZ20" t="s">
        <v>842</v>
      </c>
      <c r="IB20" t="s">
        <v>842</v>
      </c>
      <c r="IG20" t="s">
        <v>842</v>
      </c>
      <c r="IK20" s="7" t="s">
        <v>842</v>
      </c>
      <c r="IL20" t="s">
        <v>842</v>
      </c>
      <c r="IM20" t="s">
        <v>842</v>
      </c>
      <c r="IN20" t="s">
        <v>842</v>
      </c>
      <c r="IO20" t="s">
        <v>842</v>
      </c>
      <c r="IP20" t="s">
        <v>842</v>
      </c>
      <c r="IQ20" t="s">
        <v>842</v>
      </c>
      <c r="IR20" t="s">
        <v>842</v>
      </c>
      <c r="IS20" t="s">
        <v>842</v>
      </c>
      <c r="IU20" t="s">
        <v>842</v>
      </c>
      <c r="IV20" t="s">
        <v>842</v>
      </c>
      <c r="JB20" t="s">
        <v>842</v>
      </c>
      <c r="JE20" t="s">
        <v>842</v>
      </c>
      <c r="JF20" t="s">
        <v>842</v>
      </c>
      <c r="JG20" t="s">
        <v>842</v>
      </c>
      <c r="JH20" t="s">
        <v>842</v>
      </c>
      <c r="JI20" t="s">
        <v>842</v>
      </c>
      <c r="JJ20" t="s">
        <v>842</v>
      </c>
      <c r="JM20" t="s">
        <v>842</v>
      </c>
      <c r="JN20" t="s">
        <v>842</v>
      </c>
      <c r="JO20" t="s">
        <v>842</v>
      </c>
      <c r="JP20" t="s">
        <v>842</v>
      </c>
      <c r="JQ20" t="s">
        <v>842</v>
      </c>
      <c r="JR20" t="s">
        <v>842</v>
      </c>
      <c r="JS20" t="s">
        <v>842</v>
      </c>
      <c r="JU20" t="s">
        <v>842</v>
      </c>
      <c r="JW20" t="s">
        <v>842</v>
      </c>
      <c r="JZ20" t="s">
        <v>842</v>
      </c>
      <c r="KC20" t="s">
        <v>842</v>
      </c>
      <c r="KD20" t="s">
        <v>1647</v>
      </c>
      <c r="KE20" t="s">
        <v>1318</v>
      </c>
      <c r="KF20" t="s">
        <v>1648</v>
      </c>
      <c r="KG20" t="s">
        <v>1649</v>
      </c>
      <c r="KH20" t="s">
        <v>873</v>
      </c>
      <c r="KI20" t="s">
        <v>1650</v>
      </c>
    </row>
    <row r="21" spans="1:295" x14ac:dyDescent="0.3">
      <c r="A21">
        <v>19</v>
      </c>
      <c r="B21" t="s">
        <v>842</v>
      </c>
      <c r="C21" t="s">
        <v>947</v>
      </c>
      <c r="D21" s="1" t="s">
        <v>1055</v>
      </c>
      <c r="E21" t="s">
        <v>844</v>
      </c>
      <c r="G21" t="s">
        <v>845</v>
      </c>
      <c r="H21" t="s">
        <v>846</v>
      </c>
      <c r="I21" t="s">
        <v>944</v>
      </c>
      <c r="J21">
        <v>3710</v>
      </c>
      <c r="K21" t="s">
        <v>995</v>
      </c>
      <c r="L21" t="s">
        <v>945</v>
      </c>
      <c r="M21" t="s">
        <v>424</v>
      </c>
      <c r="N21" t="s">
        <v>424</v>
      </c>
      <c r="O21">
        <v>72150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 t="s">
        <v>946</v>
      </c>
      <c r="AE21" t="s">
        <v>850</v>
      </c>
      <c r="AF21" t="s">
        <v>952</v>
      </c>
      <c r="AG21">
        <v>9</v>
      </c>
      <c r="AH21">
        <v>0</v>
      </c>
      <c r="AI21">
        <v>2</v>
      </c>
      <c r="AJ21">
        <v>7</v>
      </c>
      <c r="AK21">
        <v>0</v>
      </c>
      <c r="AL21">
        <v>0</v>
      </c>
      <c r="AM21">
        <v>1</v>
      </c>
      <c r="AP21" t="s">
        <v>534</v>
      </c>
      <c r="AQ21" t="s">
        <v>852</v>
      </c>
      <c r="AR21" s="4">
        <f t="shared" si="0"/>
        <v>15</v>
      </c>
      <c r="AS21">
        <v>1</v>
      </c>
      <c r="AT21" t="s">
        <v>1024</v>
      </c>
      <c r="AU21">
        <v>5</v>
      </c>
      <c r="AV21" t="s">
        <v>854</v>
      </c>
      <c r="AW21">
        <v>4</v>
      </c>
      <c r="AX21">
        <v>1</v>
      </c>
      <c r="BE21">
        <v>2</v>
      </c>
      <c r="BF21" t="s">
        <v>855</v>
      </c>
      <c r="BG21">
        <v>2</v>
      </c>
      <c r="BI21" t="s">
        <v>856</v>
      </c>
      <c r="BL21">
        <v>14</v>
      </c>
      <c r="BM21" t="s">
        <v>857</v>
      </c>
      <c r="CD21">
        <v>3</v>
      </c>
      <c r="CF21">
        <v>2</v>
      </c>
      <c r="CH21">
        <v>1</v>
      </c>
      <c r="CI21">
        <v>1</v>
      </c>
      <c r="CJ21">
        <v>8</v>
      </c>
      <c r="CK21" s="4">
        <f t="shared" si="13"/>
        <v>6</v>
      </c>
      <c r="CL21">
        <v>1</v>
      </c>
      <c r="CM21">
        <v>1</v>
      </c>
      <c r="CO21">
        <v>4</v>
      </c>
      <c r="CP21">
        <v>1</v>
      </c>
      <c r="CS21">
        <v>5</v>
      </c>
      <c r="CT21" t="s">
        <v>856</v>
      </c>
      <c r="DC21">
        <v>4</v>
      </c>
      <c r="DD21" t="s">
        <v>858</v>
      </c>
      <c r="DG21">
        <v>2</v>
      </c>
      <c r="DH21" t="s">
        <v>859</v>
      </c>
      <c r="DW21">
        <v>19</v>
      </c>
      <c r="DX21" t="s">
        <v>853</v>
      </c>
      <c r="DY21">
        <v>2024</v>
      </c>
      <c r="DZ21" t="s">
        <v>1341</v>
      </c>
      <c r="EF21" t="s">
        <v>442</v>
      </c>
      <c r="EG21" t="s">
        <v>443</v>
      </c>
      <c r="EH21" t="s">
        <v>953</v>
      </c>
      <c r="EI21" s="11" t="s">
        <v>954</v>
      </c>
      <c r="EJ21" t="s">
        <v>1229</v>
      </c>
      <c r="EL21" s="11" t="s">
        <v>955</v>
      </c>
      <c r="EM21" t="s">
        <v>873</v>
      </c>
      <c r="EN21" t="s">
        <v>956</v>
      </c>
      <c r="EO21" s="11" t="s">
        <v>957</v>
      </c>
      <c r="EP21" t="s">
        <v>867</v>
      </c>
      <c r="EQ21" t="s">
        <v>958</v>
      </c>
      <c r="ER21" s="11" t="s">
        <v>959</v>
      </c>
      <c r="ES21" t="s">
        <v>883</v>
      </c>
      <c r="ET21" t="s">
        <v>960</v>
      </c>
      <c r="EU21" s="11" t="s">
        <v>961</v>
      </c>
      <c r="EV21" t="s">
        <v>876</v>
      </c>
      <c r="EW21" t="s">
        <v>962</v>
      </c>
      <c r="EX21" s="11" t="s">
        <v>963</v>
      </c>
      <c r="EY21" t="s">
        <v>873</v>
      </c>
      <c r="EZ21" t="s">
        <v>964</v>
      </c>
      <c r="FA21" s="11" t="s">
        <v>965</v>
      </c>
      <c r="FB21" t="s">
        <v>876</v>
      </c>
      <c r="FC21" t="s">
        <v>966</v>
      </c>
      <c r="FD21" s="11" t="s">
        <v>967</v>
      </c>
      <c r="FE21" t="s">
        <v>867</v>
      </c>
      <c r="FK21">
        <v>0</v>
      </c>
      <c r="FL21" s="4">
        <f t="shared" si="14"/>
        <v>0</v>
      </c>
      <c r="FN21">
        <v>0</v>
      </c>
      <c r="FO21" s="4">
        <f t="shared" si="15"/>
        <v>0</v>
      </c>
      <c r="FQ21">
        <v>0</v>
      </c>
      <c r="FR21" s="4">
        <f t="shared" si="16"/>
        <v>0</v>
      </c>
      <c r="FS21" t="s">
        <v>455</v>
      </c>
      <c r="FU21" s="4">
        <f t="shared" si="17"/>
        <v>0</v>
      </c>
      <c r="FV21" s="4">
        <f t="shared" si="18"/>
        <v>0</v>
      </c>
      <c r="FW21" s="4" t="str">
        <f t="shared" si="19"/>
        <v>ORDINARIO</v>
      </c>
      <c r="GD21" s="7" t="s">
        <v>842</v>
      </c>
      <c r="GE21" s="7" t="s">
        <v>842</v>
      </c>
      <c r="GF21" s="7" t="s">
        <v>842</v>
      </c>
      <c r="GG21" s="7" t="s">
        <v>842</v>
      </c>
      <c r="GH21" t="s">
        <v>842</v>
      </c>
      <c r="GI21" s="7" t="s">
        <v>842</v>
      </c>
      <c r="GJ21" s="7"/>
      <c r="GK21" s="7" t="s">
        <v>842</v>
      </c>
      <c r="GX21" s="7" t="s">
        <v>842</v>
      </c>
      <c r="HB21" t="s">
        <v>842</v>
      </c>
      <c r="HC21" t="s">
        <v>842</v>
      </c>
      <c r="HD21" t="s">
        <v>842</v>
      </c>
      <c r="HE21" s="7" t="s">
        <v>842</v>
      </c>
      <c r="HG21" s="7" t="s">
        <v>842</v>
      </c>
      <c r="HH21" t="s">
        <v>842</v>
      </c>
      <c r="HI21" s="7" t="s">
        <v>842</v>
      </c>
      <c r="HJ21" s="7" t="s">
        <v>842</v>
      </c>
      <c r="HL21" s="7" t="s">
        <v>842</v>
      </c>
      <c r="HM21" s="7" t="s">
        <v>842</v>
      </c>
      <c r="HN21" s="7" t="s">
        <v>842</v>
      </c>
      <c r="HO21" s="7" t="s">
        <v>842</v>
      </c>
      <c r="HS21" s="7" t="s">
        <v>842</v>
      </c>
      <c r="HT21" s="7" t="s">
        <v>842</v>
      </c>
      <c r="HW21" s="7" t="s">
        <v>842</v>
      </c>
      <c r="HX21" s="7" t="s">
        <v>842</v>
      </c>
      <c r="HY21" s="7" t="s">
        <v>842</v>
      </c>
      <c r="HZ21" s="7" t="s">
        <v>842</v>
      </c>
      <c r="IA21" s="7"/>
      <c r="IB21" s="7" t="s">
        <v>842</v>
      </c>
      <c r="IE21" s="7"/>
      <c r="IF21" s="7"/>
      <c r="IG21" t="s">
        <v>842</v>
      </c>
      <c r="IK21" s="7" t="s">
        <v>842</v>
      </c>
      <c r="IL21" t="s">
        <v>842</v>
      </c>
      <c r="IM21" t="s">
        <v>842</v>
      </c>
      <c r="IN21" t="s">
        <v>842</v>
      </c>
      <c r="IO21" t="s">
        <v>842</v>
      </c>
      <c r="IP21" t="s">
        <v>842</v>
      </c>
      <c r="IQ21" t="s">
        <v>842</v>
      </c>
      <c r="IR21" s="7" t="s">
        <v>842</v>
      </c>
      <c r="IS21" s="7" t="s">
        <v>842</v>
      </c>
      <c r="IU21" s="7" t="s">
        <v>842</v>
      </c>
      <c r="IV21" t="s">
        <v>842</v>
      </c>
      <c r="JB21" s="7" t="s">
        <v>842</v>
      </c>
      <c r="JE21" t="s">
        <v>842</v>
      </c>
      <c r="JF21" t="s">
        <v>842</v>
      </c>
      <c r="JG21" t="s">
        <v>842</v>
      </c>
      <c r="JH21" t="s">
        <v>842</v>
      </c>
      <c r="JI21" s="7" t="s">
        <v>842</v>
      </c>
      <c r="JJ21" s="7" t="s">
        <v>842</v>
      </c>
      <c r="JM21" s="7" t="s">
        <v>842</v>
      </c>
      <c r="JN21" s="7" t="s">
        <v>842</v>
      </c>
      <c r="JO21" s="7" t="s">
        <v>842</v>
      </c>
      <c r="JP21" s="7" t="s">
        <v>842</v>
      </c>
      <c r="JQ21" s="7" t="s">
        <v>842</v>
      </c>
      <c r="JR21" s="7" t="s">
        <v>842</v>
      </c>
      <c r="JS21" s="7" t="s">
        <v>842</v>
      </c>
      <c r="JU21" s="7" t="s">
        <v>842</v>
      </c>
      <c r="JW21" s="7" t="s">
        <v>842</v>
      </c>
      <c r="JZ21" s="7" t="s">
        <v>842</v>
      </c>
      <c r="KB21" s="7"/>
      <c r="KC21" t="s">
        <v>842</v>
      </c>
    </row>
    <row r="22" spans="1:295" x14ac:dyDescent="0.3">
      <c r="A22">
        <v>20</v>
      </c>
      <c r="B22" t="s">
        <v>842</v>
      </c>
      <c r="C22" t="s">
        <v>947</v>
      </c>
      <c r="D22" s="1" t="s">
        <v>1466</v>
      </c>
      <c r="E22" t="s">
        <v>844</v>
      </c>
      <c r="G22" t="s">
        <v>1107</v>
      </c>
      <c r="H22" t="s">
        <v>846</v>
      </c>
      <c r="I22" t="s">
        <v>1467</v>
      </c>
      <c r="J22">
        <v>512</v>
      </c>
      <c r="K22" t="s">
        <v>1468</v>
      </c>
      <c r="L22" t="s">
        <v>1469</v>
      </c>
      <c r="M22" t="s">
        <v>812</v>
      </c>
      <c r="N22" t="s">
        <v>424</v>
      </c>
      <c r="O22">
        <v>72774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912</v>
      </c>
      <c r="AE22" t="s">
        <v>850</v>
      </c>
      <c r="AF22" t="s">
        <v>1470</v>
      </c>
      <c r="AG22">
        <v>10</v>
      </c>
      <c r="AH22">
        <v>0</v>
      </c>
      <c r="AI22">
        <v>3</v>
      </c>
      <c r="AJ22">
        <v>7</v>
      </c>
      <c r="AK22">
        <v>0</v>
      </c>
      <c r="AL22">
        <v>0</v>
      </c>
      <c r="AM22">
        <v>1</v>
      </c>
      <c r="AP22" t="s">
        <v>534</v>
      </c>
      <c r="AQ22" t="s">
        <v>852</v>
      </c>
      <c r="AR22" s="4">
        <f t="shared" si="0"/>
        <v>18</v>
      </c>
      <c r="AS22">
        <v>1</v>
      </c>
      <c r="AT22" t="s">
        <v>1024</v>
      </c>
      <c r="AU22">
        <v>5</v>
      </c>
      <c r="AV22" t="s">
        <v>854</v>
      </c>
      <c r="AW22">
        <v>4</v>
      </c>
      <c r="AX22">
        <v>1</v>
      </c>
      <c r="BE22">
        <v>1</v>
      </c>
      <c r="BF22" t="s">
        <v>855</v>
      </c>
      <c r="BH22">
        <v>1</v>
      </c>
      <c r="BI22" t="s">
        <v>856</v>
      </c>
      <c r="BL22">
        <v>15</v>
      </c>
      <c r="BM22" t="s">
        <v>857</v>
      </c>
      <c r="CD22">
        <v>3</v>
      </c>
      <c r="CF22">
        <v>2</v>
      </c>
      <c r="CG22">
        <v>2</v>
      </c>
      <c r="CH22">
        <v>1</v>
      </c>
      <c r="CI22">
        <v>3</v>
      </c>
      <c r="CJ22">
        <v>3</v>
      </c>
      <c r="CK22" s="4">
        <f t="shared" si="13"/>
        <v>6</v>
      </c>
      <c r="CL22">
        <v>4</v>
      </c>
      <c r="CM22">
        <v>1</v>
      </c>
      <c r="CO22">
        <v>1</v>
      </c>
      <c r="CP22">
        <v>1</v>
      </c>
      <c r="CS22">
        <v>5</v>
      </c>
      <c r="CT22" t="s">
        <v>856</v>
      </c>
      <c r="DC22">
        <v>4</v>
      </c>
      <c r="DD22" t="s">
        <v>858</v>
      </c>
      <c r="DG22">
        <v>2</v>
      </c>
      <c r="DH22" t="s">
        <v>859</v>
      </c>
      <c r="DW22">
        <v>26</v>
      </c>
      <c r="DX22" t="s">
        <v>853</v>
      </c>
      <c r="DY22">
        <v>2024</v>
      </c>
      <c r="DZ22" t="s">
        <v>1471</v>
      </c>
      <c r="EF22" t="s">
        <v>442</v>
      </c>
      <c r="EG22" t="s">
        <v>443</v>
      </c>
      <c r="EH22" t="s">
        <v>1472</v>
      </c>
      <c r="EI22" s="11" t="s">
        <v>1473</v>
      </c>
      <c r="EJ22" t="s">
        <v>1229</v>
      </c>
      <c r="EK22" t="s">
        <v>1474</v>
      </c>
      <c r="EL22" s="11" t="s">
        <v>1475</v>
      </c>
      <c r="EM22" t="s">
        <v>883</v>
      </c>
      <c r="EN22" t="s">
        <v>1476</v>
      </c>
      <c r="EO22" s="11" t="s">
        <v>1477</v>
      </c>
      <c r="EP22" t="s">
        <v>1318</v>
      </c>
      <c r="EQ22" t="s">
        <v>1478</v>
      </c>
      <c r="ER22" s="11" t="s">
        <v>1479</v>
      </c>
      <c r="ES22" t="s">
        <v>1318</v>
      </c>
      <c r="ET22" t="s">
        <v>1480</v>
      </c>
      <c r="EU22" s="11" t="s">
        <v>1481</v>
      </c>
      <c r="EV22" t="s">
        <v>867</v>
      </c>
      <c r="EW22" t="s">
        <v>1482</v>
      </c>
      <c r="EX22" s="11" t="s">
        <v>1462</v>
      </c>
      <c r="EY22" t="s">
        <v>867</v>
      </c>
      <c r="EZ22" t="s">
        <v>1463</v>
      </c>
      <c r="FA22" s="11" t="s">
        <v>1483</v>
      </c>
      <c r="FB22" t="s">
        <v>867</v>
      </c>
      <c r="FC22" t="s">
        <v>1484</v>
      </c>
      <c r="FD22" s="11" t="s">
        <v>1485</v>
      </c>
      <c r="FE22" t="s">
        <v>867</v>
      </c>
      <c r="FF22" t="s">
        <v>1486</v>
      </c>
      <c r="FG22" s="11" t="s">
        <v>1487</v>
      </c>
      <c r="FH22" t="s">
        <v>873</v>
      </c>
      <c r="FI22" t="s">
        <v>1488</v>
      </c>
      <c r="FK22">
        <v>0</v>
      </c>
      <c r="FL22" s="4">
        <f t="shared" si="14"/>
        <v>0</v>
      </c>
      <c r="FN22">
        <v>0</v>
      </c>
      <c r="FO22" s="4">
        <f t="shared" si="15"/>
        <v>0</v>
      </c>
      <c r="FQ22">
        <v>0</v>
      </c>
      <c r="FR22" s="4">
        <f t="shared" si="16"/>
        <v>0</v>
      </c>
      <c r="FS22" t="s">
        <v>455</v>
      </c>
      <c r="FU22" s="4">
        <f t="shared" si="17"/>
        <v>0</v>
      </c>
      <c r="FV22" s="4">
        <f t="shared" si="18"/>
        <v>0</v>
      </c>
      <c r="FW22" s="4" t="str">
        <f t="shared" si="19"/>
        <v>ORDINARIO</v>
      </c>
      <c r="GD22" s="7" t="s">
        <v>842</v>
      </c>
      <c r="GE22" s="7" t="s">
        <v>842</v>
      </c>
      <c r="GF22" s="7" t="s">
        <v>842</v>
      </c>
      <c r="GG22" s="7" t="s">
        <v>842</v>
      </c>
      <c r="GH22" t="s">
        <v>842</v>
      </c>
      <c r="GI22" s="7" t="s">
        <v>842</v>
      </c>
      <c r="GJ22" s="7"/>
      <c r="GK22" s="7" t="s">
        <v>842</v>
      </c>
      <c r="GX22" s="7" t="s">
        <v>842</v>
      </c>
      <c r="HB22" t="s">
        <v>842</v>
      </c>
      <c r="HC22" t="s">
        <v>842</v>
      </c>
      <c r="HD22" t="s">
        <v>842</v>
      </c>
      <c r="HE22" s="7" t="s">
        <v>842</v>
      </c>
      <c r="HG22" s="7" t="s">
        <v>842</v>
      </c>
      <c r="HH22" t="s">
        <v>842</v>
      </c>
      <c r="HI22" s="7" t="s">
        <v>842</v>
      </c>
      <c r="HJ22" s="7" t="s">
        <v>842</v>
      </c>
      <c r="HL22" t="s">
        <v>842</v>
      </c>
      <c r="HM22" s="7" t="s">
        <v>842</v>
      </c>
      <c r="HN22" s="7" t="s">
        <v>842</v>
      </c>
      <c r="HO22" s="7" t="s">
        <v>842</v>
      </c>
      <c r="HS22" s="7" t="s">
        <v>842</v>
      </c>
      <c r="HT22" s="7" t="s">
        <v>842</v>
      </c>
      <c r="HW22" s="7" t="s">
        <v>842</v>
      </c>
      <c r="HX22" s="7" t="s">
        <v>842</v>
      </c>
      <c r="HY22" s="7" t="s">
        <v>842</v>
      </c>
      <c r="HZ22" s="7" t="s">
        <v>842</v>
      </c>
      <c r="IA22" s="7"/>
      <c r="IB22" s="7" t="s">
        <v>842</v>
      </c>
      <c r="IE22" s="7"/>
      <c r="IF22" s="7"/>
      <c r="IG22" t="s">
        <v>842</v>
      </c>
      <c r="IK22" s="7" t="s">
        <v>842</v>
      </c>
      <c r="IL22" t="s">
        <v>842</v>
      </c>
      <c r="IM22" t="s">
        <v>842</v>
      </c>
      <c r="IN22" t="s">
        <v>842</v>
      </c>
      <c r="IO22" t="s">
        <v>842</v>
      </c>
      <c r="IP22" t="s">
        <v>842</v>
      </c>
      <c r="IQ22" t="s">
        <v>842</v>
      </c>
      <c r="IR22" s="7" t="s">
        <v>842</v>
      </c>
      <c r="IS22" s="7" t="s">
        <v>842</v>
      </c>
      <c r="IU22" s="7" t="s">
        <v>842</v>
      </c>
      <c r="IV22" t="s">
        <v>842</v>
      </c>
      <c r="JB22" s="7" t="s">
        <v>842</v>
      </c>
      <c r="JE22" t="s">
        <v>842</v>
      </c>
      <c r="JF22" t="s">
        <v>842</v>
      </c>
      <c r="JG22" t="s">
        <v>842</v>
      </c>
      <c r="JH22" t="s">
        <v>842</v>
      </c>
      <c r="JI22" s="7" t="s">
        <v>842</v>
      </c>
      <c r="JJ22" s="7" t="s">
        <v>842</v>
      </c>
      <c r="JM22" s="7" t="s">
        <v>842</v>
      </c>
      <c r="JN22" s="7" t="s">
        <v>842</v>
      </c>
      <c r="JO22" s="7" t="s">
        <v>842</v>
      </c>
      <c r="JP22" s="7" t="s">
        <v>842</v>
      </c>
      <c r="JQ22" s="7" t="s">
        <v>842</v>
      </c>
      <c r="JR22" s="7" t="s">
        <v>842</v>
      </c>
      <c r="JS22" s="7" t="s">
        <v>842</v>
      </c>
      <c r="JU22" s="7" t="s">
        <v>842</v>
      </c>
      <c r="JW22" s="7" t="s">
        <v>842</v>
      </c>
      <c r="JZ22" s="7" t="s">
        <v>842</v>
      </c>
      <c r="KB22" s="7"/>
      <c r="KC22" t="s">
        <v>842</v>
      </c>
    </row>
    <row r="23" spans="1:295" x14ac:dyDescent="0.3">
      <c r="A23">
        <v>21</v>
      </c>
      <c r="B23" t="s">
        <v>842</v>
      </c>
      <c r="C23" t="s">
        <v>947</v>
      </c>
      <c r="D23" s="1" t="s">
        <v>1706</v>
      </c>
      <c r="E23" t="s">
        <v>844</v>
      </c>
      <c r="G23" t="s">
        <v>845</v>
      </c>
      <c r="H23" t="s">
        <v>846</v>
      </c>
      <c r="I23" t="s">
        <v>1707</v>
      </c>
      <c r="J23">
        <v>6510</v>
      </c>
      <c r="L23" t="s">
        <v>1708</v>
      </c>
      <c r="M23" t="s">
        <v>1492</v>
      </c>
      <c r="N23" t="s">
        <v>424</v>
      </c>
      <c r="O23">
        <v>72810</v>
      </c>
      <c r="P23">
        <v>2226892824</v>
      </c>
      <c r="Q23" s="3" t="s">
        <v>1603</v>
      </c>
      <c r="R23">
        <v>2</v>
      </c>
      <c r="S23" t="s">
        <v>1782</v>
      </c>
      <c r="T23" t="s">
        <v>1729</v>
      </c>
      <c r="U23" t="s">
        <v>1730</v>
      </c>
      <c r="V23">
        <v>453.82</v>
      </c>
      <c r="W23">
        <v>453.82</v>
      </c>
      <c r="X23">
        <v>1</v>
      </c>
      <c r="Y23" t="s">
        <v>1784</v>
      </c>
      <c r="Z23">
        <v>1</v>
      </c>
      <c r="AA23">
        <v>1</v>
      </c>
      <c r="AB23">
        <v>2</v>
      </c>
      <c r="AC23">
        <v>0</v>
      </c>
      <c r="AD23" t="s">
        <v>912</v>
      </c>
      <c r="AE23" t="s">
        <v>850</v>
      </c>
      <c r="AF23" t="s">
        <v>1604</v>
      </c>
      <c r="AG23">
        <v>10</v>
      </c>
      <c r="AH23">
        <v>0</v>
      </c>
      <c r="AI23">
        <v>5</v>
      </c>
      <c r="AJ23">
        <v>5</v>
      </c>
      <c r="AK23">
        <v>0</v>
      </c>
      <c r="AL23">
        <v>0</v>
      </c>
      <c r="AM23">
        <v>1</v>
      </c>
      <c r="AN23">
        <v>100</v>
      </c>
      <c r="AO23">
        <v>6</v>
      </c>
      <c r="AP23" t="s">
        <v>534</v>
      </c>
      <c r="AQ23" t="s">
        <v>852</v>
      </c>
      <c r="AR23" s="4">
        <f t="shared" si="0"/>
        <v>22</v>
      </c>
      <c r="AS23">
        <v>1</v>
      </c>
      <c r="AT23" t="s">
        <v>1024</v>
      </c>
      <c r="AU23">
        <v>6</v>
      </c>
      <c r="AV23" t="s">
        <v>854</v>
      </c>
      <c r="AW23">
        <v>5</v>
      </c>
      <c r="AX23">
        <v>1</v>
      </c>
      <c r="BE23">
        <v>2</v>
      </c>
      <c r="BF23" t="s">
        <v>855</v>
      </c>
      <c r="BH23">
        <v>2</v>
      </c>
      <c r="BI23" t="s">
        <v>856</v>
      </c>
      <c r="BJ23">
        <v>10</v>
      </c>
      <c r="BK23">
        <v>4</v>
      </c>
      <c r="BL23">
        <v>14</v>
      </c>
      <c r="BM23" t="s">
        <v>857</v>
      </c>
      <c r="CD23">
        <v>4</v>
      </c>
      <c r="CF23">
        <v>1</v>
      </c>
      <c r="CG23">
        <v>4</v>
      </c>
      <c r="CH23">
        <v>1</v>
      </c>
      <c r="CI23">
        <v>3</v>
      </c>
      <c r="CJ23">
        <v>4</v>
      </c>
      <c r="CK23" s="4">
        <f t="shared" si="13"/>
        <v>6</v>
      </c>
      <c r="CL23">
        <v>4</v>
      </c>
      <c r="CM23">
        <v>1</v>
      </c>
      <c r="CO23">
        <v>1</v>
      </c>
      <c r="CP23">
        <v>1</v>
      </c>
      <c r="CR23">
        <v>4</v>
      </c>
      <c r="CS23">
        <v>10</v>
      </c>
      <c r="CT23" t="s">
        <v>856</v>
      </c>
      <c r="DC23">
        <v>4</v>
      </c>
      <c r="DD23" t="s">
        <v>858</v>
      </c>
      <c r="DG23">
        <v>2</v>
      </c>
      <c r="DH23" t="s">
        <v>859</v>
      </c>
      <c r="DO23" t="s">
        <v>1745</v>
      </c>
      <c r="DP23" t="s">
        <v>1747</v>
      </c>
      <c r="DQ23" t="s">
        <v>1785</v>
      </c>
      <c r="DW23">
        <v>29</v>
      </c>
      <c r="DX23" t="s">
        <v>853</v>
      </c>
      <c r="DY23">
        <v>2024</v>
      </c>
      <c r="DZ23" t="s">
        <v>1709</v>
      </c>
      <c r="EA23" t="s">
        <v>1786</v>
      </c>
      <c r="EB23" t="s">
        <v>1787</v>
      </c>
      <c r="EC23" t="s">
        <v>1788</v>
      </c>
      <c r="ED23" s="9" t="s">
        <v>1789</v>
      </c>
      <c r="EE23" t="s">
        <v>1790</v>
      </c>
      <c r="EF23" t="s">
        <v>442</v>
      </c>
      <c r="EG23" t="s">
        <v>443</v>
      </c>
      <c r="EH23" t="s">
        <v>1605</v>
      </c>
      <c r="EI23" s="11" t="s">
        <v>1606</v>
      </c>
      <c r="EJ23" t="s">
        <v>1229</v>
      </c>
      <c r="EK23" t="s">
        <v>1607</v>
      </c>
      <c r="EL23" s="11" t="s">
        <v>1608</v>
      </c>
      <c r="EM23" t="s">
        <v>925</v>
      </c>
      <c r="EN23" t="s">
        <v>1609</v>
      </c>
      <c r="EO23" s="11" t="s">
        <v>1610</v>
      </c>
      <c r="EP23" t="s">
        <v>867</v>
      </c>
      <c r="EQ23" t="s">
        <v>1611</v>
      </c>
      <c r="ER23" s="11" t="s">
        <v>1612</v>
      </c>
      <c r="ES23" t="s">
        <v>925</v>
      </c>
      <c r="ET23" t="s">
        <v>1613</v>
      </c>
      <c r="EU23" s="11" t="s">
        <v>1614</v>
      </c>
      <c r="EV23" t="s">
        <v>883</v>
      </c>
      <c r="EW23" t="s">
        <v>1615</v>
      </c>
      <c r="EX23" s="11" t="s">
        <v>1616</v>
      </c>
      <c r="EY23" t="s">
        <v>873</v>
      </c>
      <c r="EZ23" t="s">
        <v>1617</v>
      </c>
      <c r="FA23" s="11" t="s">
        <v>1618</v>
      </c>
      <c r="FB23" t="s">
        <v>867</v>
      </c>
      <c r="FC23" t="s">
        <v>1619</v>
      </c>
      <c r="FD23" s="11" t="s">
        <v>1620</v>
      </c>
      <c r="FE23" t="s">
        <v>873</v>
      </c>
      <c r="FF23" t="s">
        <v>1621</v>
      </c>
      <c r="FG23" s="11" t="s">
        <v>1622</v>
      </c>
      <c r="FH23" t="s">
        <v>867</v>
      </c>
      <c r="FK23">
        <v>0</v>
      </c>
      <c r="FL23" s="4">
        <f t="shared" si="14"/>
        <v>0</v>
      </c>
      <c r="FN23">
        <v>0</v>
      </c>
      <c r="FO23" s="4">
        <f t="shared" si="15"/>
        <v>0</v>
      </c>
      <c r="FQ23">
        <v>34</v>
      </c>
      <c r="FR23" s="4">
        <f t="shared" si="16"/>
        <v>1.7000000000000001E-2</v>
      </c>
      <c r="FS23" t="s">
        <v>455</v>
      </c>
      <c r="FT23">
        <v>10000</v>
      </c>
      <c r="FU23" s="4">
        <f t="shared" si="17"/>
        <v>0.66666666666666663</v>
      </c>
      <c r="FV23" s="4">
        <f t="shared" si="18"/>
        <v>0.68366666666666664</v>
      </c>
      <c r="FW23" s="4" t="str">
        <f t="shared" si="19"/>
        <v>ORDINARIO</v>
      </c>
      <c r="GD23" s="7" t="s">
        <v>842</v>
      </c>
      <c r="GE23" s="7" t="s">
        <v>842</v>
      </c>
      <c r="GF23" s="7" t="s">
        <v>842</v>
      </c>
      <c r="GG23" s="7" t="s">
        <v>842</v>
      </c>
      <c r="GH23" t="s">
        <v>842</v>
      </c>
      <c r="GI23" s="7" t="s">
        <v>842</v>
      </c>
      <c r="GJ23" s="7" t="s">
        <v>842</v>
      </c>
      <c r="GK23" s="7" t="s">
        <v>842</v>
      </c>
      <c r="GX23" s="7" t="s">
        <v>842</v>
      </c>
      <c r="HB23" s="7" t="s">
        <v>842</v>
      </c>
      <c r="HC23" t="s">
        <v>842</v>
      </c>
      <c r="HD23" t="s">
        <v>842</v>
      </c>
      <c r="HE23" s="7" t="s">
        <v>842</v>
      </c>
      <c r="HG23" s="7" t="s">
        <v>842</v>
      </c>
      <c r="HH23" s="7" t="s">
        <v>842</v>
      </c>
      <c r="HI23" s="7" t="s">
        <v>842</v>
      </c>
      <c r="HJ23" s="7" t="s">
        <v>842</v>
      </c>
      <c r="HK23" s="7" t="s">
        <v>842</v>
      </c>
      <c r="HL23" s="7" t="s">
        <v>842</v>
      </c>
      <c r="HM23" s="7" t="s">
        <v>842</v>
      </c>
      <c r="HN23" s="7" t="s">
        <v>842</v>
      </c>
      <c r="HO23" s="7" t="s">
        <v>842</v>
      </c>
      <c r="HS23" s="7" t="s">
        <v>842</v>
      </c>
      <c r="HT23" s="7" t="s">
        <v>842</v>
      </c>
      <c r="HU23" s="7" t="s">
        <v>842</v>
      </c>
      <c r="HV23" s="7" t="s">
        <v>842</v>
      </c>
      <c r="HW23" s="7" t="s">
        <v>842</v>
      </c>
      <c r="HX23" s="7" t="s">
        <v>842</v>
      </c>
      <c r="HY23" s="7" t="s">
        <v>842</v>
      </c>
      <c r="HZ23" s="7" t="s">
        <v>842</v>
      </c>
      <c r="IA23" s="7" t="s">
        <v>842</v>
      </c>
      <c r="IB23" s="7" t="s">
        <v>842</v>
      </c>
      <c r="ID23" s="7" t="s">
        <v>842</v>
      </c>
      <c r="IE23" s="7" t="s">
        <v>842</v>
      </c>
      <c r="IF23" s="7" t="s">
        <v>842</v>
      </c>
      <c r="IG23" s="7" t="s">
        <v>842</v>
      </c>
      <c r="IK23" s="7" t="s">
        <v>842</v>
      </c>
      <c r="IL23" t="s">
        <v>842</v>
      </c>
      <c r="IM23" s="7" t="s">
        <v>842</v>
      </c>
      <c r="IN23" s="7" t="s">
        <v>842</v>
      </c>
      <c r="IO23" s="7" t="s">
        <v>842</v>
      </c>
      <c r="IP23" s="7" t="s">
        <v>842</v>
      </c>
      <c r="IQ23" s="7" t="s">
        <v>842</v>
      </c>
      <c r="IR23" s="7" t="s">
        <v>842</v>
      </c>
      <c r="IS23" s="7" t="s">
        <v>842</v>
      </c>
      <c r="IU23" s="7" t="s">
        <v>842</v>
      </c>
      <c r="IV23" s="7" t="s">
        <v>842</v>
      </c>
      <c r="JB23" s="7" t="s">
        <v>842</v>
      </c>
      <c r="JE23" s="7" t="s">
        <v>842</v>
      </c>
      <c r="JF23" s="7" t="s">
        <v>842</v>
      </c>
      <c r="JG23" t="s">
        <v>842</v>
      </c>
      <c r="JH23" t="s">
        <v>842</v>
      </c>
      <c r="JI23" s="7" t="s">
        <v>842</v>
      </c>
      <c r="JJ23" s="7" t="s">
        <v>842</v>
      </c>
      <c r="JM23" s="7" t="s">
        <v>842</v>
      </c>
      <c r="JN23" s="7" t="s">
        <v>842</v>
      </c>
      <c r="JO23" s="7" t="s">
        <v>842</v>
      </c>
      <c r="JP23" s="7" t="s">
        <v>842</v>
      </c>
      <c r="JQ23" s="7" t="s">
        <v>842</v>
      </c>
      <c r="JR23" s="7" t="s">
        <v>842</v>
      </c>
      <c r="JS23" s="7" t="s">
        <v>842</v>
      </c>
      <c r="JT23" s="7" t="s">
        <v>842</v>
      </c>
      <c r="JU23" s="7" t="s">
        <v>842</v>
      </c>
      <c r="JW23" s="7" t="s">
        <v>842</v>
      </c>
      <c r="JZ23" s="7" t="s">
        <v>842</v>
      </c>
      <c r="KB23" s="7" t="s">
        <v>842</v>
      </c>
      <c r="KC23" s="7" t="s">
        <v>842</v>
      </c>
    </row>
    <row r="24" spans="1:295" x14ac:dyDescent="0.3">
      <c r="A24">
        <v>22</v>
      </c>
      <c r="B24" t="s">
        <v>842</v>
      </c>
      <c r="C24" t="s">
        <v>947</v>
      </c>
      <c r="D24" s="1" t="s">
        <v>1581</v>
      </c>
      <c r="E24" t="s">
        <v>844</v>
      </c>
      <c r="G24" t="s">
        <v>845</v>
      </c>
      <c r="H24" t="s">
        <v>846</v>
      </c>
      <c r="I24" t="s">
        <v>1540</v>
      </c>
      <c r="J24">
        <v>3432</v>
      </c>
      <c r="K24" t="s">
        <v>1582</v>
      </c>
      <c r="L24" t="s">
        <v>1542</v>
      </c>
      <c r="M24" t="s">
        <v>1492</v>
      </c>
      <c r="N24" t="s">
        <v>424</v>
      </c>
      <c r="O24">
        <v>72825</v>
      </c>
      <c r="P24">
        <v>2226894860</v>
      </c>
      <c r="Q24" s="3" t="s">
        <v>1583</v>
      </c>
      <c r="R24">
        <v>3</v>
      </c>
      <c r="S24" t="s">
        <v>1731</v>
      </c>
      <c r="T24" t="s">
        <v>1729</v>
      </c>
      <c r="U24" t="s">
        <v>1730</v>
      </c>
      <c r="V24">
        <v>300</v>
      </c>
      <c r="W24">
        <v>300</v>
      </c>
      <c r="X24">
        <v>1</v>
      </c>
      <c r="Y24" t="s">
        <v>1783</v>
      </c>
      <c r="Z24">
        <v>1</v>
      </c>
      <c r="AA24">
        <v>1</v>
      </c>
      <c r="AB24">
        <v>0</v>
      </c>
      <c r="AC24">
        <v>0</v>
      </c>
      <c r="AD24" t="s">
        <v>912</v>
      </c>
      <c r="AE24" t="s">
        <v>850</v>
      </c>
      <c r="AF24" t="s">
        <v>1584</v>
      </c>
      <c r="AG24">
        <v>9</v>
      </c>
      <c r="AH24">
        <v>0</v>
      </c>
      <c r="AI24">
        <v>1</v>
      </c>
      <c r="AJ24">
        <v>9</v>
      </c>
      <c r="AK24">
        <v>0</v>
      </c>
      <c r="AL24">
        <v>0</v>
      </c>
      <c r="AM24">
        <v>1</v>
      </c>
      <c r="AN24">
        <v>40</v>
      </c>
      <c r="AO24">
        <v>6</v>
      </c>
      <c r="AP24" t="s">
        <v>534</v>
      </c>
      <c r="AQ24" t="s">
        <v>852</v>
      </c>
      <c r="AR24" s="4">
        <f t="shared" si="0"/>
        <v>18</v>
      </c>
      <c r="AS24">
        <v>1</v>
      </c>
      <c r="AT24" t="s">
        <v>1024</v>
      </c>
      <c r="AU24">
        <v>5</v>
      </c>
      <c r="AV24" t="s">
        <v>854</v>
      </c>
      <c r="AW24">
        <v>4</v>
      </c>
      <c r="AX24">
        <v>1</v>
      </c>
      <c r="BE24">
        <v>2</v>
      </c>
      <c r="BF24" t="s">
        <v>855</v>
      </c>
      <c r="BH24">
        <v>2</v>
      </c>
      <c r="BI24" t="s">
        <v>856</v>
      </c>
      <c r="BJ24">
        <v>9</v>
      </c>
      <c r="BK24">
        <v>7</v>
      </c>
      <c r="BL24">
        <f>+BJ24+BK24</f>
        <v>16</v>
      </c>
      <c r="BM24" t="s">
        <v>857</v>
      </c>
      <c r="CD24">
        <v>3</v>
      </c>
      <c r="CF24">
        <v>2</v>
      </c>
      <c r="CG24">
        <v>1</v>
      </c>
      <c r="CH24">
        <v>1</v>
      </c>
      <c r="CI24">
        <v>3</v>
      </c>
      <c r="CJ24">
        <v>4</v>
      </c>
      <c r="CK24" s="4">
        <f t="shared" si="13"/>
        <v>3</v>
      </c>
      <c r="CL24">
        <v>1</v>
      </c>
      <c r="CM24">
        <v>1</v>
      </c>
      <c r="CO24">
        <v>1</v>
      </c>
      <c r="CP24">
        <v>1</v>
      </c>
      <c r="CR24">
        <v>3</v>
      </c>
      <c r="CS24">
        <v>3</v>
      </c>
      <c r="CT24" t="s">
        <v>856</v>
      </c>
      <c r="DC24">
        <v>4</v>
      </c>
      <c r="DD24" t="s">
        <v>858</v>
      </c>
      <c r="DG24">
        <v>2</v>
      </c>
      <c r="DH24" t="s">
        <v>859</v>
      </c>
      <c r="DO24" t="s">
        <v>1745</v>
      </c>
      <c r="DP24" t="s">
        <v>1746</v>
      </c>
      <c r="DQ24" t="s">
        <v>1747</v>
      </c>
      <c r="DR24" t="s">
        <v>1753</v>
      </c>
      <c r="DW24">
        <v>28</v>
      </c>
      <c r="DX24" t="s">
        <v>853</v>
      </c>
      <c r="DY24">
        <v>2024</v>
      </c>
      <c r="DZ24" t="s">
        <v>1585</v>
      </c>
      <c r="EA24" t="s">
        <v>1736</v>
      </c>
      <c r="EB24" t="s">
        <v>1737</v>
      </c>
      <c r="EC24" t="s">
        <v>1738</v>
      </c>
      <c r="ED24" t="s">
        <v>1739</v>
      </c>
      <c r="EE24" t="s">
        <v>1740</v>
      </c>
      <c r="EF24" t="s">
        <v>442</v>
      </c>
      <c r="EG24" t="s">
        <v>443</v>
      </c>
      <c r="EH24" t="s">
        <v>1586</v>
      </c>
      <c r="EI24" s="11" t="s">
        <v>1587</v>
      </c>
      <c r="EJ24" t="s">
        <v>1229</v>
      </c>
      <c r="EK24" t="s">
        <v>1588</v>
      </c>
      <c r="EL24" s="11" t="s">
        <v>1589</v>
      </c>
      <c r="EM24" t="s">
        <v>873</v>
      </c>
      <c r="EN24" t="s">
        <v>1590</v>
      </c>
      <c r="EO24" s="11" t="s">
        <v>1591</v>
      </c>
      <c r="EP24" t="s">
        <v>925</v>
      </c>
      <c r="EQ24" t="s">
        <v>1592</v>
      </c>
      <c r="ER24" s="11" t="s">
        <v>1593</v>
      </c>
      <c r="ES24" t="s">
        <v>867</v>
      </c>
      <c r="ET24" t="s">
        <v>1594</v>
      </c>
      <c r="EU24" s="11" t="s">
        <v>1595</v>
      </c>
      <c r="EV24" t="s">
        <v>867</v>
      </c>
      <c r="EW24" t="s">
        <v>1596</v>
      </c>
      <c r="EX24" s="11" t="s">
        <v>1597</v>
      </c>
      <c r="EY24" t="s">
        <v>873</v>
      </c>
      <c r="EZ24" t="s">
        <v>1598</v>
      </c>
      <c r="FA24" s="11" t="s">
        <v>1597</v>
      </c>
      <c r="FB24" t="s">
        <v>873</v>
      </c>
      <c r="FC24" t="s">
        <v>1598</v>
      </c>
      <c r="FD24" s="11" t="s">
        <v>1599</v>
      </c>
      <c r="FE24" t="s">
        <v>883</v>
      </c>
      <c r="FF24" t="s">
        <v>1600</v>
      </c>
      <c r="FG24" s="11" t="s">
        <v>1601</v>
      </c>
      <c r="FH24" t="s">
        <v>925</v>
      </c>
      <c r="FI24" t="s">
        <v>1602</v>
      </c>
      <c r="FK24">
        <v>0</v>
      </c>
      <c r="FL24" s="4">
        <f t="shared" si="14"/>
        <v>0</v>
      </c>
      <c r="FN24">
        <v>0</v>
      </c>
      <c r="FO24" s="4">
        <f t="shared" si="15"/>
        <v>0</v>
      </c>
      <c r="FQ24">
        <v>0</v>
      </c>
      <c r="FR24" s="4">
        <f t="shared" si="16"/>
        <v>0</v>
      </c>
      <c r="FS24" t="s">
        <v>455</v>
      </c>
      <c r="FT24">
        <v>600</v>
      </c>
      <c r="FU24" s="4">
        <f t="shared" si="17"/>
        <v>0.04</v>
      </c>
      <c r="FV24" s="4">
        <f t="shared" si="18"/>
        <v>0.04</v>
      </c>
      <c r="FW24" s="4" t="str">
        <f t="shared" si="19"/>
        <v>ORDINARIO</v>
      </c>
      <c r="GD24" s="7" t="s">
        <v>842</v>
      </c>
      <c r="GE24" s="7" t="s">
        <v>842</v>
      </c>
      <c r="GF24" s="7" t="s">
        <v>842</v>
      </c>
      <c r="GG24" s="7" t="s">
        <v>842</v>
      </c>
      <c r="GH24" s="7" t="s">
        <v>842</v>
      </c>
      <c r="GI24" s="7" t="s">
        <v>842</v>
      </c>
      <c r="GJ24" s="7" t="s">
        <v>842</v>
      </c>
      <c r="GK24" s="7" t="s">
        <v>842</v>
      </c>
      <c r="GX24" s="7" t="s">
        <v>842</v>
      </c>
      <c r="GY24" s="7" t="s">
        <v>842</v>
      </c>
      <c r="HB24" s="7" t="s">
        <v>842</v>
      </c>
      <c r="HC24" s="7" t="s">
        <v>842</v>
      </c>
      <c r="HD24" s="7" t="s">
        <v>842</v>
      </c>
      <c r="HE24" s="7" t="s">
        <v>842</v>
      </c>
      <c r="HG24" s="7" t="s">
        <v>842</v>
      </c>
      <c r="HH24" s="7" t="s">
        <v>842</v>
      </c>
      <c r="HI24" s="7" t="s">
        <v>842</v>
      </c>
      <c r="HJ24" s="7" t="s">
        <v>842</v>
      </c>
      <c r="HL24" s="7" t="s">
        <v>842</v>
      </c>
      <c r="HM24" s="7" t="s">
        <v>842</v>
      </c>
      <c r="HN24" s="7" t="s">
        <v>842</v>
      </c>
      <c r="HO24" s="7" t="s">
        <v>842</v>
      </c>
      <c r="HS24" s="7" t="s">
        <v>842</v>
      </c>
      <c r="HT24" s="7" t="s">
        <v>842</v>
      </c>
      <c r="HU24" s="7" t="s">
        <v>842</v>
      </c>
      <c r="HV24" s="7" t="s">
        <v>842</v>
      </c>
      <c r="HW24" s="7" t="s">
        <v>842</v>
      </c>
      <c r="HX24" s="7" t="s">
        <v>842</v>
      </c>
      <c r="HY24" s="7" t="s">
        <v>842</v>
      </c>
      <c r="HZ24" s="7" t="s">
        <v>842</v>
      </c>
      <c r="IA24" s="7" t="s">
        <v>842</v>
      </c>
      <c r="IB24" s="7" t="s">
        <v>842</v>
      </c>
      <c r="ID24" s="7" t="s">
        <v>842</v>
      </c>
      <c r="IE24" s="7" t="s">
        <v>842</v>
      </c>
      <c r="IF24" s="7" t="s">
        <v>842</v>
      </c>
      <c r="IG24" s="7" t="s">
        <v>842</v>
      </c>
      <c r="IK24" s="7" t="s">
        <v>842</v>
      </c>
      <c r="IL24" t="s">
        <v>842</v>
      </c>
      <c r="IM24" s="7" t="s">
        <v>842</v>
      </c>
      <c r="IN24" s="7" t="s">
        <v>842</v>
      </c>
      <c r="IO24" s="7" t="s">
        <v>842</v>
      </c>
      <c r="IP24" s="7" t="s">
        <v>842</v>
      </c>
      <c r="IQ24" s="7" t="s">
        <v>842</v>
      </c>
      <c r="IR24" s="7" t="s">
        <v>842</v>
      </c>
      <c r="IS24" s="7" t="s">
        <v>842</v>
      </c>
      <c r="IU24" s="7" t="s">
        <v>842</v>
      </c>
      <c r="IV24" s="7" t="s">
        <v>842</v>
      </c>
      <c r="JB24" s="7" t="s">
        <v>842</v>
      </c>
      <c r="JE24" s="7" t="s">
        <v>842</v>
      </c>
      <c r="JF24" s="7" t="s">
        <v>842</v>
      </c>
      <c r="JG24" s="7" t="s">
        <v>842</v>
      </c>
      <c r="JH24" s="7" t="s">
        <v>842</v>
      </c>
      <c r="JI24" s="7" t="s">
        <v>842</v>
      </c>
      <c r="JJ24" s="7" t="s">
        <v>842</v>
      </c>
      <c r="JM24" s="7" t="s">
        <v>842</v>
      </c>
      <c r="JN24" s="7" t="s">
        <v>842</v>
      </c>
      <c r="JO24" s="7" t="s">
        <v>842</v>
      </c>
      <c r="JP24" s="7" t="s">
        <v>842</v>
      </c>
      <c r="JQ24" s="7" t="s">
        <v>842</v>
      </c>
      <c r="JR24" s="7" t="s">
        <v>842</v>
      </c>
      <c r="JS24" s="7" t="s">
        <v>842</v>
      </c>
      <c r="JT24" s="7" t="s">
        <v>842</v>
      </c>
      <c r="JU24" s="7" t="s">
        <v>842</v>
      </c>
      <c r="JW24" s="7" t="s">
        <v>842</v>
      </c>
      <c r="JZ24" s="7" t="s">
        <v>842</v>
      </c>
      <c r="KB24" s="7" t="s">
        <v>842</v>
      </c>
      <c r="KC24" s="7" t="s">
        <v>842</v>
      </c>
    </row>
    <row r="25" spans="1:295" x14ac:dyDescent="0.3">
      <c r="A25">
        <v>23</v>
      </c>
      <c r="B25" t="s">
        <v>842</v>
      </c>
      <c r="C25" t="s">
        <v>947</v>
      </c>
      <c r="D25" s="1" t="s">
        <v>1887</v>
      </c>
      <c r="E25" t="s">
        <v>844</v>
      </c>
      <c r="G25" t="s">
        <v>845</v>
      </c>
      <c r="H25" t="s">
        <v>846</v>
      </c>
      <c r="I25" t="s">
        <v>944</v>
      </c>
      <c r="J25">
        <v>3920</v>
      </c>
      <c r="K25">
        <v>1</v>
      </c>
      <c r="L25" t="s">
        <v>945</v>
      </c>
      <c r="M25" t="s">
        <v>424</v>
      </c>
      <c r="N25" t="s">
        <v>424</v>
      </c>
      <c r="O25">
        <v>72150</v>
      </c>
      <c r="P25">
        <v>2222231030</v>
      </c>
      <c r="R25">
        <v>8</v>
      </c>
      <c r="S25" t="s">
        <v>1892</v>
      </c>
      <c r="T25" t="s">
        <v>1798</v>
      </c>
      <c r="U25" t="s">
        <v>1799</v>
      </c>
      <c r="V25">
        <v>500</v>
      </c>
      <c r="W25">
        <v>500</v>
      </c>
      <c r="X25">
        <v>1</v>
      </c>
      <c r="Y25" t="s">
        <v>1893</v>
      </c>
      <c r="Z25">
        <v>1</v>
      </c>
      <c r="AA25">
        <v>1</v>
      </c>
      <c r="AB25">
        <v>2</v>
      </c>
      <c r="AC25">
        <v>0</v>
      </c>
      <c r="AD25" t="s">
        <v>463</v>
      </c>
      <c r="AE25" t="s">
        <v>850</v>
      </c>
      <c r="AF25" s="1" t="s">
        <v>968</v>
      </c>
      <c r="AG25">
        <v>7</v>
      </c>
      <c r="AH25">
        <v>0</v>
      </c>
      <c r="AI25">
        <v>3</v>
      </c>
      <c r="AJ25">
        <v>4</v>
      </c>
      <c r="AK25">
        <v>0</v>
      </c>
      <c r="AL25">
        <v>0</v>
      </c>
      <c r="AM25">
        <v>1</v>
      </c>
      <c r="AN25">
        <v>1</v>
      </c>
      <c r="AO25">
        <v>3</v>
      </c>
      <c r="AP25" t="s">
        <v>534</v>
      </c>
      <c r="AQ25" t="s">
        <v>852</v>
      </c>
      <c r="AR25" s="4">
        <f t="shared" si="0"/>
        <v>22</v>
      </c>
      <c r="AS25">
        <v>2</v>
      </c>
      <c r="AT25" t="s">
        <v>1023</v>
      </c>
      <c r="AU25">
        <v>6</v>
      </c>
      <c r="AV25" t="s">
        <v>999</v>
      </c>
      <c r="AW25">
        <v>5</v>
      </c>
      <c r="AX25">
        <v>1</v>
      </c>
      <c r="BE25">
        <v>2</v>
      </c>
      <c r="BF25" t="s">
        <v>855</v>
      </c>
      <c r="BH25">
        <v>3</v>
      </c>
      <c r="BI25" t="s">
        <v>856</v>
      </c>
      <c r="BJ25">
        <v>5</v>
      </c>
      <c r="BK25">
        <v>17</v>
      </c>
      <c r="BL25">
        <v>23</v>
      </c>
      <c r="BM25" t="s">
        <v>1211</v>
      </c>
      <c r="CD25">
        <v>4</v>
      </c>
      <c r="CF25">
        <v>2</v>
      </c>
      <c r="CG25">
        <v>1</v>
      </c>
      <c r="CH25">
        <v>1</v>
      </c>
      <c r="CI25">
        <v>4</v>
      </c>
      <c r="CJ25">
        <v>2</v>
      </c>
      <c r="CK25" s="4">
        <f t="shared" si="13"/>
        <v>1</v>
      </c>
      <c r="CL25">
        <v>1</v>
      </c>
      <c r="CR25">
        <v>3</v>
      </c>
      <c r="CS25">
        <v>6</v>
      </c>
      <c r="CT25" t="s">
        <v>969</v>
      </c>
      <c r="DC25">
        <v>4</v>
      </c>
      <c r="DD25" t="s">
        <v>970</v>
      </c>
      <c r="DG25">
        <v>2</v>
      </c>
      <c r="DH25" t="s">
        <v>859</v>
      </c>
      <c r="DO25" t="s">
        <v>1745</v>
      </c>
      <c r="DP25" t="s">
        <v>1746</v>
      </c>
      <c r="DQ25" t="s">
        <v>1747</v>
      </c>
      <c r="DR25" t="s">
        <v>1753</v>
      </c>
      <c r="DW25">
        <v>19</v>
      </c>
      <c r="DX25" t="s">
        <v>853</v>
      </c>
      <c r="DY25">
        <v>2024</v>
      </c>
      <c r="DZ25" t="s">
        <v>1342</v>
      </c>
      <c r="EA25" t="s">
        <v>1894</v>
      </c>
      <c r="EB25" t="s">
        <v>1895</v>
      </c>
      <c r="EC25" t="s">
        <v>1896</v>
      </c>
      <c r="ED25" t="s">
        <v>944</v>
      </c>
      <c r="EE25" t="s">
        <v>1897</v>
      </c>
      <c r="EF25" t="s">
        <v>442</v>
      </c>
      <c r="EG25" t="s">
        <v>443</v>
      </c>
      <c r="EH25" t="s">
        <v>971</v>
      </c>
      <c r="EI25" s="11" t="s">
        <v>1875</v>
      </c>
      <c r="EJ25" t="s">
        <v>976</v>
      </c>
      <c r="EK25" t="s">
        <v>1876</v>
      </c>
      <c r="EL25" s="11" t="s">
        <v>1877</v>
      </c>
      <c r="EM25" t="s">
        <v>976</v>
      </c>
      <c r="EN25" t="s">
        <v>1878</v>
      </c>
      <c r="EO25" s="11" t="s">
        <v>1879</v>
      </c>
      <c r="EP25" t="s">
        <v>976</v>
      </c>
      <c r="EQ25" t="s">
        <v>1880</v>
      </c>
      <c r="ER25" s="11" t="s">
        <v>1881</v>
      </c>
      <c r="ES25" t="s">
        <v>976</v>
      </c>
      <c r="ET25" t="s">
        <v>1882</v>
      </c>
      <c r="EU25" s="11" t="s">
        <v>1883</v>
      </c>
      <c r="EV25" t="s">
        <v>976</v>
      </c>
      <c r="EW25" t="s">
        <v>1884</v>
      </c>
      <c r="EX25" s="11" t="s">
        <v>1885</v>
      </c>
      <c r="EY25" t="s">
        <v>976</v>
      </c>
      <c r="EZ25" t="s">
        <v>1886</v>
      </c>
      <c r="FK25">
        <v>0</v>
      </c>
      <c r="FL25" s="4">
        <f t="shared" si="14"/>
        <v>0</v>
      </c>
      <c r="FN25">
        <v>0</v>
      </c>
      <c r="FO25" s="4">
        <f t="shared" si="15"/>
        <v>0</v>
      </c>
      <c r="FQ25">
        <v>0</v>
      </c>
      <c r="FR25" s="4">
        <f t="shared" si="16"/>
        <v>0</v>
      </c>
      <c r="FS25" t="s">
        <v>455</v>
      </c>
      <c r="FT25">
        <v>660</v>
      </c>
      <c r="FU25" s="4">
        <f t="shared" si="17"/>
        <v>4.3999999999999997E-2</v>
      </c>
      <c r="FV25" s="4">
        <f t="shared" si="18"/>
        <v>4.3999999999999997E-2</v>
      </c>
      <c r="FW25" s="4" t="str">
        <f t="shared" si="19"/>
        <v>ORDINARIO</v>
      </c>
      <c r="GD25" s="7" t="s">
        <v>842</v>
      </c>
      <c r="GE25" t="s">
        <v>842</v>
      </c>
      <c r="GF25" s="7" t="s">
        <v>842</v>
      </c>
      <c r="GG25" t="s">
        <v>842</v>
      </c>
      <c r="GH25" t="s">
        <v>842</v>
      </c>
      <c r="GI25" s="7" t="s">
        <v>842</v>
      </c>
      <c r="GJ25" s="7" t="s">
        <v>842</v>
      </c>
      <c r="GK25" s="7" t="s">
        <v>842</v>
      </c>
      <c r="GX25" s="7" t="s">
        <v>842</v>
      </c>
      <c r="GY25" s="7" t="s">
        <v>842</v>
      </c>
      <c r="HB25" s="7" t="s">
        <v>842</v>
      </c>
      <c r="HC25" s="7" t="s">
        <v>842</v>
      </c>
      <c r="HD25" s="7" t="s">
        <v>842</v>
      </c>
      <c r="HE25" s="7" t="s">
        <v>842</v>
      </c>
      <c r="HG25" s="7" t="s">
        <v>842</v>
      </c>
      <c r="HH25" s="7" t="s">
        <v>842</v>
      </c>
      <c r="HI25" s="7" t="s">
        <v>842</v>
      </c>
      <c r="HJ25" s="7" t="s">
        <v>842</v>
      </c>
      <c r="HL25" s="7" t="s">
        <v>842</v>
      </c>
      <c r="HM25" s="7" t="s">
        <v>842</v>
      </c>
      <c r="HN25" s="7" t="s">
        <v>842</v>
      </c>
      <c r="HO25" s="7" t="s">
        <v>842</v>
      </c>
      <c r="HS25" s="7" t="s">
        <v>842</v>
      </c>
      <c r="HT25" s="7" t="s">
        <v>842</v>
      </c>
      <c r="HU25" s="7" t="s">
        <v>842</v>
      </c>
      <c r="HV25" s="7" t="s">
        <v>842</v>
      </c>
      <c r="HW25" s="7" t="s">
        <v>842</v>
      </c>
      <c r="HX25" s="7" t="s">
        <v>842</v>
      </c>
      <c r="HY25" s="7" t="s">
        <v>842</v>
      </c>
      <c r="HZ25" s="7" t="s">
        <v>842</v>
      </c>
      <c r="IA25" s="7" t="s">
        <v>842</v>
      </c>
      <c r="IB25" s="7" t="s">
        <v>842</v>
      </c>
      <c r="ID25" s="7" t="s">
        <v>842</v>
      </c>
      <c r="IG25" s="7" t="s">
        <v>842</v>
      </c>
      <c r="IK25" s="7" t="s">
        <v>842</v>
      </c>
      <c r="IM25" s="7" t="s">
        <v>842</v>
      </c>
      <c r="IN25" s="7" t="s">
        <v>842</v>
      </c>
      <c r="IO25" s="7" t="s">
        <v>842</v>
      </c>
      <c r="IP25" s="7" t="s">
        <v>842</v>
      </c>
      <c r="IQ25" s="7" t="s">
        <v>842</v>
      </c>
      <c r="IR25" s="7" t="s">
        <v>842</v>
      </c>
      <c r="IS25" s="7" t="s">
        <v>842</v>
      </c>
      <c r="IU25" s="7" t="s">
        <v>842</v>
      </c>
      <c r="IV25" s="7" t="s">
        <v>842</v>
      </c>
      <c r="JB25" s="7" t="s">
        <v>842</v>
      </c>
      <c r="JE25" s="7" t="s">
        <v>842</v>
      </c>
      <c r="JF25" s="7" t="s">
        <v>842</v>
      </c>
      <c r="JG25" s="7" t="s">
        <v>842</v>
      </c>
      <c r="JH25" s="7" t="s">
        <v>842</v>
      </c>
      <c r="JI25" s="7" t="s">
        <v>842</v>
      </c>
      <c r="JJ25" s="7" t="s">
        <v>842</v>
      </c>
      <c r="JM25" s="7" t="s">
        <v>842</v>
      </c>
      <c r="JN25" s="7" t="s">
        <v>842</v>
      </c>
      <c r="JO25" s="7" t="s">
        <v>842</v>
      </c>
      <c r="JP25" s="7" t="s">
        <v>842</v>
      </c>
      <c r="JQ25" s="7" t="s">
        <v>842</v>
      </c>
      <c r="JR25" s="7" t="s">
        <v>842</v>
      </c>
      <c r="JS25" s="7" t="s">
        <v>842</v>
      </c>
      <c r="JT25" s="7" t="s">
        <v>842</v>
      </c>
      <c r="JU25" s="7" t="s">
        <v>842</v>
      </c>
      <c r="JW25" s="7" t="s">
        <v>842</v>
      </c>
      <c r="JZ25" s="7" t="s">
        <v>842</v>
      </c>
      <c r="KB25" s="7" t="s">
        <v>842</v>
      </c>
      <c r="KC25" s="7" t="s">
        <v>842</v>
      </c>
    </row>
    <row r="26" spans="1:295" x14ac:dyDescent="0.3">
      <c r="A26">
        <v>24</v>
      </c>
      <c r="B26" t="s">
        <v>842</v>
      </c>
      <c r="C26" t="s">
        <v>947</v>
      </c>
      <c r="D26" s="1" t="s">
        <v>1056</v>
      </c>
      <c r="E26" t="s">
        <v>844</v>
      </c>
      <c r="G26" t="s">
        <v>845</v>
      </c>
      <c r="H26" t="s">
        <v>846</v>
      </c>
      <c r="I26" t="s">
        <v>944</v>
      </c>
      <c r="J26">
        <v>3922</v>
      </c>
      <c r="K26" t="s">
        <v>994</v>
      </c>
      <c r="L26" t="s">
        <v>945</v>
      </c>
      <c r="M26" t="s">
        <v>424</v>
      </c>
      <c r="N26" t="s">
        <v>424</v>
      </c>
      <c r="O26">
        <v>72150</v>
      </c>
      <c r="P26">
        <v>2222231030</v>
      </c>
      <c r="R26">
        <v>8</v>
      </c>
      <c r="S26" t="s">
        <v>1892</v>
      </c>
      <c r="T26" t="s">
        <v>1798</v>
      </c>
      <c r="U26" t="s">
        <v>1799</v>
      </c>
      <c r="V26">
        <v>500</v>
      </c>
      <c r="W26">
        <v>500</v>
      </c>
      <c r="X26">
        <v>1</v>
      </c>
      <c r="Y26" t="s">
        <v>1893</v>
      </c>
      <c r="Z26">
        <v>1</v>
      </c>
      <c r="AA26">
        <v>1</v>
      </c>
      <c r="AB26">
        <v>2</v>
      </c>
      <c r="AC26">
        <v>0</v>
      </c>
      <c r="AD26" t="s">
        <v>463</v>
      </c>
      <c r="AE26" t="s">
        <v>850</v>
      </c>
      <c r="AF26" s="1" t="s">
        <v>968</v>
      </c>
      <c r="AG26">
        <v>10</v>
      </c>
      <c r="AH26">
        <v>0</v>
      </c>
      <c r="AI26">
        <v>5</v>
      </c>
      <c r="AJ26">
        <v>5</v>
      </c>
      <c r="AK26">
        <v>0</v>
      </c>
      <c r="AL26">
        <v>0</v>
      </c>
      <c r="AM26">
        <v>1</v>
      </c>
      <c r="AN26">
        <v>1</v>
      </c>
      <c r="AO26">
        <v>3</v>
      </c>
      <c r="AP26" t="s">
        <v>534</v>
      </c>
      <c r="AQ26" t="s">
        <v>852</v>
      </c>
      <c r="AR26" s="4">
        <f t="shared" si="0"/>
        <v>22</v>
      </c>
      <c r="AS26">
        <v>2</v>
      </c>
      <c r="AT26" t="s">
        <v>1023</v>
      </c>
      <c r="AU26">
        <v>6</v>
      </c>
      <c r="AV26" t="s">
        <v>999</v>
      </c>
      <c r="AW26">
        <v>5</v>
      </c>
      <c r="AX26">
        <v>1</v>
      </c>
      <c r="BE26">
        <v>2</v>
      </c>
      <c r="BF26" t="s">
        <v>855</v>
      </c>
      <c r="BH26">
        <v>3</v>
      </c>
      <c r="BI26" t="s">
        <v>856</v>
      </c>
      <c r="BJ26">
        <v>5</v>
      </c>
      <c r="BK26">
        <v>17</v>
      </c>
      <c r="BL26">
        <v>23</v>
      </c>
      <c r="BM26" t="s">
        <v>1211</v>
      </c>
      <c r="CD26">
        <v>4</v>
      </c>
      <c r="CF26">
        <v>2</v>
      </c>
      <c r="CG26">
        <v>1</v>
      </c>
      <c r="CH26">
        <v>1</v>
      </c>
      <c r="CI26">
        <v>4</v>
      </c>
      <c r="CJ26">
        <v>2</v>
      </c>
      <c r="CK26" s="4">
        <f t="shared" si="13"/>
        <v>1</v>
      </c>
      <c r="CL26">
        <v>1</v>
      </c>
      <c r="CR26">
        <v>3</v>
      </c>
      <c r="CS26">
        <v>6</v>
      </c>
      <c r="CT26" t="s">
        <v>969</v>
      </c>
      <c r="DC26">
        <v>4</v>
      </c>
      <c r="DD26" t="s">
        <v>970</v>
      </c>
      <c r="DG26">
        <v>2</v>
      </c>
      <c r="DH26" t="s">
        <v>859</v>
      </c>
      <c r="DO26" t="s">
        <v>1745</v>
      </c>
      <c r="DP26" t="s">
        <v>1746</v>
      </c>
      <c r="DQ26" t="s">
        <v>1747</v>
      </c>
      <c r="DR26" t="s">
        <v>1753</v>
      </c>
      <c r="DW26">
        <v>19</v>
      </c>
      <c r="DX26" t="s">
        <v>853</v>
      </c>
      <c r="DY26">
        <v>2024</v>
      </c>
      <c r="DZ26" t="s">
        <v>1342</v>
      </c>
      <c r="EA26" t="s">
        <v>1894</v>
      </c>
      <c r="EB26" t="s">
        <v>1895</v>
      </c>
      <c r="EC26" t="s">
        <v>1896</v>
      </c>
      <c r="ED26" t="s">
        <v>944</v>
      </c>
      <c r="EE26" t="s">
        <v>1897</v>
      </c>
      <c r="EF26" t="s">
        <v>442</v>
      </c>
      <c r="EG26" t="s">
        <v>443</v>
      </c>
      <c r="EH26" t="s">
        <v>971</v>
      </c>
      <c r="EI26" s="11" t="s">
        <v>972</v>
      </c>
      <c r="EJ26" s="1" t="s">
        <v>973</v>
      </c>
      <c r="EK26" t="s">
        <v>974</v>
      </c>
      <c r="EL26" s="11" t="s">
        <v>975</v>
      </c>
      <c r="EM26" t="s">
        <v>976</v>
      </c>
      <c r="EN26" t="s">
        <v>977</v>
      </c>
      <c r="EO26" s="11" t="s">
        <v>978</v>
      </c>
      <c r="EP26" t="s">
        <v>976</v>
      </c>
      <c r="EQ26" t="s">
        <v>979</v>
      </c>
      <c r="ER26" s="11" t="s">
        <v>980</v>
      </c>
      <c r="ES26" t="s">
        <v>976</v>
      </c>
      <c r="ET26" t="s">
        <v>981</v>
      </c>
      <c r="EU26" s="11" t="s">
        <v>982</v>
      </c>
      <c r="EV26" t="s">
        <v>976</v>
      </c>
      <c r="EW26" t="s">
        <v>983</v>
      </c>
      <c r="FA26" s="11" t="s">
        <v>984</v>
      </c>
      <c r="FB26" t="s">
        <v>973</v>
      </c>
      <c r="FC26" t="s">
        <v>985</v>
      </c>
      <c r="FD26" s="11" t="s">
        <v>986</v>
      </c>
      <c r="FE26" t="s">
        <v>973</v>
      </c>
      <c r="FF26" t="s">
        <v>987</v>
      </c>
      <c r="FG26" s="11" t="s">
        <v>988</v>
      </c>
      <c r="FH26" t="s">
        <v>973</v>
      </c>
      <c r="FI26" t="s">
        <v>989</v>
      </c>
      <c r="FK26">
        <v>0</v>
      </c>
      <c r="FL26" s="4">
        <f t="shared" si="14"/>
        <v>0</v>
      </c>
      <c r="FN26">
        <v>0</v>
      </c>
      <c r="FO26" s="4">
        <f t="shared" si="15"/>
        <v>0</v>
      </c>
      <c r="FQ26">
        <v>0</v>
      </c>
      <c r="FR26" s="4">
        <f t="shared" si="16"/>
        <v>0</v>
      </c>
      <c r="FS26" t="s">
        <v>455</v>
      </c>
      <c r="FT26">
        <v>660</v>
      </c>
      <c r="FU26" s="4">
        <f t="shared" si="17"/>
        <v>4.3999999999999997E-2</v>
      </c>
      <c r="FV26" s="4">
        <f t="shared" si="18"/>
        <v>4.3999999999999997E-2</v>
      </c>
      <c r="FW26" s="4" t="str">
        <f t="shared" si="19"/>
        <v>ORDINARIO</v>
      </c>
      <c r="FX26" t="s">
        <v>990</v>
      </c>
      <c r="FY26" t="s">
        <v>973</v>
      </c>
      <c r="FZ26" t="s">
        <v>991</v>
      </c>
      <c r="GD26" s="7" t="s">
        <v>842</v>
      </c>
      <c r="GE26" t="s">
        <v>842</v>
      </c>
      <c r="GF26" s="7" t="s">
        <v>842</v>
      </c>
      <c r="GG26" t="s">
        <v>842</v>
      </c>
      <c r="GH26" t="s">
        <v>842</v>
      </c>
      <c r="GI26" s="7" t="s">
        <v>842</v>
      </c>
      <c r="GJ26" s="7" t="s">
        <v>842</v>
      </c>
      <c r="GK26" s="7" t="s">
        <v>842</v>
      </c>
      <c r="GX26" s="7" t="s">
        <v>842</v>
      </c>
      <c r="GY26" s="7" t="s">
        <v>842</v>
      </c>
      <c r="HB26" s="7" t="s">
        <v>842</v>
      </c>
      <c r="HC26" s="7" t="s">
        <v>842</v>
      </c>
      <c r="HD26" s="7" t="s">
        <v>842</v>
      </c>
      <c r="HE26" s="7" t="s">
        <v>842</v>
      </c>
      <c r="HG26" s="7" t="s">
        <v>842</v>
      </c>
      <c r="HH26" s="7" t="s">
        <v>842</v>
      </c>
      <c r="HI26" s="7" t="s">
        <v>842</v>
      </c>
      <c r="HJ26" s="7" t="s">
        <v>842</v>
      </c>
      <c r="HL26" s="7" t="s">
        <v>842</v>
      </c>
      <c r="HM26" s="7" t="s">
        <v>842</v>
      </c>
      <c r="HN26" s="7" t="s">
        <v>842</v>
      </c>
      <c r="HO26" s="7" t="s">
        <v>842</v>
      </c>
      <c r="HS26" s="7" t="s">
        <v>842</v>
      </c>
      <c r="HT26" s="7" t="s">
        <v>842</v>
      </c>
      <c r="HU26" s="7" t="s">
        <v>842</v>
      </c>
      <c r="HV26" s="7" t="s">
        <v>842</v>
      </c>
      <c r="HW26" s="7" t="s">
        <v>842</v>
      </c>
      <c r="HX26" s="7" t="s">
        <v>842</v>
      </c>
      <c r="HY26" s="7" t="s">
        <v>842</v>
      </c>
      <c r="HZ26" s="7" t="s">
        <v>842</v>
      </c>
      <c r="IA26" s="7" t="s">
        <v>842</v>
      </c>
      <c r="IB26" s="7" t="s">
        <v>842</v>
      </c>
      <c r="ID26" s="7" t="s">
        <v>842</v>
      </c>
      <c r="IG26" s="7" t="s">
        <v>842</v>
      </c>
      <c r="IK26" s="7" t="s">
        <v>842</v>
      </c>
      <c r="IM26" s="7" t="s">
        <v>842</v>
      </c>
      <c r="IN26" s="7" t="s">
        <v>842</v>
      </c>
      <c r="IO26" s="7" t="s">
        <v>842</v>
      </c>
      <c r="IP26" s="7" t="s">
        <v>842</v>
      </c>
      <c r="IQ26" s="7" t="s">
        <v>842</v>
      </c>
      <c r="IR26" s="7" t="s">
        <v>842</v>
      </c>
      <c r="IS26" s="7" t="s">
        <v>842</v>
      </c>
      <c r="IU26" s="7" t="s">
        <v>842</v>
      </c>
      <c r="IV26" s="7" t="s">
        <v>842</v>
      </c>
      <c r="JB26" s="7" t="s">
        <v>842</v>
      </c>
      <c r="JE26" s="7" t="s">
        <v>842</v>
      </c>
      <c r="JF26" s="7" t="s">
        <v>842</v>
      </c>
      <c r="JG26" s="7" t="s">
        <v>842</v>
      </c>
      <c r="JH26" s="7" t="s">
        <v>842</v>
      </c>
      <c r="JI26" s="7" t="s">
        <v>842</v>
      </c>
      <c r="JJ26" s="7" t="s">
        <v>842</v>
      </c>
      <c r="JM26" s="7" t="s">
        <v>842</v>
      </c>
      <c r="JN26" s="7" t="s">
        <v>842</v>
      </c>
      <c r="JO26" s="7" t="s">
        <v>842</v>
      </c>
      <c r="JP26" s="7" t="s">
        <v>842</v>
      </c>
      <c r="JQ26" s="7" t="s">
        <v>842</v>
      </c>
      <c r="JR26" s="7" t="s">
        <v>842</v>
      </c>
      <c r="JS26" s="7" t="s">
        <v>842</v>
      </c>
      <c r="JT26" s="7" t="s">
        <v>842</v>
      </c>
      <c r="JU26" s="7" t="s">
        <v>842</v>
      </c>
      <c r="JW26" s="7" t="s">
        <v>842</v>
      </c>
      <c r="JZ26" s="7" t="s">
        <v>842</v>
      </c>
      <c r="KB26" s="7" t="s">
        <v>842</v>
      </c>
      <c r="KC26" s="7" t="s">
        <v>842</v>
      </c>
    </row>
    <row r="27" spans="1:295" x14ac:dyDescent="0.3">
      <c r="A27">
        <v>25</v>
      </c>
      <c r="B27" t="s">
        <v>842</v>
      </c>
      <c r="C27" t="s">
        <v>947</v>
      </c>
      <c r="D27" s="1" t="s">
        <v>1050</v>
      </c>
      <c r="E27" t="s">
        <v>844</v>
      </c>
      <c r="G27" t="s">
        <v>845</v>
      </c>
      <c r="H27" t="s">
        <v>846</v>
      </c>
      <c r="I27" t="s">
        <v>1051</v>
      </c>
      <c r="J27">
        <v>2510</v>
      </c>
      <c r="L27" t="s">
        <v>1052</v>
      </c>
      <c r="M27" t="s">
        <v>424</v>
      </c>
      <c r="N27" t="s">
        <v>424</v>
      </c>
      <c r="O27">
        <v>72530</v>
      </c>
      <c r="P27">
        <v>2222296000</v>
      </c>
      <c r="Q27" s="3" t="s">
        <v>1053</v>
      </c>
      <c r="R27">
        <v>44</v>
      </c>
      <c r="S27" t="s">
        <v>1797</v>
      </c>
      <c r="T27" t="s">
        <v>1798</v>
      </c>
      <c r="U27" t="s">
        <v>1799</v>
      </c>
      <c r="V27">
        <v>709.67</v>
      </c>
      <c r="W27">
        <v>709.67</v>
      </c>
      <c r="X27">
        <v>1</v>
      </c>
      <c r="Y27" t="s">
        <v>1783</v>
      </c>
      <c r="Z27">
        <v>1</v>
      </c>
      <c r="AA27">
        <v>1</v>
      </c>
      <c r="AB27">
        <v>0</v>
      </c>
      <c r="AC27">
        <v>0</v>
      </c>
      <c r="AD27" t="s">
        <v>912</v>
      </c>
      <c r="AE27" t="s">
        <v>850</v>
      </c>
      <c r="AF27" t="s">
        <v>1060</v>
      </c>
      <c r="AG27">
        <v>13</v>
      </c>
      <c r="AH27">
        <v>0</v>
      </c>
      <c r="AI27">
        <v>6</v>
      </c>
      <c r="AJ27">
        <v>7</v>
      </c>
      <c r="AK27">
        <v>0</v>
      </c>
      <c r="AL27">
        <v>0</v>
      </c>
      <c r="AM27">
        <v>1</v>
      </c>
      <c r="AN27">
        <v>80</v>
      </c>
      <c r="AO27">
        <v>6</v>
      </c>
      <c r="AP27" t="s">
        <v>534</v>
      </c>
      <c r="AQ27" t="s">
        <v>852</v>
      </c>
      <c r="AR27" s="4">
        <f t="shared" si="0"/>
        <v>29</v>
      </c>
      <c r="AS27">
        <v>2</v>
      </c>
      <c r="AT27" t="s">
        <v>1024</v>
      </c>
      <c r="AU27">
        <v>7</v>
      </c>
      <c r="AV27" t="s">
        <v>854</v>
      </c>
      <c r="AW27">
        <v>6</v>
      </c>
      <c r="AX27">
        <v>1</v>
      </c>
      <c r="BE27">
        <v>4</v>
      </c>
      <c r="BF27" t="s">
        <v>855</v>
      </c>
      <c r="BH27">
        <v>4</v>
      </c>
      <c r="BI27" t="s">
        <v>856</v>
      </c>
      <c r="BJ27">
        <v>6</v>
      </c>
      <c r="BK27">
        <v>11</v>
      </c>
      <c r="BL27">
        <v>17</v>
      </c>
      <c r="BM27" t="s">
        <v>857</v>
      </c>
      <c r="CD27">
        <v>11</v>
      </c>
      <c r="CF27">
        <v>2</v>
      </c>
      <c r="CI27">
        <v>3</v>
      </c>
      <c r="CJ27">
        <v>4</v>
      </c>
      <c r="CK27" s="4">
        <f t="shared" si="13"/>
        <v>7</v>
      </c>
      <c r="CL27">
        <v>5</v>
      </c>
      <c r="CM27">
        <v>2</v>
      </c>
      <c r="CO27">
        <v>1</v>
      </c>
      <c r="CP27">
        <v>1</v>
      </c>
      <c r="CR27">
        <v>3</v>
      </c>
      <c r="CS27">
        <v>4</v>
      </c>
      <c r="CT27" t="s">
        <v>856</v>
      </c>
      <c r="DC27">
        <v>4</v>
      </c>
      <c r="DD27" t="s">
        <v>858</v>
      </c>
      <c r="DG27">
        <v>2</v>
      </c>
      <c r="DH27" t="s">
        <v>859</v>
      </c>
      <c r="DO27" t="s">
        <v>1745</v>
      </c>
      <c r="DP27" t="s">
        <v>1746</v>
      </c>
      <c r="DQ27" t="s">
        <v>1747</v>
      </c>
      <c r="DR27" t="s">
        <v>1785</v>
      </c>
      <c r="DW27">
        <v>6</v>
      </c>
      <c r="DX27" t="s">
        <v>853</v>
      </c>
      <c r="DY27">
        <v>2024</v>
      </c>
      <c r="DZ27" t="s">
        <v>1369</v>
      </c>
      <c r="EA27" t="s">
        <v>1800</v>
      </c>
      <c r="EB27" t="s">
        <v>1801</v>
      </c>
      <c r="EC27" t="s">
        <v>1802</v>
      </c>
      <c r="ED27" t="s">
        <v>1803</v>
      </c>
      <c r="EE27" t="s">
        <v>1804</v>
      </c>
      <c r="EF27" t="s">
        <v>442</v>
      </c>
      <c r="EG27" t="s">
        <v>443</v>
      </c>
      <c r="EH27" t="s">
        <v>1061</v>
      </c>
      <c r="EI27" s="11" t="s">
        <v>1062</v>
      </c>
      <c r="EJ27" t="s">
        <v>1229</v>
      </c>
      <c r="EK27" t="s">
        <v>1063</v>
      </c>
      <c r="EL27" s="11" t="s">
        <v>1064</v>
      </c>
      <c r="EM27" t="s">
        <v>867</v>
      </c>
      <c r="EN27" t="s">
        <v>1065</v>
      </c>
      <c r="EO27" s="11" t="s">
        <v>1066</v>
      </c>
      <c r="EP27" t="s">
        <v>867</v>
      </c>
      <c r="EQ27" t="s">
        <v>1067</v>
      </c>
      <c r="ER27" s="11" t="s">
        <v>1068</v>
      </c>
      <c r="ES27" t="s">
        <v>925</v>
      </c>
      <c r="ET27" t="s">
        <v>1069</v>
      </c>
      <c r="EU27" s="11" t="s">
        <v>1070</v>
      </c>
      <c r="EV27" t="s">
        <v>873</v>
      </c>
      <c r="EW27" t="s">
        <v>1071</v>
      </c>
      <c r="EX27" s="11" t="s">
        <v>1072</v>
      </c>
      <c r="EY27" t="s">
        <v>1046</v>
      </c>
      <c r="EZ27" t="s">
        <v>1073</v>
      </c>
      <c r="FA27" s="11" t="s">
        <v>1074</v>
      </c>
      <c r="FB27" t="s">
        <v>1046</v>
      </c>
      <c r="FC27" t="s">
        <v>1075</v>
      </c>
      <c r="FD27" s="11" t="s">
        <v>1076</v>
      </c>
      <c r="FE27" t="s">
        <v>883</v>
      </c>
      <c r="FF27" t="s">
        <v>1077</v>
      </c>
      <c r="FG27" s="11" t="s">
        <v>1078</v>
      </c>
      <c r="FH27" t="s">
        <v>883</v>
      </c>
      <c r="FI27" t="s">
        <v>1079</v>
      </c>
      <c r="FK27">
        <v>0</v>
      </c>
      <c r="FL27" s="4">
        <f t="shared" si="14"/>
        <v>0</v>
      </c>
      <c r="FN27">
        <v>0</v>
      </c>
      <c r="FO27" s="4">
        <f t="shared" si="15"/>
        <v>0</v>
      </c>
      <c r="FQ27">
        <v>0</v>
      </c>
      <c r="FR27" s="4">
        <f t="shared" si="16"/>
        <v>0</v>
      </c>
      <c r="FS27" t="s">
        <v>455</v>
      </c>
      <c r="FT27">
        <v>780</v>
      </c>
      <c r="FU27" s="4">
        <f t="shared" si="17"/>
        <v>5.1999999999999998E-2</v>
      </c>
      <c r="FV27" s="4">
        <f t="shared" si="18"/>
        <v>5.1999999999999998E-2</v>
      </c>
      <c r="FW27" s="4" t="str">
        <f t="shared" si="19"/>
        <v>ORDINARIO</v>
      </c>
      <c r="FX27" t="s">
        <v>1080</v>
      </c>
      <c r="FY27" t="s">
        <v>1046</v>
      </c>
      <c r="FZ27" t="s">
        <v>1081</v>
      </c>
      <c r="GA27" t="s">
        <v>1082</v>
      </c>
      <c r="GB27" t="s">
        <v>873</v>
      </c>
      <c r="GC27" t="s">
        <v>1083</v>
      </c>
      <c r="GD27" s="7" t="s">
        <v>842</v>
      </c>
      <c r="GE27" s="7" t="s">
        <v>842</v>
      </c>
      <c r="GF27" s="7" t="s">
        <v>842</v>
      </c>
      <c r="GG27" s="7" t="s">
        <v>842</v>
      </c>
      <c r="GH27" s="7" t="s">
        <v>842</v>
      </c>
      <c r="GI27" s="7" t="s">
        <v>842</v>
      </c>
      <c r="GK27" s="7" t="s">
        <v>842</v>
      </c>
      <c r="GX27" s="7" t="s">
        <v>842</v>
      </c>
      <c r="HB27" s="7" t="s">
        <v>842</v>
      </c>
      <c r="HC27" s="7" t="s">
        <v>842</v>
      </c>
      <c r="HD27" s="7" t="s">
        <v>842</v>
      </c>
      <c r="HE27" s="7" t="s">
        <v>842</v>
      </c>
      <c r="HG27" s="7" t="s">
        <v>842</v>
      </c>
      <c r="HH27" s="7" t="s">
        <v>842</v>
      </c>
      <c r="HI27" s="7" t="s">
        <v>842</v>
      </c>
      <c r="HJ27" s="7" t="s">
        <v>842</v>
      </c>
      <c r="HL27" s="7" t="s">
        <v>842</v>
      </c>
      <c r="HM27" s="7" t="s">
        <v>842</v>
      </c>
      <c r="HN27" s="7" t="s">
        <v>842</v>
      </c>
      <c r="HO27" s="7" t="s">
        <v>842</v>
      </c>
      <c r="HS27" s="7" t="s">
        <v>842</v>
      </c>
      <c r="HT27" s="7" t="s">
        <v>842</v>
      </c>
      <c r="HU27" s="7" t="s">
        <v>842</v>
      </c>
      <c r="HV27" s="7" t="s">
        <v>842</v>
      </c>
      <c r="HW27" s="7" t="s">
        <v>842</v>
      </c>
      <c r="HX27" s="7" t="s">
        <v>842</v>
      </c>
      <c r="HY27" s="7" t="s">
        <v>842</v>
      </c>
      <c r="HZ27" s="7" t="s">
        <v>842</v>
      </c>
      <c r="IA27" s="7" t="s">
        <v>842</v>
      </c>
      <c r="IB27" s="7" t="s">
        <v>842</v>
      </c>
      <c r="ID27" s="7" t="s">
        <v>842</v>
      </c>
      <c r="IG27" s="7" t="s">
        <v>842</v>
      </c>
      <c r="IK27" s="7" t="s">
        <v>842</v>
      </c>
      <c r="IL27" s="7" t="s">
        <v>842</v>
      </c>
      <c r="IM27" s="7" t="s">
        <v>842</v>
      </c>
      <c r="IN27" s="7" t="s">
        <v>842</v>
      </c>
      <c r="IO27" s="7" t="s">
        <v>842</v>
      </c>
      <c r="IP27" s="7" t="s">
        <v>842</v>
      </c>
      <c r="IQ27" s="7" t="s">
        <v>842</v>
      </c>
      <c r="IR27" s="7" t="s">
        <v>842</v>
      </c>
      <c r="IS27" s="7" t="s">
        <v>842</v>
      </c>
      <c r="IU27" s="7" t="s">
        <v>842</v>
      </c>
      <c r="IV27" s="7" t="s">
        <v>842</v>
      </c>
      <c r="JB27" s="7" t="s">
        <v>842</v>
      </c>
      <c r="JE27" s="7" t="s">
        <v>842</v>
      </c>
      <c r="JF27" s="7" t="s">
        <v>842</v>
      </c>
      <c r="JG27" s="7" t="s">
        <v>842</v>
      </c>
      <c r="JH27" s="7" t="s">
        <v>842</v>
      </c>
      <c r="JI27" s="7" t="s">
        <v>842</v>
      </c>
      <c r="JJ27" s="7" t="s">
        <v>842</v>
      </c>
      <c r="JM27" s="7" t="s">
        <v>842</v>
      </c>
      <c r="JN27" s="7" t="s">
        <v>842</v>
      </c>
      <c r="JO27" s="7" t="s">
        <v>842</v>
      </c>
      <c r="JP27" s="7" t="s">
        <v>842</v>
      </c>
      <c r="JQ27" s="7" t="s">
        <v>842</v>
      </c>
      <c r="JR27" s="7" t="s">
        <v>842</v>
      </c>
      <c r="JS27" s="7" t="s">
        <v>842</v>
      </c>
      <c r="JT27" s="7" t="s">
        <v>842</v>
      </c>
      <c r="JU27" s="7" t="s">
        <v>842</v>
      </c>
      <c r="JW27" s="7" t="s">
        <v>842</v>
      </c>
      <c r="JZ27" s="7" t="s">
        <v>842</v>
      </c>
      <c r="KB27" s="7" t="s">
        <v>842</v>
      </c>
      <c r="KC27" s="7" t="s">
        <v>842</v>
      </c>
      <c r="KD27" t="s">
        <v>1084</v>
      </c>
      <c r="KE27" t="s">
        <v>867</v>
      </c>
      <c r="KF27" t="s">
        <v>1085</v>
      </c>
    </row>
    <row r="28" spans="1:295" x14ac:dyDescent="0.3">
      <c r="A28">
        <v>26</v>
      </c>
      <c r="B28" t="s">
        <v>842</v>
      </c>
      <c r="C28" t="s">
        <v>947</v>
      </c>
      <c r="D28" s="1" t="s">
        <v>1441</v>
      </c>
      <c r="E28" t="s">
        <v>844</v>
      </c>
      <c r="G28" t="s">
        <v>1107</v>
      </c>
      <c r="H28" t="s">
        <v>846</v>
      </c>
      <c r="I28" t="s">
        <v>1442</v>
      </c>
      <c r="J28">
        <v>10</v>
      </c>
      <c r="L28" t="s">
        <v>422</v>
      </c>
      <c r="M28" t="s">
        <v>812</v>
      </c>
      <c r="N28" t="s">
        <v>424</v>
      </c>
      <c r="O28">
        <v>72760</v>
      </c>
      <c r="P28">
        <v>2222474736</v>
      </c>
      <c r="Q28" s="3" t="s">
        <v>1443</v>
      </c>
      <c r="T28" t="s">
        <v>1791</v>
      </c>
      <c r="U28" t="s">
        <v>1792</v>
      </c>
      <c r="V28">
        <v>642.13</v>
      </c>
      <c r="W28">
        <v>642.13</v>
      </c>
      <c r="X28">
        <v>1</v>
      </c>
      <c r="Y28" t="s">
        <v>1783</v>
      </c>
      <c r="Z28">
        <v>1</v>
      </c>
      <c r="AA28">
        <v>1</v>
      </c>
      <c r="AB28">
        <v>0</v>
      </c>
      <c r="AC28">
        <v>0</v>
      </c>
      <c r="AD28" t="s">
        <v>849</v>
      </c>
      <c r="AE28" t="s">
        <v>850</v>
      </c>
      <c r="AF28" t="s">
        <v>1444</v>
      </c>
      <c r="AG28">
        <v>10</v>
      </c>
      <c r="AH28">
        <v>0</v>
      </c>
      <c r="AI28">
        <v>4</v>
      </c>
      <c r="AJ28">
        <v>6</v>
      </c>
      <c r="AK28">
        <v>0</v>
      </c>
      <c r="AL28">
        <v>0</v>
      </c>
      <c r="AM28">
        <v>1</v>
      </c>
      <c r="AN28">
        <v>200</v>
      </c>
      <c r="AO28">
        <v>6</v>
      </c>
      <c r="AP28" t="s">
        <v>534</v>
      </c>
      <c r="AQ28" t="s">
        <v>852</v>
      </c>
      <c r="AR28" s="4">
        <f t="shared" si="0"/>
        <v>22</v>
      </c>
      <c r="AS28">
        <v>1</v>
      </c>
      <c r="AT28" t="s">
        <v>1024</v>
      </c>
      <c r="AU28">
        <v>6</v>
      </c>
      <c r="AV28" t="s">
        <v>854</v>
      </c>
      <c r="AW28">
        <v>5</v>
      </c>
      <c r="AX28">
        <v>1</v>
      </c>
      <c r="BE28">
        <v>1</v>
      </c>
      <c r="BF28" t="s">
        <v>855</v>
      </c>
      <c r="BH28">
        <v>1</v>
      </c>
      <c r="BI28" t="s">
        <v>856</v>
      </c>
      <c r="BJ28">
        <v>9</v>
      </c>
      <c r="BK28">
        <v>6</v>
      </c>
      <c r="BL28">
        <v>15</v>
      </c>
      <c r="BM28" t="s">
        <v>857</v>
      </c>
      <c r="CD28">
        <v>8</v>
      </c>
      <c r="CF28">
        <v>2</v>
      </c>
      <c r="CI28">
        <v>4</v>
      </c>
      <c r="CJ28">
        <v>1</v>
      </c>
      <c r="CK28" s="4">
        <f t="shared" si="13"/>
        <v>7</v>
      </c>
      <c r="CL28">
        <v>5</v>
      </c>
      <c r="CM28">
        <v>1</v>
      </c>
      <c r="CO28">
        <v>1</v>
      </c>
      <c r="CP28">
        <v>1</v>
      </c>
      <c r="CR28">
        <v>4</v>
      </c>
      <c r="CS28">
        <v>12</v>
      </c>
      <c r="CT28" t="s">
        <v>856</v>
      </c>
      <c r="DC28">
        <v>4</v>
      </c>
      <c r="DD28" t="s">
        <v>858</v>
      </c>
      <c r="DG28">
        <v>2</v>
      </c>
      <c r="DH28" t="s">
        <v>859</v>
      </c>
      <c r="DO28" t="s">
        <v>1745</v>
      </c>
      <c r="DP28" t="s">
        <v>1746</v>
      </c>
      <c r="DQ28" t="s">
        <v>1747</v>
      </c>
      <c r="DR28" t="s">
        <v>1753</v>
      </c>
      <c r="DW28">
        <v>28</v>
      </c>
      <c r="DX28" t="s">
        <v>853</v>
      </c>
      <c r="DY28">
        <v>2024</v>
      </c>
      <c r="DZ28" t="s">
        <v>1445</v>
      </c>
      <c r="EA28" t="s">
        <v>1793</v>
      </c>
      <c r="EB28" t="s">
        <v>1794</v>
      </c>
      <c r="EC28" t="s">
        <v>1795</v>
      </c>
      <c r="ED28" t="s">
        <v>440</v>
      </c>
      <c r="EE28" t="s">
        <v>1796</v>
      </c>
      <c r="EF28" t="s">
        <v>442</v>
      </c>
      <c r="EG28" t="s">
        <v>443</v>
      </c>
      <c r="EH28" t="s">
        <v>1446</v>
      </c>
      <c r="EI28" s="11" t="s">
        <v>1447</v>
      </c>
      <c r="EJ28" t="s">
        <v>1229</v>
      </c>
      <c r="EK28" t="s">
        <v>1448</v>
      </c>
      <c r="EL28" s="11" t="s">
        <v>1449</v>
      </c>
      <c r="EO28" s="11" t="s">
        <v>1450</v>
      </c>
      <c r="EP28" t="s">
        <v>873</v>
      </c>
      <c r="EQ28" t="s">
        <v>1451</v>
      </c>
      <c r="ER28" s="11" t="s">
        <v>1452</v>
      </c>
      <c r="ES28" t="s">
        <v>873</v>
      </c>
      <c r="ET28" t="s">
        <v>1453</v>
      </c>
      <c r="EU28" s="11" t="s">
        <v>1454</v>
      </c>
      <c r="EV28" t="s">
        <v>873</v>
      </c>
      <c r="EW28" t="s">
        <v>1455</v>
      </c>
      <c r="EX28" s="11" t="s">
        <v>1456</v>
      </c>
      <c r="EY28" t="s">
        <v>925</v>
      </c>
      <c r="EZ28" t="s">
        <v>1457</v>
      </c>
      <c r="FA28" s="11" t="s">
        <v>1458</v>
      </c>
      <c r="FB28" t="s">
        <v>867</v>
      </c>
      <c r="FC28" t="s">
        <v>1459</v>
      </c>
      <c r="FD28" s="11" t="s">
        <v>1460</v>
      </c>
      <c r="FE28" t="s">
        <v>867</v>
      </c>
      <c r="FF28" t="s">
        <v>1461</v>
      </c>
      <c r="FG28" s="11" t="s">
        <v>1462</v>
      </c>
      <c r="FH28" t="s">
        <v>867</v>
      </c>
      <c r="FI28" t="s">
        <v>1463</v>
      </c>
      <c r="FK28">
        <v>0</v>
      </c>
      <c r="FL28" s="4">
        <f t="shared" si="14"/>
        <v>0</v>
      </c>
      <c r="FN28">
        <v>0</v>
      </c>
      <c r="FO28" s="4">
        <f t="shared" si="15"/>
        <v>0</v>
      </c>
      <c r="FQ28">
        <v>0</v>
      </c>
      <c r="FR28" s="4">
        <f t="shared" si="16"/>
        <v>0</v>
      </c>
      <c r="FS28" t="s">
        <v>455</v>
      </c>
      <c r="FT28">
        <v>660</v>
      </c>
      <c r="FU28" s="4">
        <f t="shared" si="17"/>
        <v>4.3999999999999997E-2</v>
      </c>
      <c r="FV28" s="4">
        <f t="shared" si="18"/>
        <v>4.3999999999999997E-2</v>
      </c>
      <c r="FW28" s="4" t="str">
        <f t="shared" si="19"/>
        <v>ORDINARIO</v>
      </c>
      <c r="FX28" t="s">
        <v>1464</v>
      </c>
      <c r="FY28" t="s">
        <v>883</v>
      </c>
      <c r="FZ28" t="s">
        <v>1465</v>
      </c>
      <c r="GD28" s="7" t="s">
        <v>842</v>
      </c>
      <c r="GE28" s="7" t="s">
        <v>842</v>
      </c>
      <c r="GF28" s="7" t="s">
        <v>842</v>
      </c>
      <c r="GG28" s="7" t="s">
        <v>842</v>
      </c>
      <c r="GH28" s="7" t="s">
        <v>842</v>
      </c>
      <c r="GI28" s="7" t="s">
        <v>842</v>
      </c>
      <c r="GJ28" s="7" t="s">
        <v>842</v>
      </c>
      <c r="GK28" s="7" t="s">
        <v>842</v>
      </c>
      <c r="GX28" s="7" t="s">
        <v>842</v>
      </c>
      <c r="HB28" s="7" t="s">
        <v>842</v>
      </c>
      <c r="HC28" t="s">
        <v>842</v>
      </c>
      <c r="HD28" t="s">
        <v>842</v>
      </c>
      <c r="HE28" s="7" t="s">
        <v>842</v>
      </c>
      <c r="HG28" s="7" t="s">
        <v>842</v>
      </c>
      <c r="HH28" s="7" t="s">
        <v>842</v>
      </c>
      <c r="HI28" s="7" t="s">
        <v>842</v>
      </c>
      <c r="HJ28" s="7" t="s">
        <v>842</v>
      </c>
      <c r="HL28" s="7" t="s">
        <v>842</v>
      </c>
      <c r="HM28" s="7" t="s">
        <v>842</v>
      </c>
      <c r="HN28" s="7" t="s">
        <v>842</v>
      </c>
      <c r="HO28" s="7" t="s">
        <v>842</v>
      </c>
      <c r="HS28" s="7" t="s">
        <v>842</v>
      </c>
      <c r="HT28" s="7" t="s">
        <v>842</v>
      </c>
      <c r="HU28" s="7" t="s">
        <v>842</v>
      </c>
      <c r="HV28" s="7" t="s">
        <v>842</v>
      </c>
      <c r="HW28" s="7" t="s">
        <v>842</v>
      </c>
      <c r="HX28" s="7" t="s">
        <v>842</v>
      </c>
      <c r="HY28" s="7" t="s">
        <v>842</v>
      </c>
      <c r="HZ28" s="7" t="s">
        <v>842</v>
      </c>
      <c r="IA28" s="7" t="s">
        <v>842</v>
      </c>
      <c r="IB28" s="7" t="s">
        <v>842</v>
      </c>
      <c r="ID28" s="7" t="s">
        <v>842</v>
      </c>
      <c r="IE28" s="7" t="s">
        <v>842</v>
      </c>
      <c r="IG28" s="7" t="s">
        <v>842</v>
      </c>
      <c r="IK28" s="7" t="s">
        <v>842</v>
      </c>
      <c r="IM28" s="7" t="s">
        <v>842</v>
      </c>
      <c r="IN28" s="7" t="s">
        <v>842</v>
      </c>
      <c r="IO28" s="7" t="s">
        <v>842</v>
      </c>
      <c r="IP28" s="7" t="s">
        <v>842</v>
      </c>
      <c r="IQ28" s="7" t="s">
        <v>842</v>
      </c>
      <c r="IR28" s="7" t="s">
        <v>842</v>
      </c>
      <c r="IS28" s="7" t="s">
        <v>842</v>
      </c>
      <c r="IU28" s="7" t="s">
        <v>842</v>
      </c>
      <c r="IV28" s="7" t="s">
        <v>842</v>
      </c>
      <c r="JB28" s="7" t="s">
        <v>842</v>
      </c>
      <c r="JE28" s="7" t="s">
        <v>842</v>
      </c>
      <c r="JF28" s="7" t="s">
        <v>842</v>
      </c>
      <c r="JG28" t="s">
        <v>842</v>
      </c>
      <c r="JH28" s="7" t="s">
        <v>842</v>
      </c>
      <c r="JI28" s="7" t="s">
        <v>842</v>
      </c>
      <c r="JJ28" s="7" t="s">
        <v>842</v>
      </c>
      <c r="JM28" s="7" t="s">
        <v>842</v>
      </c>
      <c r="JN28" s="7" t="s">
        <v>842</v>
      </c>
      <c r="JO28" s="7" t="s">
        <v>842</v>
      </c>
      <c r="JP28" s="7" t="s">
        <v>842</v>
      </c>
      <c r="JQ28" s="7" t="s">
        <v>842</v>
      </c>
      <c r="JR28" s="7" t="s">
        <v>842</v>
      </c>
      <c r="JS28" s="7" t="s">
        <v>842</v>
      </c>
      <c r="JT28" s="7" t="s">
        <v>842</v>
      </c>
      <c r="JU28" s="7" t="s">
        <v>842</v>
      </c>
      <c r="JW28" s="7" t="s">
        <v>842</v>
      </c>
      <c r="JZ28" s="7" t="s">
        <v>842</v>
      </c>
      <c r="KB28" s="7" t="s">
        <v>842</v>
      </c>
      <c r="KC28" s="7" t="s">
        <v>842</v>
      </c>
    </row>
    <row r="29" spans="1:295" x14ac:dyDescent="0.3">
      <c r="A29">
        <v>27</v>
      </c>
      <c r="B29" t="s">
        <v>842</v>
      </c>
      <c r="C29" t="s">
        <v>947</v>
      </c>
      <c r="D29" s="1" t="s">
        <v>1153</v>
      </c>
      <c r="E29" t="s">
        <v>844</v>
      </c>
      <c r="G29" t="s">
        <v>845</v>
      </c>
      <c r="H29" t="s">
        <v>846</v>
      </c>
      <c r="I29" t="s">
        <v>1154</v>
      </c>
      <c r="J29">
        <v>3302</v>
      </c>
      <c r="K29" t="s">
        <v>1155</v>
      </c>
      <c r="L29" t="s">
        <v>1133</v>
      </c>
      <c r="M29" t="s">
        <v>424</v>
      </c>
      <c r="N29" t="s">
        <v>424</v>
      </c>
      <c r="O29">
        <v>72400</v>
      </c>
      <c r="P29">
        <v>2222492228</v>
      </c>
      <c r="Q29" s="3" t="s">
        <v>1156</v>
      </c>
      <c r="R29">
        <v>23</v>
      </c>
      <c r="S29" t="s">
        <v>1866</v>
      </c>
      <c r="T29" t="s">
        <v>1798</v>
      </c>
      <c r="U29" t="s">
        <v>1799</v>
      </c>
      <c r="V29">
        <v>478.5</v>
      </c>
      <c r="W29">
        <v>478.5</v>
      </c>
      <c r="X29">
        <v>1</v>
      </c>
      <c r="Y29" t="s">
        <v>1783</v>
      </c>
      <c r="Z29">
        <v>1</v>
      </c>
      <c r="AA29">
        <v>1</v>
      </c>
      <c r="AB29">
        <v>0</v>
      </c>
      <c r="AC29">
        <v>0</v>
      </c>
      <c r="AD29" t="s">
        <v>946</v>
      </c>
      <c r="AE29" t="s">
        <v>850</v>
      </c>
      <c r="AF29" t="s">
        <v>1157</v>
      </c>
      <c r="AG29">
        <v>12</v>
      </c>
      <c r="AH29">
        <v>0</v>
      </c>
      <c r="AI29">
        <v>4</v>
      </c>
      <c r="AJ29">
        <v>8</v>
      </c>
      <c r="AK29">
        <v>0</v>
      </c>
      <c r="AL29">
        <v>0</v>
      </c>
      <c r="AM29">
        <v>1</v>
      </c>
      <c r="AN29">
        <v>30</v>
      </c>
      <c r="AO29">
        <v>6</v>
      </c>
      <c r="AP29" t="s">
        <v>534</v>
      </c>
      <c r="AQ29" t="s">
        <v>852</v>
      </c>
      <c r="AR29" s="4">
        <f t="shared" si="0"/>
        <v>26</v>
      </c>
      <c r="AS29">
        <v>1</v>
      </c>
      <c r="AT29" t="s">
        <v>1024</v>
      </c>
      <c r="AU29">
        <v>7</v>
      </c>
      <c r="AV29" t="s">
        <v>854</v>
      </c>
      <c r="AW29">
        <v>6</v>
      </c>
      <c r="AX29">
        <v>1</v>
      </c>
      <c r="BE29">
        <v>2</v>
      </c>
      <c r="BF29" t="s">
        <v>855</v>
      </c>
      <c r="BG29">
        <v>2</v>
      </c>
      <c r="BI29" t="s">
        <v>856</v>
      </c>
      <c r="BJ29">
        <v>9</v>
      </c>
      <c r="BK29">
        <v>8</v>
      </c>
      <c r="BL29">
        <v>17</v>
      </c>
      <c r="BM29" t="s">
        <v>857</v>
      </c>
      <c r="CD29">
        <v>10</v>
      </c>
      <c r="CF29">
        <v>2</v>
      </c>
      <c r="CH29">
        <v>1</v>
      </c>
      <c r="CI29">
        <v>3</v>
      </c>
      <c r="CJ29">
        <v>1</v>
      </c>
      <c r="CK29" s="4">
        <f t="shared" si="13"/>
        <v>6</v>
      </c>
      <c r="CL29">
        <v>4</v>
      </c>
      <c r="CM29">
        <v>1</v>
      </c>
      <c r="CO29">
        <v>1</v>
      </c>
      <c r="CP29">
        <v>1</v>
      </c>
      <c r="CR29">
        <v>1</v>
      </c>
      <c r="CS29">
        <v>11</v>
      </c>
      <c r="CT29" t="s">
        <v>856</v>
      </c>
      <c r="DC29">
        <v>4</v>
      </c>
      <c r="DD29" t="s">
        <v>858</v>
      </c>
      <c r="DG29">
        <v>2</v>
      </c>
      <c r="DH29" t="s">
        <v>859</v>
      </c>
      <c r="DO29" t="s">
        <v>1745</v>
      </c>
      <c r="DP29" t="s">
        <v>1746</v>
      </c>
      <c r="DQ29" t="s">
        <v>1747</v>
      </c>
      <c r="DR29" t="s">
        <v>1753</v>
      </c>
      <c r="DW29">
        <v>20</v>
      </c>
      <c r="DX29" t="s">
        <v>853</v>
      </c>
      <c r="DY29">
        <v>2024</v>
      </c>
      <c r="DZ29" t="s">
        <v>1373</v>
      </c>
      <c r="EA29" t="s">
        <v>1805</v>
      </c>
      <c r="EB29" t="s">
        <v>1806</v>
      </c>
      <c r="EC29" t="s">
        <v>1807</v>
      </c>
      <c r="ED29" t="s">
        <v>1808</v>
      </c>
      <c r="EE29" t="s">
        <v>1809</v>
      </c>
      <c r="EF29" t="s">
        <v>442</v>
      </c>
      <c r="EG29" t="s">
        <v>443</v>
      </c>
      <c r="EH29" t="s">
        <v>1158</v>
      </c>
      <c r="EI29" s="11" t="s">
        <v>1159</v>
      </c>
      <c r="EJ29" t="s">
        <v>1229</v>
      </c>
      <c r="EK29" t="s">
        <v>1160</v>
      </c>
      <c r="EL29" s="11" t="s">
        <v>1161</v>
      </c>
      <c r="EM29" t="s">
        <v>867</v>
      </c>
      <c r="EN29" t="s">
        <v>1162</v>
      </c>
      <c r="EO29" s="11" t="s">
        <v>1163</v>
      </c>
      <c r="EP29" t="s">
        <v>870</v>
      </c>
      <c r="EQ29" t="s">
        <v>1164</v>
      </c>
      <c r="ER29" s="11" t="s">
        <v>1165</v>
      </c>
      <c r="ES29" t="s">
        <v>873</v>
      </c>
      <c r="ET29" t="s">
        <v>1166</v>
      </c>
      <c r="EU29" s="11" t="s">
        <v>1167</v>
      </c>
      <c r="EV29" t="s">
        <v>873</v>
      </c>
      <c r="EW29" t="s">
        <v>1168</v>
      </c>
      <c r="EX29" s="11" t="s">
        <v>1169</v>
      </c>
      <c r="EY29" t="s">
        <v>883</v>
      </c>
      <c r="EZ29" t="s">
        <v>1170</v>
      </c>
      <c r="FA29" s="11" t="s">
        <v>1171</v>
      </c>
      <c r="FB29" t="s">
        <v>867</v>
      </c>
      <c r="FC29" t="s">
        <v>1172</v>
      </c>
      <c r="FD29" s="11" t="s">
        <v>1173</v>
      </c>
      <c r="FE29" t="s">
        <v>867</v>
      </c>
      <c r="FF29" t="s">
        <v>1174</v>
      </c>
      <c r="FG29" s="11" t="s">
        <v>1175</v>
      </c>
      <c r="FH29" t="s">
        <v>1176</v>
      </c>
      <c r="FI29" t="s">
        <v>1177</v>
      </c>
      <c r="FK29">
        <v>0</v>
      </c>
      <c r="FL29" s="4">
        <f t="shared" si="14"/>
        <v>0</v>
      </c>
      <c r="FN29">
        <v>0</v>
      </c>
      <c r="FO29" s="4">
        <f t="shared" si="15"/>
        <v>0</v>
      </c>
      <c r="FQ29">
        <v>0</v>
      </c>
      <c r="FR29" s="4">
        <f t="shared" si="16"/>
        <v>0</v>
      </c>
      <c r="FS29" t="s">
        <v>455</v>
      </c>
      <c r="FT29">
        <v>720</v>
      </c>
      <c r="FU29" s="4">
        <f t="shared" si="17"/>
        <v>4.8000000000000001E-2</v>
      </c>
      <c r="FV29" s="4">
        <f t="shared" si="18"/>
        <v>4.8000000000000001E-2</v>
      </c>
      <c r="FW29" s="4" t="str">
        <f t="shared" si="19"/>
        <v>ORDINARIO</v>
      </c>
      <c r="FX29" t="s">
        <v>1178</v>
      </c>
      <c r="FY29" t="s">
        <v>876</v>
      </c>
      <c r="FZ29" t="s">
        <v>1179</v>
      </c>
      <c r="GA29" t="s">
        <v>1180</v>
      </c>
      <c r="GB29" t="s">
        <v>936</v>
      </c>
      <c r="GC29" t="s">
        <v>1181</v>
      </c>
      <c r="GD29" s="7" t="s">
        <v>842</v>
      </c>
      <c r="GE29" s="7" t="s">
        <v>842</v>
      </c>
      <c r="GF29" s="7" t="s">
        <v>842</v>
      </c>
      <c r="GG29" s="7" t="s">
        <v>842</v>
      </c>
      <c r="GH29" s="7" t="s">
        <v>842</v>
      </c>
      <c r="GI29" s="7" t="s">
        <v>842</v>
      </c>
      <c r="GJ29" s="7" t="s">
        <v>842</v>
      </c>
      <c r="GK29" s="7" t="s">
        <v>842</v>
      </c>
      <c r="GX29" s="7" t="s">
        <v>842</v>
      </c>
      <c r="GY29" s="7" t="s">
        <v>842</v>
      </c>
      <c r="HB29" s="7" t="s">
        <v>842</v>
      </c>
      <c r="HC29" s="7" t="s">
        <v>842</v>
      </c>
      <c r="HD29" s="7" t="s">
        <v>842</v>
      </c>
      <c r="HE29" s="7" t="s">
        <v>842</v>
      </c>
      <c r="HG29" s="7" t="s">
        <v>842</v>
      </c>
      <c r="HH29" s="7" t="s">
        <v>842</v>
      </c>
      <c r="HI29" s="7" t="s">
        <v>842</v>
      </c>
      <c r="HJ29" s="7" t="s">
        <v>842</v>
      </c>
      <c r="HL29" s="7" t="s">
        <v>842</v>
      </c>
      <c r="HM29" s="7" t="s">
        <v>842</v>
      </c>
      <c r="HN29" s="7" t="s">
        <v>842</v>
      </c>
      <c r="HO29" s="7" t="s">
        <v>842</v>
      </c>
      <c r="HS29" s="7" t="s">
        <v>842</v>
      </c>
      <c r="HT29" s="7" t="s">
        <v>842</v>
      </c>
      <c r="HU29" s="7" t="s">
        <v>842</v>
      </c>
      <c r="HV29" s="7" t="s">
        <v>842</v>
      </c>
      <c r="HW29" s="7" t="s">
        <v>842</v>
      </c>
      <c r="HX29" s="7" t="s">
        <v>842</v>
      </c>
      <c r="HY29" s="7" t="s">
        <v>842</v>
      </c>
      <c r="HZ29" s="7" t="s">
        <v>842</v>
      </c>
      <c r="IA29" s="7" t="s">
        <v>842</v>
      </c>
      <c r="IB29" s="7" t="s">
        <v>842</v>
      </c>
      <c r="ID29" s="7" t="s">
        <v>842</v>
      </c>
      <c r="IE29" s="7" t="s">
        <v>842</v>
      </c>
      <c r="IF29" s="7" t="s">
        <v>842</v>
      </c>
      <c r="IG29" s="7" t="s">
        <v>842</v>
      </c>
      <c r="IK29" s="7" t="s">
        <v>842</v>
      </c>
      <c r="IM29" s="7" t="s">
        <v>842</v>
      </c>
      <c r="IN29" s="7" t="s">
        <v>842</v>
      </c>
      <c r="IO29" s="7" t="s">
        <v>842</v>
      </c>
      <c r="IP29" s="7" t="s">
        <v>842</v>
      </c>
      <c r="IQ29" s="7" t="s">
        <v>842</v>
      </c>
      <c r="IR29" s="7" t="s">
        <v>842</v>
      </c>
      <c r="IS29" s="7" t="s">
        <v>842</v>
      </c>
      <c r="IU29" s="7" t="s">
        <v>842</v>
      </c>
      <c r="IV29" s="7" t="s">
        <v>842</v>
      </c>
      <c r="JB29" s="7" t="s">
        <v>842</v>
      </c>
      <c r="JE29" s="7" t="s">
        <v>842</v>
      </c>
      <c r="JF29" s="7" t="s">
        <v>842</v>
      </c>
      <c r="JG29" s="7" t="s">
        <v>842</v>
      </c>
      <c r="JH29" s="7" t="s">
        <v>842</v>
      </c>
      <c r="JI29" s="7" t="s">
        <v>842</v>
      </c>
      <c r="JJ29" s="7" t="s">
        <v>842</v>
      </c>
      <c r="JM29" s="7" t="s">
        <v>842</v>
      </c>
      <c r="JN29" s="7" t="s">
        <v>842</v>
      </c>
      <c r="JO29" s="7" t="s">
        <v>842</v>
      </c>
      <c r="JP29" s="7" t="s">
        <v>842</v>
      </c>
      <c r="JQ29" s="7" t="s">
        <v>842</v>
      </c>
      <c r="JR29" s="7" t="s">
        <v>842</v>
      </c>
      <c r="JS29" s="7" t="s">
        <v>842</v>
      </c>
      <c r="JT29" s="7" t="s">
        <v>842</v>
      </c>
      <c r="JU29" s="7" t="s">
        <v>842</v>
      </c>
      <c r="JW29" s="7" t="s">
        <v>842</v>
      </c>
      <c r="JZ29" s="7" t="s">
        <v>842</v>
      </c>
      <c r="KB29" s="7" t="s">
        <v>842</v>
      </c>
      <c r="KC29" s="7" t="s">
        <v>842</v>
      </c>
    </row>
    <row r="30" spans="1:295" x14ac:dyDescent="0.3">
      <c r="A30">
        <v>28</v>
      </c>
      <c r="B30" t="s">
        <v>842</v>
      </c>
      <c r="C30" t="s">
        <v>947</v>
      </c>
      <c r="D30" s="1" t="s">
        <v>1254</v>
      </c>
      <c r="E30" t="s">
        <v>844</v>
      </c>
      <c r="G30" t="s">
        <v>845</v>
      </c>
      <c r="H30" t="s">
        <v>846</v>
      </c>
      <c r="I30" t="s">
        <v>1257</v>
      </c>
      <c r="J30">
        <v>3230</v>
      </c>
      <c r="K30" t="s">
        <v>1810</v>
      </c>
      <c r="L30" t="s">
        <v>1811</v>
      </c>
      <c r="M30" t="s">
        <v>424</v>
      </c>
      <c r="N30" t="s">
        <v>424</v>
      </c>
      <c r="O30">
        <v>72560</v>
      </c>
      <c r="P30">
        <v>2222333898</v>
      </c>
      <c r="Q30" s="3" t="s">
        <v>1255</v>
      </c>
      <c r="R30">
        <v>29</v>
      </c>
      <c r="S30" t="s">
        <v>1812</v>
      </c>
      <c r="T30" t="s">
        <v>1798</v>
      </c>
      <c r="U30" t="s">
        <v>1799</v>
      </c>
      <c r="V30">
        <v>219.22</v>
      </c>
      <c r="W30">
        <v>219.22</v>
      </c>
      <c r="X30">
        <v>1</v>
      </c>
      <c r="Y30" t="s">
        <v>1783</v>
      </c>
      <c r="Z30">
        <v>1</v>
      </c>
      <c r="AA30">
        <v>1</v>
      </c>
      <c r="AB30">
        <v>1</v>
      </c>
      <c r="AC30">
        <v>0</v>
      </c>
      <c r="AD30" t="s">
        <v>912</v>
      </c>
      <c r="AE30" t="s">
        <v>850</v>
      </c>
      <c r="AF30" t="s">
        <v>1256</v>
      </c>
      <c r="AG30">
        <v>10</v>
      </c>
      <c r="AH30">
        <v>0</v>
      </c>
      <c r="AI30">
        <v>7</v>
      </c>
      <c r="AJ30">
        <v>3</v>
      </c>
      <c r="AK30">
        <v>0</v>
      </c>
      <c r="AL30">
        <v>0</v>
      </c>
      <c r="AM30">
        <v>1</v>
      </c>
      <c r="AN30">
        <v>300</v>
      </c>
      <c r="AO30">
        <v>6</v>
      </c>
      <c r="AP30" t="s">
        <v>534</v>
      </c>
      <c r="AQ30" t="s">
        <v>852</v>
      </c>
      <c r="AR30" s="4">
        <f t="shared" si="0"/>
        <v>26</v>
      </c>
      <c r="AS30">
        <v>1</v>
      </c>
      <c r="AT30" t="s">
        <v>1024</v>
      </c>
      <c r="AU30">
        <v>6</v>
      </c>
      <c r="AV30" t="s">
        <v>854</v>
      </c>
      <c r="AW30">
        <v>5</v>
      </c>
      <c r="AX30">
        <v>1</v>
      </c>
      <c r="BE30">
        <v>2</v>
      </c>
      <c r="BF30" t="s">
        <v>855</v>
      </c>
      <c r="BH30">
        <v>2</v>
      </c>
      <c r="BI30" t="s">
        <v>856</v>
      </c>
      <c r="BJ30">
        <v>8</v>
      </c>
      <c r="BK30">
        <v>4</v>
      </c>
      <c r="BL30">
        <v>12</v>
      </c>
      <c r="BM30" t="s">
        <v>857</v>
      </c>
      <c r="CD30">
        <v>8</v>
      </c>
      <c r="CF30">
        <v>2</v>
      </c>
      <c r="CG30">
        <v>2</v>
      </c>
      <c r="CH30">
        <v>1</v>
      </c>
      <c r="CI30">
        <v>4</v>
      </c>
      <c r="CJ30">
        <v>5</v>
      </c>
      <c r="CK30" s="4">
        <f t="shared" si="13"/>
        <v>3</v>
      </c>
      <c r="CL30">
        <v>1</v>
      </c>
      <c r="CM30">
        <v>1</v>
      </c>
      <c r="CO30">
        <v>1</v>
      </c>
      <c r="CP30">
        <v>1</v>
      </c>
      <c r="CR30">
        <v>4</v>
      </c>
      <c r="CS30">
        <v>5</v>
      </c>
      <c r="CT30" t="s">
        <v>856</v>
      </c>
      <c r="DC30">
        <v>4</v>
      </c>
      <c r="DD30" t="s">
        <v>858</v>
      </c>
      <c r="DG30">
        <v>2</v>
      </c>
      <c r="DH30" t="s">
        <v>859</v>
      </c>
      <c r="DO30" t="s">
        <v>1745</v>
      </c>
      <c r="DP30" t="s">
        <v>1746</v>
      </c>
      <c r="DQ30" t="s">
        <v>1747</v>
      </c>
      <c r="DR30" t="s">
        <v>1753</v>
      </c>
      <c r="DW30">
        <v>16</v>
      </c>
      <c r="DX30" t="s">
        <v>853</v>
      </c>
      <c r="DY30">
        <v>2024</v>
      </c>
      <c r="DZ30" t="s">
        <v>1395</v>
      </c>
      <c r="EA30" t="s">
        <v>1813</v>
      </c>
      <c r="EB30" t="s">
        <v>1794</v>
      </c>
      <c r="EC30" t="s">
        <v>1814</v>
      </c>
      <c r="ED30" t="s">
        <v>1815</v>
      </c>
      <c r="EE30" t="s">
        <v>1816</v>
      </c>
      <c r="EF30" t="s">
        <v>442</v>
      </c>
      <c r="EG30" t="s">
        <v>443</v>
      </c>
      <c r="EH30" t="s">
        <v>1282</v>
      </c>
      <c r="EI30" s="11" t="s">
        <v>1258</v>
      </c>
      <c r="EJ30" s="1" t="s">
        <v>883</v>
      </c>
      <c r="EK30" t="s">
        <v>1259</v>
      </c>
      <c r="EL30" s="11" t="s">
        <v>1260</v>
      </c>
      <c r="EM30" t="s">
        <v>870</v>
      </c>
      <c r="EN30" t="s">
        <v>1261</v>
      </c>
      <c r="EO30" s="11" t="s">
        <v>1262</v>
      </c>
      <c r="EP30" t="s">
        <v>870</v>
      </c>
      <c r="EQ30" t="s">
        <v>1263</v>
      </c>
      <c r="ER30" s="11" t="s">
        <v>1264</v>
      </c>
      <c r="ES30" t="s">
        <v>873</v>
      </c>
      <c r="ET30" t="s">
        <v>1265</v>
      </c>
      <c r="EU30" s="11" t="s">
        <v>1266</v>
      </c>
      <c r="EV30" t="s">
        <v>873</v>
      </c>
      <c r="EW30" t="s">
        <v>1267</v>
      </c>
      <c r="EX30" s="11" t="s">
        <v>1268</v>
      </c>
      <c r="EY30" t="s">
        <v>1269</v>
      </c>
      <c r="EZ30" t="s">
        <v>1270</v>
      </c>
      <c r="FA30" s="11" t="s">
        <v>1271</v>
      </c>
      <c r="FB30" t="s">
        <v>867</v>
      </c>
      <c r="FC30" t="s">
        <v>1272</v>
      </c>
      <c r="FD30" s="11" t="s">
        <v>1273</v>
      </c>
      <c r="FE30" t="s">
        <v>867</v>
      </c>
      <c r="FF30" t="s">
        <v>1274</v>
      </c>
      <c r="FG30" s="11" t="s">
        <v>1275</v>
      </c>
      <c r="FH30" t="s">
        <v>867</v>
      </c>
      <c r="FI30" t="s">
        <v>1276</v>
      </c>
      <c r="FK30">
        <v>0</v>
      </c>
      <c r="FL30" s="4">
        <f t="shared" si="14"/>
        <v>0</v>
      </c>
      <c r="FN30">
        <v>0</v>
      </c>
      <c r="FO30" s="4">
        <f t="shared" si="15"/>
        <v>0</v>
      </c>
      <c r="FQ30">
        <v>39</v>
      </c>
      <c r="FR30" s="4">
        <f t="shared" si="16"/>
        <v>1.95E-2</v>
      </c>
      <c r="FS30" t="s">
        <v>455</v>
      </c>
      <c r="FT30">
        <v>15000</v>
      </c>
      <c r="FU30" s="4">
        <f t="shared" si="17"/>
        <v>1</v>
      </c>
      <c r="FV30" s="4">
        <f t="shared" si="18"/>
        <v>1.0195000000000001</v>
      </c>
      <c r="FW30" s="4" t="str">
        <f t="shared" si="19"/>
        <v>ALTO</v>
      </c>
      <c r="GD30" s="7" t="s">
        <v>842</v>
      </c>
      <c r="GE30" s="7" t="s">
        <v>842</v>
      </c>
      <c r="GF30" s="7" t="s">
        <v>842</v>
      </c>
      <c r="GG30" s="7" t="s">
        <v>842</v>
      </c>
      <c r="GH30" s="7" t="s">
        <v>842</v>
      </c>
      <c r="GI30" s="7" t="s">
        <v>842</v>
      </c>
      <c r="GJ30" s="7" t="s">
        <v>842</v>
      </c>
      <c r="GK30" s="7" t="s">
        <v>842</v>
      </c>
      <c r="GX30" s="7" t="s">
        <v>842</v>
      </c>
      <c r="HB30" s="7" t="s">
        <v>842</v>
      </c>
      <c r="HC30" s="7" t="s">
        <v>842</v>
      </c>
      <c r="HD30" s="7" t="s">
        <v>842</v>
      </c>
      <c r="HE30" s="7" t="s">
        <v>842</v>
      </c>
      <c r="HG30" s="7" t="s">
        <v>842</v>
      </c>
      <c r="HH30" s="7" t="s">
        <v>842</v>
      </c>
      <c r="HI30" s="7" t="s">
        <v>842</v>
      </c>
      <c r="HJ30" s="7" t="s">
        <v>842</v>
      </c>
      <c r="HK30" s="7" t="s">
        <v>842</v>
      </c>
      <c r="HL30" s="7" t="s">
        <v>842</v>
      </c>
      <c r="HM30" s="7" t="s">
        <v>842</v>
      </c>
      <c r="HN30" s="7" t="s">
        <v>842</v>
      </c>
      <c r="HO30" s="7" t="s">
        <v>842</v>
      </c>
      <c r="HS30" s="7" t="s">
        <v>842</v>
      </c>
      <c r="HT30" s="7" t="s">
        <v>842</v>
      </c>
      <c r="HU30" s="7" t="s">
        <v>842</v>
      </c>
      <c r="HV30" s="7" t="s">
        <v>842</v>
      </c>
      <c r="HW30" s="7" t="s">
        <v>842</v>
      </c>
      <c r="HX30" s="7" t="s">
        <v>842</v>
      </c>
      <c r="HY30" s="7" t="s">
        <v>842</v>
      </c>
      <c r="HZ30" s="7" t="s">
        <v>842</v>
      </c>
      <c r="IA30" s="7" t="s">
        <v>842</v>
      </c>
      <c r="IB30" s="7" t="s">
        <v>842</v>
      </c>
      <c r="ID30" s="7" t="s">
        <v>842</v>
      </c>
      <c r="IF30" s="7" t="s">
        <v>842</v>
      </c>
      <c r="IG30" s="7" t="s">
        <v>842</v>
      </c>
      <c r="IK30" s="7" t="s">
        <v>842</v>
      </c>
      <c r="IM30" s="7" t="s">
        <v>842</v>
      </c>
      <c r="IN30" s="7" t="s">
        <v>842</v>
      </c>
      <c r="IO30" s="7" t="s">
        <v>842</v>
      </c>
      <c r="IP30" s="7" t="s">
        <v>842</v>
      </c>
      <c r="IQ30" s="7" t="s">
        <v>842</v>
      </c>
      <c r="IR30" s="7" t="s">
        <v>842</v>
      </c>
      <c r="IS30" s="7" t="s">
        <v>842</v>
      </c>
      <c r="IU30" s="7" t="s">
        <v>842</v>
      </c>
      <c r="IV30" s="7" t="s">
        <v>842</v>
      </c>
      <c r="JB30" s="7" t="s">
        <v>842</v>
      </c>
      <c r="JE30" s="7" t="s">
        <v>842</v>
      </c>
      <c r="JF30" s="7" t="s">
        <v>842</v>
      </c>
      <c r="JG30" s="7" t="s">
        <v>842</v>
      </c>
      <c r="JH30" s="7" t="s">
        <v>842</v>
      </c>
      <c r="JI30" s="7" t="s">
        <v>842</v>
      </c>
      <c r="JJ30" s="7" t="s">
        <v>842</v>
      </c>
      <c r="JM30" s="7" t="s">
        <v>842</v>
      </c>
      <c r="JN30" s="7" t="s">
        <v>842</v>
      </c>
      <c r="JO30" s="7" t="s">
        <v>842</v>
      </c>
      <c r="JP30" s="7" t="s">
        <v>842</v>
      </c>
      <c r="JQ30" s="7" t="s">
        <v>842</v>
      </c>
      <c r="JR30" s="7" t="s">
        <v>842</v>
      </c>
      <c r="JS30" s="7" t="s">
        <v>842</v>
      </c>
      <c r="JT30" s="7" t="s">
        <v>842</v>
      </c>
      <c r="JU30" s="7" t="s">
        <v>842</v>
      </c>
      <c r="JW30" s="7" t="s">
        <v>842</v>
      </c>
      <c r="JZ30" s="7" t="s">
        <v>842</v>
      </c>
      <c r="KB30" s="7" t="s">
        <v>842</v>
      </c>
      <c r="KC30" s="7" t="s">
        <v>842</v>
      </c>
    </row>
    <row r="31" spans="1:295" x14ac:dyDescent="0.3">
      <c r="A31">
        <v>29</v>
      </c>
      <c r="B31" t="s">
        <v>842</v>
      </c>
      <c r="C31" t="s">
        <v>947</v>
      </c>
      <c r="D31" s="1" t="s">
        <v>1361</v>
      </c>
      <c r="E31" t="s">
        <v>844</v>
      </c>
      <c r="G31" t="s">
        <v>845</v>
      </c>
      <c r="H31" t="s">
        <v>846</v>
      </c>
      <c r="I31" t="s">
        <v>1362</v>
      </c>
      <c r="J31">
        <v>6302</v>
      </c>
      <c r="K31" t="s">
        <v>994</v>
      </c>
      <c r="L31" t="s">
        <v>1363</v>
      </c>
      <c r="M31" t="s">
        <v>424</v>
      </c>
      <c r="N31" t="s">
        <v>424</v>
      </c>
      <c r="O31">
        <v>72589</v>
      </c>
      <c r="P31">
        <v>2222454513</v>
      </c>
      <c r="Q31" s="3" t="s">
        <v>1364</v>
      </c>
      <c r="R31">
        <v>8</v>
      </c>
      <c r="S31" t="s">
        <v>1817</v>
      </c>
      <c r="T31" t="s">
        <v>1798</v>
      </c>
      <c r="U31" t="s">
        <v>1799</v>
      </c>
      <c r="V31">
        <v>308.35000000000002</v>
      </c>
      <c r="W31">
        <v>308.35000000000002</v>
      </c>
      <c r="X31">
        <v>1</v>
      </c>
      <c r="Y31" t="s">
        <v>1783</v>
      </c>
      <c r="Z31">
        <v>1</v>
      </c>
      <c r="AA31">
        <v>1</v>
      </c>
      <c r="AB31">
        <v>0</v>
      </c>
      <c r="AC31">
        <v>0</v>
      </c>
      <c r="AD31" t="s">
        <v>946</v>
      </c>
      <c r="AE31" t="s">
        <v>850</v>
      </c>
      <c r="AF31" t="s">
        <v>1365</v>
      </c>
      <c r="AG31">
        <v>10</v>
      </c>
      <c r="AH31">
        <v>0</v>
      </c>
      <c r="AI31">
        <v>5</v>
      </c>
      <c r="AJ31">
        <v>5</v>
      </c>
      <c r="AK31">
        <v>0</v>
      </c>
      <c r="AL31">
        <v>0</v>
      </c>
      <c r="AM31">
        <v>1</v>
      </c>
      <c r="AN31">
        <v>100</v>
      </c>
      <c r="AO31">
        <v>6</v>
      </c>
      <c r="AP31" t="s">
        <v>534</v>
      </c>
      <c r="AQ31" t="s">
        <v>852</v>
      </c>
      <c r="AR31" s="4">
        <f t="shared" si="0"/>
        <v>18</v>
      </c>
      <c r="AS31">
        <v>1</v>
      </c>
      <c r="AT31" t="s">
        <v>1024</v>
      </c>
      <c r="AU31">
        <v>7</v>
      </c>
      <c r="AV31" t="s">
        <v>854</v>
      </c>
      <c r="AW31">
        <v>6</v>
      </c>
      <c r="AX31">
        <v>1</v>
      </c>
      <c r="BE31">
        <v>1</v>
      </c>
      <c r="BF31" t="s">
        <v>855</v>
      </c>
      <c r="BH31">
        <v>1</v>
      </c>
      <c r="BI31" t="s">
        <v>856</v>
      </c>
      <c r="BJ31">
        <v>9</v>
      </c>
      <c r="BK31">
        <v>5</v>
      </c>
      <c r="BL31">
        <v>14</v>
      </c>
      <c r="BM31" t="s">
        <v>857</v>
      </c>
      <c r="CD31">
        <v>3</v>
      </c>
      <c r="CF31">
        <v>2</v>
      </c>
      <c r="CH31">
        <v>1</v>
      </c>
      <c r="CI31">
        <v>3</v>
      </c>
      <c r="CJ31">
        <v>1</v>
      </c>
      <c r="CK31" s="4">
        <f t="shared" si="13"/>
        <v>8</v>
      </c>
      <c r="CL31">
        <v>5</v>
      </c>
      <c r="CM31">
        <v>1</v>
      </c>
      <c r="CO31">
        <v>1</v>
      </c>
      <c r="CP31">
        <v>2</v>
      </c>
      <c r="CR31">
        <v>2</v>
      </c>
      <c r="CS31">
        <v>11</v>
      </c>
      <c r="CT31" t="s">
        <v>856</v>
      </c>
      <c r="DC31">
        <v>4</v>
      </c>
      <c r="DD31" t="s">
        <v>858</v>
      </c>
      <c r="DG31">
        <v>2</v>
      </c>
      <c r="DH31" t="s">
        <v>859</v>
      </c>
      <c r="DO31" t="s">
        <v>1745</v>
      </c>
      <c r="DP31" t="s">
        <v>1746</v>
      </c>
      <c r="DQ31" t="s">
        <v>1747</v>
      </c>
      <c r="DR31" t="s">
        <v>1753</v>
      </c>
      <c r="DW31">
        <v>22</v>
      </c>
      <c r="DX31" t="s">
        <v>853</v>
      </c>
      <c r="DY31">
        <v>2024</v>
      </c>
      <c r="DZ31" t="s">
        <v>1366</v>
      </c>
      <c r="EA31" t="s">
        <v>1818</v>
      </c>
      <c r="EB31" t="s">
        <v>440</v>
      </c>
      <c r="EC31" t="s">
        <v>1819</v>
      </c>
      <c r="ED31" t="s">
        <v>1820</v>
      </c>
      <c r="EE31" t="s">
        <v>1821</v>
      </c>
      <c r="EF31" t="s">
        <v>442</v>
      </c>
      <c r="EG31" t="s">
        <v>443</v>
      </c>
      <c r="EH31" t="s">
        <v>1374</v>
      </c>
      <c r="EI31" s="11" t="s">
        <v>1375</v>
      </c>
      <c r="EJ31" s="1" t="s">
        <v>883</v>
      </c>
      <c r="EK31" t="s">
        <v>1376</v>
      </c>
      <c r="EL31" s="11" t="s">
        <v>1377</v>
      </c>
      <c r="EM31" t="s">
        <v>873</v>
      </c>
      <c r="EN31" t="s">
        <v>1378</v>
      </c>
      <c r="EO31" s="11" t="s">
        <v>1379</v>
      </c>
      <c r="EP31" t="s">
        <v>867</v>
      </c>
      <c r="EQ31" t="s">
        <v>1380</v>
      </c>
      <c r="ER31" s="11" t="s">
        <v>1381</v>
      </c>
      <c r="ES31" t="s">
        <v>873</v>
      </c>
      <c r="ET31" t="s">
        <v>1382</v>
      </c>
      <c r="EU31" s="11" t="s">
        <v>1383</v>
      </c>
      <c r="EV31" t="s">
        <v>873</v>
      </c>
      <c r="EW31" t="s">
        <v>1384</v>
      </c>
      <c r="EX31" s="11" t="s">
        <v>1385</v>
      </c>
      <c r="EY31" t="s">
        <v>867</v>
      </c>
      <c r="EZ31" t="s">
        <v>1386</v>
      </c>
      <c r="FA31" s="11" t="s">
        <v>1387</v>
      </c>
      <c r="FB31" t="s">
        <v>1318</v>
      </c>
      <c r="FC31" t="s">
        <v>1388</v>
      </c>
      <c r="FD31" s="11" t="s">
        <v>1389</v>
      </c>
      <c r="FE31" t="s">
        <v>867</v>
      </c>
      <c r="FF31" t="s">
        <v>1390</v>
      </c>
      <c r="FG31" s="11" t="s">
        <v>1375</v>
      </c>
      <c r="FH31" t="s">
        <v>883</v>
      </c>
      <c r="FI31" t="s">
        <v>1376</v>
      </c>
      <c r="FK31">
        <v>0</v>
      </c>
      <c r="FL31" s="4">
        <f t="shared" si="14"/>
        <v>0</v>
      </c>
      <c r="FN31">
        <v>0</v>
      </c>
      <c r="FO31" s="4">
        <f t="shared" si="15"/>
        <v>0</v>
      </c>
      <c r="FQ31">
        <v>11</v>
      </c>
      <c r="FR31" s="4">
        <f t="shared" si="16"/>
        <v>5.4999999999999997E-3</v>
      </c>
      <c r="FS31" t="s">
        <v>455</v>
      </c>
      <c r="FT31">
        <v>15000</v>
      </c>
      <c r="FU31" s="4">
        <f t="shared" si="17"/>
        <v>1</v>
      </c>
      <c r="FV31" s="4">
        <f t="shared" si="18"/>
        <v>1.0055000000000001</v>
      </c>
      <c r="FW31" s="4" t="str">
        <f t="shared" si="19"/>
        <v>ALTO</v>
      </c>
      <c r="GD31" s="7" t="s">
        <v>842</v>
      </c>
      <c r="GE31" s="7" t="s">
        <v>842</v>
      </c>
      <c r="GF31" s="7" t="s">
        <v>842</v>
      </c>
      <c r="GG31" s="7" t="s">
        <v>842</v>
      </c>
      <c r="GH31" s="7" t="s">
        <v>842</v>
      </c>
      <c r="GI31" s="7" t="s">
        <v>842</v>
      </c>
      <c r="GJ31" s="7" t="s">
        <v>842</v>
      </c>
      <c r="GK31" s="7" t="s">
        <v>842</v>
      </c>
      <c r="GX31" s="7" t="s">
        <v>842</v>
      </c>
      <c r="HB31" s="7" t="s">
        <v>842</v>
      </c>
      <c r="HC31" s="7" t="s">
        <v>842</v>
      </c>
      <c r="HD31" s="7" t="s">
        <v>842</v>
      </c>
      <c r="HE31" s="7" t="s">
        <v>842</v>
      </c>
      <c r="HG31" s="7" t="s">
        <v>842</v>
      </c>
      <c r="HH31" s="7" t="s">
        <v>842</v>
      </c>
      <c r="HI31" s="7" t="s">
        <v>842</v>
      </c>
      <c r="HJ31" s="7" t="s">
        <v>842</v>
      </c>
      <c r="HL31" s="7" t="s">
        <v>842</v>
      </c>
      <c r="HM31" s="7" t="s">
        <v>842</v>
      </c>
      <c r="HN31" s="7" t="s">
        <v>842</v>
      </c>
      <c r="HO31" s="7" t="s">
        <v>842</v>
      </c>
      <c r="HS31" s="7" t="s">
        <v>842</v>
      </c>
      <c r="HT31" s="7" t="s">
        <v>842</v>
      </c>
      <c r="HU31" s="7" t="s">
        <v>842</v>
      </c>
      <c r="HV31" s="7" t="s">
        <v>842</v>
      </c>
      <c r="HW31" s="7" t="s">
        <v>842</v>
      </c>
      <c r="HX31" s="7" t="s">
        <v>842</v>
      </c>
      <c r="HY31" s="7" t="s">
        <v>842</v>
      </c>
      <c r="HZ31" s="7" t="s">
        <v>842</v>
      </c>
      <c r="IA31" s="7" t="s">
        <v>842</v>
      </c>
      <c r="IB31" s="7" t="s">
        <v>842</v>
      </c>
      <c r="ID31" s="7" t="s">
        <v>842</v>
      </c>
      <c r="IF31" s="7" t="s">
        <v>842</v>
      </c>
      <c r="IG31" s="7" t="s">
        <v>842</v>
      </c>
      <c r="IK31" s="7" t="s">
        <v>842</v>
      </c>
      <c r="IM31" s="7" t="s">
        <v>842</v>
      </c>
      <c r="IN31" s="7" t="s">
        <v>842</v>
      </c>
      <c r="IO31" s="7" t="s">
        <v>842</v>
      </c>
      <c r="IP31" s="7" t="s">
        <v>842</v>
      </c>
      <c r="IQ31" s="7" t="s">
        <v>842</v>
      </c>
      <c r="IR31" s="7" t="s">
        <v>842</v>
      </c>
      <c r="IS31" t="s">
        <v>842</v>
      </c>
      <c r="IU31" s="7" t="s">
        <v>842</v>
      </c>
      <c r="IV31" s="7" t="s">
        <v>842</v>
      </c>
      <c r="JB31" s="7" t="s">
        <v>842</v>
      </c>
      <c r="JE31" s="7" t="s">
        <v>842</v>
      </c>
      <c r="JF31" s="7" t="s">
        <v>842</v>
      </c>
      <c r="JG31" s="7" t="s">
        <v>842</v>
      </c>
      <c r="JH31" s="7" t="s">
        <v>842</v>
      </c>
      <c r="JI31" s="7" t="s">
        <v>842</v>
      </c>
      <c r="JJ31" s="7" t="s">
        <v>842</v>
      </c>
      <c r="JM31" s="7" t="s">
        <v>842</v>
      </c>
      <c r="JN31" s="7" t="s">
        <v>842</v>
      </c>
      <c r="JO31" s="7" t="s">
        <v>842</v>
      </c>
      <c r="JP31" s="7" t="s">
        <v>842</v>
      </c>
      <c r="JQ31" s="7" t="s">
        <v>842</v>
      </c>
      <c r="JR31" s="7" t="s">
        <v>842</v>
      </c>
      <c r="JS31" s="7" t="s">
        <v>842</v>
      </c>
      <c r="JT31" s="7" t="s">
        <v>842</v>
      </c>
      <c r="JU31" s="7" t="s">
        <v>842</v>
      </c>
      <c r="JW31" s="7" t="s">
        <v>842</v>
      </c>
      <c r="JZ31" s="7" t="s">
        <v>842</v>
      </c>
      <c r="KB31" s="7" t="s">
        <v>842</v>
      </c>
      <c r="KC31" s="7" t="s">
        <v>842</v>
      </c>
    </row>
    <row r="32" spans="1:295" x14ac:dyDescent="0.3">
      <c r="A32">
        <v>30</v>
      </c>
      <c r="B32" t="s">
        <v>842</v>
      </c>
      <c r="C32" t="s">
        <v>947</v>
      </c>
      <c r="D32" s="1" t="s">
        <v>1058</v>
      </c>
      <c r="E32" t="s">
        <v>844</v>
      </c>
      <c r="G32" t="s">
        <v>845</v>
      </c>
      <c r="H32" t="s">
        <v>846</v>
      </c>
      <c r="I32" t="s">
        <v>1019</v>
      </c>
      <c r="J32">
        <v>8310</v>
      </c>
      <c r="K32" t="s">
        <v>1020</v>
      </c>
      <c r="L32" t="s">
        <v>1021</v>
      </c>
      <c r="M32" t="s">
        <v>424</v>
      </c>
      <c r="N32" t="s">
        <v>424</v>
      </c>
      <c r="O32">
        <v>72450</v>
      </c>
      <c r="P32">
        <v>2222287246</v>
      </c>
      <c r="Q32" s="3" t="s">
        <v>1022</v>
      </c>
      <c r="R32">
        <v>26</v>
      </c>
      <c r="S32">
        <v>1998</v>
      </c>
      <c r="T32" t="s">
        <v>1798</v>
      </c>
      <c r="U32" t="s">
        <v>1799</v>
      </c>
      <c r="V32">
        <v>251.87</v>
      </c>
      <c r="W32">
        <v>251.87</v>
      </c>
      <c r="X32">
        <v>1</v>
      </c>
      <c r="Y32" t="s">
        <v>1783</v>
      </c>
      <c r="Z32">
        <v>1</v>
      </c>
      <c r="AA32">
        <v>1</v>
      </c>
      <c r="AB32">
        <v>0</v>
      </c>
      <c r="AC32">
        <v>0</v>
      </c>
      <c r="AD32" t="s">
        <v>427</v>
      </c>
      <c r="AE32" t="s">
        <v>850</v>
      </c>
      <c r="AF32" t="s">
        <v>1025</v>
      </c>
      <c r="AG32">
        <v>12</v>
      </c>
      <c r="AH32">
        <v>0</v>
      </c>
      <c r="AI32">
        <v>9</v>
      </c>
      <c r="AJ32">
        <v>3</v>
      </c>
      <c r="AK32">
        <v>0</v>
      </c>
      <c r="AL32">
        <v>0</v>
      </c>
      <c r="AM32">
        <v>1</v>
      </c>
      <c r="AN32">
        <v>48</v>
      </c>
      <c r="AO32">
        <v>6</v>
      </c>
      <c r="AP32" t="s">
        <v>534</v>
      </c>
      <c r="AQ32" t="s">
        <v>852</v>
      </c>
      <c r="AR32" s="4">
        <f t="shared" si="0"/>
        <v>16</v>
      </c>
      <c r="AS32">
        <v>1</v>
      </c>
      <c r="AT32" t="s">
        <v>1024</v>
      </c>
      <c r="AU32">
        <v>5</v>
      </c>
      <c r="AV32" t="s">
        <v>854</v>
      </c>
      <c r="AW32">
        <v>4</v>
      </c>
      <c r="AX32">
        <v>1</v>
      </c>
      <c r="BE32">
        <v>2</v>
      </c>
      <c r="BF32" t="s">
        <v>855</v>
      </c>
      <c r="BH32">
        <v>2</v>
      </c>
      <c r="BI32" t="s">
        <v>856</v>
      </c>
      <c r="BJ32">
        <v>6</v>
      </c>
      <c r="BK32">
        <v>5</v>
      </c>
      <c r="BL32">
        <v>11</v>
      </c>
      <c r="BM32" t="s">
        <v>857</v>
      </c>
      <c r="CD32">
        <v>3</v>
      </c>
      <c r="CF32">
        <v>2</v>
      </c>
      <c r="CI32">
        <v>3</v>
      </c>
      <c r="CJ32">
        <v>1</v>
      </c>
      <c r="CK32" s="4">
        <f t="shared" si="13"/>
        <v>14</v>
      </c>
      <c r="CL32">
        <v>6</v>
      </c>
      <c r="CM32">
        <v>1</v>
      </c>
      <c r="CO32">
        <v>4</v>
      </c>
      <c r="CP32">
        <v>4</v>
      </c>
      <c r="CR32">
        <v>3</v>
      </c>
      <c r="CS32">
        <v>3</v>
      </c>
      <c r="CT32" t="s">
        <v>856</v>
      </c>
      <c r="DC32">
        <v>4</v>
      </c>
      <c r="DD32" t="s">
        <v>858</v>
      </c>
      <c r="DG32">
        <v>2</v>
      </c>
      <c r="DH32" t="s">
        <v>859</v>
      </c>
      <c r="DO32" t="s">
        <v>1745</v>
      </c>
      <c r="DP32" t="s">
        <v>1746</v>
      </c>
      <c r="DQ32" t="s">
        <v>1747</v>
      </c>
      <c r="DR32" t="s">
        <v>1785</v>
      </c>
      <c r="DW32">
        <v>2</v>
      </c>
      <c r="DX32" t="s">
        <v>853</v>
      </c>
      <c r="DY32">
        <v>2024</v>
      </c>
      <c r="DZ32" t="s">
        <v>1368</v>
      </c>
      <c r="EA32" t="s">
        <v>1794</v>
      </c>
      <c r="EB32" t="s">
        <v>1822</v>
      </c>
      <c r="EC32" t="s">
        <v>1823</v>
      </c>
      <c r="ED32" t="s">
        <v>1824</v>
      </c>
      <c r="EE32" t="s">
        <v>1825</v>
      </c>
      <c r="EF32" t="s">
        <v>442</v>
      </c>
      <c r="EG32" t="s">
        <v>443</v>
      </c>
      <c r="EH32" t="s">
        <v>1026</v>
      </c>
      <c r="EI32" s="11" t="s">
        <v>1027</v>
      </c>
      <c r="EJ32" t="s">
        <v>1229</v>
      </c>
      <c r="EK32" t="s">
        <v>1028</v>
      </c>
      <c r="EL32" s="11" t="s">
        <v>1029</v>
      </c>
      <c r="EM32" t="s">
        <v>867</v>
      </c>
      <c r="EN32" t="s">
        <v>1030</v>
      </c>
      <c r="EO32" s="11" t="s">
        <v>1031</v>
      </c>
      <c r="EP32" t="s">
        <v>867</v>
      </c>
      <c r="EQ32" t="s">
        <v>1032</v>
      </c>
      <c r="ER32" s="11" t="s">
        <v>1033</v>
      </c>
      <c r="ES32" t="s">
        <v>873</v>
      </c>
      <c r="ET32" t="s">
        <v>1034</v>
      </c>
      <c r="EU32" s="11" t="s">
        <v>1035</v>
      </c>
      <c r="EV32" t="s">
        <v>867</v>
      </c>
      <c r="EW32" t="s">
        <v>1036</v>
      </c>
      <c r="EX32" s="11" t="s">
        <v>1037</v>
      </c>
      <c r="EY32" t="s">
        <v>873</v>
      </c>
      <c r="EZ32" t="s">
        <v>1038</v>
      </c>
      <c r="FA32" s="11" t="s">
        <v>1039</v>
      </c>
      <c r="FB32" t="s">
        <v>873</v>
      </c>
      <c r="FC32" t="s">
        <v>1040</v>
      </c>
      <c r="FD32" s="11" t="s">
        <v>1041</v>
      </c>
      <c r="FE32" t="s">
        <v>867</v>
      </c>
      <c r="FF32" t="s">
        <v>1042</v>
      </c>
      <c r="FG32" s="11" t="s">
        <v>1043</v>
      </c>
      <c r="FH32" t="s">
        <v>883</v>
      </c>
      <c r="FI32" t="s">
        <v>1044</v>
      </c>
      <c r="FK32">
        <v>0</v>
      </c>
      <c r="FL32" s="4">
        <f t="shared" si="14"/>
        <v>0</v>
      </c>
      <c r="FN32">
        <v>0</v>
      </c>
      <c r="FO32" s="4">
        <f t="shared" si="15"/>
        <v>0</v>
      </c>
      <c r="FQ32">
        <v>0</v>
      </c>
      <c r="FR32" s="4">
        <f t="shared" si="16"/>
        <v>0</v>
      </c>
      <c r="FS32" t="s">
        <v>455</v>
      </c>
      <c r="FT32">
        <v>780</v>
      </c>
      <c r="FU32" s="4">
        <f t="shared" si="17"/>
        <v>5.1999999999999998E-2</v>
      </c>
      <c r="FV32" s="4">
        <f t="shared" si="18"/>
        <v>5.1999999999999998E-2</v>
      </c>
      <c r="FW32" s="4" t="str">
        <f t="shared" si="19"/>
        <v>ORDINARIO</v>
      </c>
      <c r="FX32" t="s">
        <v>1045</v>
      </c>
      <c r="FY32" t="s">
        <v>1046</v>
      </c>
      <c r="FZ32" t="s">
        <v>1047</v>
      </c>
      <c r="GA32" t="s">
        <v>1048</v>
      </c>
      <c r="GB32" t="s">
        <v>925</v>
      </c>
      <c r="GC32" t="s">
        <v>1049</v>
      </c>
      <c r="GD32" s="7" t="s">
        <v>842</v>
      </c>
      <c r="GE32" s="7" t="s">
        <v>842</v>
      </c>
      <c r="GF32" s="7" t="s">
        <v>842</v>
      </c>
      <c r="GG32" s="7" t="s">
        <v>842</v>
      </c>
      <c r="GH32" s="7" t="s">
        <v>842</v>
      </c>
      <c r="GI32" s="7" t="s">
        <v>842</v>
      </c>
      <c r="GK32" s="7" t="s">
        <v>842</v>
      </c>
      <c r="GX32" s="7" t="s">
        <v>842</v>
      </c>
      <c r="HB32" s="7" t="s">
        <v>842</v>
      </c>
      <c r="HC32" s="7" t="s">
        <v>842</v>
      </c>
      <c r="HD32" s="7" t="s">
        <v>842</v>
      </c>
      <c r="HE32" s="7" t="s">
        <v>842</v>
      </c>
      <c r="HG32" s="7" t="s">
        <v>842</v>
      </c>
      <c r="HH32" s="7" t="s">
        <v>842</v>
      </c>
      <c r="HI32" s="7" t="s">
        <v>842</v>
      </c>
      <c r="HJ32" s="7" t="s">
        <v>842</v>
      </c>
      <c r="HL32" s="7" t="s">
        <v>842</v>
      </c>
      <c r="HM32" s="7" t="s">
        <v>842</v>
      </c>
      <c r="HN32" s="7" t="s">
        <v>842</v>
      </c>
      <c r="HO32" s="7" t="s">
        <v>842</v>
      </c>
      <c r="HS32" s="7" t="s">
        <v>842</v>
      </c>
      <c r="HT32" s="7" t="s">
        <v>842</v>
      </c>
      <c r="HU32" s="7" t="s">
        <v>842</v>
      </c>
      <c r="HV32" s="7" t="s">
        <v>842</v>
      </c>
      <c r="HW32" s="7" t="s">
        <v>842</v>
      </c>
      <c r="HX32" s="7" t="s">
        <v>842</v>
      </c>
      <c r="HY32" s="7" t="s">
        <v>842</v>
      </c>
      <c r="HZ32" s="7" t="s">
        <v>842</v>
      </c>
      <c r="IA32" s="7" t="s">
        <v>842</v>
      </c>
      <c r="IB32" s="7" t="s">
        <v>842</v>
      </c>
      <c r="ID32" s="7" t="s">
        <v>842</v>
      </c>
      <c r="IG32" s="7" t="s">
        <v>842</v>
      </c>
      <c r="IK32" s="7" t="s">
        <v>842</v>
      </c>
      <c r="IL32" s="7" t="s">
        <v>842</v>
      </c>
      <c r="IM32" s="7" t="s">
        <v>842</v>
      </c>
      <c r="IN32" s="7" t="s">
        <v>842</v>
      </c>
      <c r="IO32" s="7" t="s">
        <v>842</v>
      </c>
      <c r="IP32" s="7" t="s">
        <v>842</v>
      </c>
      <c r="IQ32" s="7" t="s">
        <v>842</v>
      </c>
      <c r="IR32" s="7" t="s">
        <v>842</v>
      </c>
      <c r="IS32" s="7" t="s">
        <v>842</v>
      </c>
      <c r="IU32" s="7" t="s">
        <v>842</v>
      </c>
      <c r="IV32" s="7" t="s">
        <v>842</v>
      </c>
      <c r="JB32" s="7" t="s">
        <v>842</v>
      </c>
      <c r="JE32" s="7" t="s">
        <v>842</v>
      </c>
      <c r="JF32" s="7" t="s">
        <v>842</v>
      </c>
      <c r="JG32" s="7" t="s">
        <v>842</v>
      </c>
      <c r="JH32" s="7" t="s">
        <v>842</v>
      </c>
      <c r="JI32" s="7" t="s">
        <v>842</v>
      </c>
      <c r="JJ32" s="7" t="s">
        <v>842</v>
      </c>
      <c r="JM32" s="7" t="s">
        <v>842</v>
      </c>
      <c r="JN32" s="7" t="s">
        <v>842</v>
      </c>
      <c r="JO32" s="7" t="s">
        <v>842</v>
      </c>
      <c r="JP32" s="7" t="s">
        <v>842</v>
      </c>
      <c r="JQ32" s="7" t="s">
        <v>842</v>
      </c>
      <c r="JR32" s="7" t="s">
        <v>842</v>
      </c>
      <c r="JS32" s="7" t="s">
        <v>842</v>
      </c>
      <c r="JT32" s="7" t="s">
        <v>842</v>
      </c>
      <c r="JU32" s="7" t="s">
        <v>842</v>
      </c>
      <c r="JW32" s="7" t="s">
        <v>842</v>
      </c>
      <c r="JZ32" s="7" t="s">
        <v>842</v>
      </c>
      <c r="KB32" s="7" t="s">
        <v>842</v>
      </c>
      <c r="KC32" s="7" t="s">
        <v>842</v>
      </c>
    </row>
    <row r="33" spans="1:322" x14ac:dyDescent="0.3">
      <c r="A33">
        <v>31</v>
      </c>
      <c r="B33" t="s">
        <v>842</v>
      </c>
      <c r="C33" t="s">
        <v>947</v>
      </c>
      <c r="D33" s="1" t="s">
        <v>1332</v>
      </c>
      <c r="E33" t="s">
        <v>844</v>
      </c>
      <c r="G33" t="s">
        <v>845</v>
      </c>
      <c r="H33" t="s">
        <v>846</v>
      </c>
      <c r="I33" t="s">
        <v>1333</v>
      </c>
      <c r="J33">
        <v>1407</v>
      </c>
      <c r="K33" t="s">
        <v>1334</v>
      </c>
      <c r="L33" t="s">
        <v>1335</v>
      </c>
      <c r="M33" t="s">
        <v>424</v>
      </c>
      <c r="N33" t="s">
        <v>424</v>
      </c>
      <c r="O33">
        <v>72540</v>
      </c>
      <c r="P33">
        <v>2222333265</v>
      </c>
      <c r="Q33" s="3" t="s">
        <v>1336</v>
      </c>
      <c r="R33">
        <v>26</v>
      </c>
      <c r="S33">
        <v>1997</v>
      </c>
      <c r="T33" t="s">
        <v>1798</v>
      </c>
      <c r="U33" t="s">
        <v>1799</v>
      </c>
      <c r="V33">
        <v>337</v>
      </c>
      <c r="W33">
        <v>337</v>
      </c>
      <c r="X33">
        <v>1</v>
      </c>
      <c r="Y33" t="s">
        <v>1783</v>
      </c>
      <c r="Z33">
        <v>1</v>
      </c>
      <c r="AA33">
        <v>1</v>
      </c>
      <c r="AB33">
        <v>0</v>
      </c>
      <c r="AC33">
        <v>0</v>
      </c>
      <c r="AD33" t="s">
        <v>912</v>
      </c>
      <c r="AE33" t="s">
        <v>850</v>
      </c>
      <c r="AF33" t="s">
        <v>1337</v>
      </c>
      <c r="AG33">
        <v>9</v>
      </c>
      <c r="AH33">
        <v>0</v>
      </c>
      <c r="AI33">
        <v>1</v>
      </c>
      <c r="AJ33">
        <v>8</v>
      </c>
      <c r="AK33">
        <v>0</v>
      </c>
      <c r="AL33">
        <v>0</v>
      </c>
      <c r="AM33">
        <v>1</v>
      </c>
      <c r="AN33">
        <v>150</v>
      </c>
      <c r="AO33">
        <v>6</v>
      </c>
      <c r="AP33" t="s">
        <v>534</v>
      </c>
      <c r="AQ33" t="s">
        <v>852</v>
      </c>
      <c r="AR33" s="4">
        <f t="shared" si="0"/>
        <v>24</v>
      </c>
      <c r="AS33">
        <v>1</v>
      </c>
      <c r="AT33" t="s">
        <v>1024</v>
      </c>
      <c r="AU33">
        <v>7</v>
      </c>
      <c r="AV33" t="s">
        <v>854</v>
      </c>
      <c r="AW33">
        <v>6</v>
      </c>
      <c r="AX33">
        <v>1</v>
      </c>
      <c r="BE33">
        <v>2</v>
      </c>
      <c r="BF33" t="s">
        <v>855</v>
      </c>
      <c r="BH33">
        <v>2</v>
      </c>
      <c r="BI33" t="s">
        <v>856</v>
      </c>
      <c r="BJ33">
        <v>11</v>
      </c>
      <c r="BK33">
        <v>8</v>
      </c>
      <c r="BL33">
        <v>19</v>
      </c>
      <c r="BM33" t="s">
        <v>857</v>
      </c>
      <c r="CD33">
        <v>7</v>
      </c>
      <c r="CF33">
        <v>2</v>
      </c>
      <c r="CH33">
        <v>1</v>
      </c>
      <c r="CI33">
        <v>4</v>
      </c>
      <c r="CJ33">
        <v>1</v>
      </c>
      <c r="CK33" s="4">
        <f t="shared" si="13"/>
        <v>7</v>
      </c>
      <c r="CL33">
        <v>5</v>
      </c>
      <c r="CM33">
        <v>1</v>
      </c>
      <c r="CO33">
        <v>1</v>
      </c>
      <c r="CP33">
        <v>1</v>
      </c>
      <c r="CR33">
        <v>3</v>
      </c>
      <c r="CS33">
        <v>9</v>
      </c>
      <c r="CT33" t="s">
        <v>856</v>
      </c>
      <c r="DC33">
        <v>4</v>
      </c>
      <c r="DD33" t="s">
        <v>858</v>
      </c>
      <c r="DG33">
        <v>2</v>
      </c>
      <c r="DH33" t="s">
        <v>859</v>
      </c>
      <c r="DO33" t="s">
        <v>1745</v>
      </c>
      <c r="DP33" t="s">
        <v>1746</v>
      </c>
      <c r="DQ33" t="s">
        <v>1747</v>
      </c>
      <c r="DR33" t="s">
        <v>1785</v>
      </c>
      <c r="DW33">
        <v>22</v>
      </c>
      <c r="DX33" t="s">
        <v>853</v>
      </c>
      <c r="DY33">
        <v>2024</v>
      </c>
      <c r="DZ33" t="s">
        <v>1338</v>
      </c>
      <c r="EA33" t="s">
        <v>1826</v>
      </c>
      <c r="EB33" t="s">
        <v>1827</v>
      </c>
      <c r="EC33" t="s">
        <v>1808</v>
      </c>
      <c r="ED33" t="s">
        <v>1828</v>
      </c>
      <c r="EE33" t="s">
        <v>1829</v>
      </c>
      <c r="EF33" t="s">
        <v>442</v>
      </c>
      <c r="EG33" t="s">
        <v>443</v>
      </c>
      <c r="EH33" t="s">
        <v>1343</v>
      </c>
      <c r="EI33" s="11" t="s">
        <v>1344</v>
      </c>
      <c r="EJ33" s="1" t="s">
        <v>883</v>
      </c>
      <c r="EK33" t="s">
        <v>1345</v>
      </c>
      <c r="EL33" s="11" t="s">
        <v>1346</v>
      </c>
      <c r="EM33" t="s">
        <v>873</v>
      </c>
      <c r="EN33" t="s">
        <v>1347</v>
      </c>
      <c r="EO33" s="11" t="s">
        <v>1348</v>
      </c>
      <c r="EP33" t="s">
        <v>867</v>
      </c>
      <c r="EQ33" t="s">
        <v>1349</v>
      </c>
      <c r="ER33" s="11" t="s">
        <v>1350</v>
      </c>
      <c r="ES33" t="s">
        <v>867</v>
      </c>
      <c r="ET33" t="s">
        <v>1352</v>
      </c>
      <c r="EU33" s="11" t="s">
        <v>1351</v>
      </c>
      <c r="EV33" t="s">
        <v>1141</v>
      </c>
      <c r="EW33" t="s">
        <v>1353</v>
      </c>
      <c r="EX33" s="11" t="s">
        <v>1354</v>
      </c>
      <c r="EY33" t="s">
        <v>867</v>
      </c>
      <c r="EZ33" t="s">
        <v>1355</v>
      </c>
      <c r="FA33" s="11" t="s">
        <v>1356</v>
      </c>
      <c r="FB33" t="s">
        <v>1302</v>
      </c>
      <c r="FC33" t="s">
        <v>1349</v>
      </c>
      <c r="FD33" s="11" t="s">
        <v>1357</v>
      </c>
      <c r="FE33" t="s">
        <v>867</v>
      </c>
      <c r="FF33" t="s">
        <v>1358</v>
      </c>
      <c r="FG33" s="11" t="s">
        <v>1359</v>
      </c>
      <c r="FH33" t="s">
        <v>873</v>
      </c>
      <c r="FI33" t="s">
        <v>1360</v>
      </c>
      <c r="FK33">
        <v>0</v>
      </c>
      <c r="FL33" s="4">
        <f t="shared" si="14"/>
        <v>0</v>
      </c>
      <c r="FN33">
        <v>0</v>
      </c>
      <c r="FO33" s="4">
        <f t="shared" si="15"/>
        <v>0</v>
      </c>
      <c r="FQ33">
        <v>0</v>
      </c>
      <c r="FR33" s="4">
        <f t="shared" si="16"/>
        <v>0</v>
      </c>
      <c r="FS33" t="s">
        <v>455</v>
      </c>
      <c r="FT33">
        <v>660</v>
      </c>
      <c r="FU33" s="4">
        <f t="shared" si="17"/>
        <v>4.3999999999999997E-2</v>
      </c>
      <c r="FV33" s="4">
        <f t="shared" si="18"/>
        <v>4.3999999999999997E-2</v>
      </c>
      <c r="FW33" s="4" t="str">
        <f t="shared" si="19"/>
        <v>ORDINARIO</v>
      </c>
      <c r="GD33" s="7" t="s">
        <v>842</v>
      </c>
      <c r="GE33" s="7" t="s">
        <v>842</v>
      </c>
      <c r="GF33" s="7" t="s">
        <v>842</v>
      </c>
      <c r="GG33" s="7" t="s">
        <v>842</v>
      </c>
      <c r="GH33" s="7" t="s">
        <v>842</v>
      </c>
      <c r="GI33" s="7" t="s">
        <v>842</v>
      </c>
      <c r="GJ33" s="7" t="s">
        <v>842</v>
      </c>
      <c r="GK33" s="7" t="s">
        <v>842</v>
      </c>
      <c r="GX33" s="7" t="s">
        <v>842</v>
      </c>
      <c r="HB33" s="7" t="s">
        <v>842</v>
      </c>
      <c r="HC33" s="7" t="s">
        <v>842</v>
      </c>
      <c r="HD33" s="7" t="s">
        <v>842</v>
      </c>
      <c r="HE33" s="7" t="s">
        <v>842</v>
      </c>
      <c r="HG33" s="7" t="s">
        <v>842</v>
      </c>
      <c r="HH33" s="7" t="s">
        <v>842</v>
      </c>
      <c r="HI33" s="7" t="s">
        <v>842</v>
      </c>
      <c r="HJ33" s="7" t="s">
        <v>842</v>
      </c>
      <c r="HL33" s="7" t="s">
        <v>842</v>
      </c>
      <c r="HM33" s="7" t="s">
        <v>842</v>
      </c>
      <c r="HN33" s="7" t="s">
        <v>842</v>
      </c>
      <c r="HO33" s="7" t="s">
        <v>842</v>
      </c>
      <c r="HS33" s="7" t="s">
        <v>842</v>
      </c>
      <c r="HT33" s="7" t="s">
        <v>842</v>
      </c>
      <c r="HU33" s="7" t="s">
        <v>842</v>
      </c>
      <c r="HV33" s="7" t="s">
        <v>842</v>
      </c>
      <c r="HW33" s="7" t="s">
        <v>842</v>
      </c>
      <c r="HX33" s="7" t="s">
        <v>842</v>
      </c>
      <c r="HY33" s="7" t="s">
        <v>842</v>
      </c>
      <c r="HZ33" s="7" t="s">
        <v>842</v>
      </c>
      <c r="IA33" s="7" t="s">
        <v>842</v>
      </c>
      <c r="IB33" s="7" t="s">
        <v>842</v>
      </c>
      <c r="ID33" s="7" t="s">
        <v>842</v>
      </c>
      <c r="IF33" s="7" t="s">
        <v>842</v>
      </c>
      <c r="IG33" s="7" t="s">
        <v>842</v>
      </c>
      <c r="IK33" s="7" t="s">
        <v>842</v>
      </c>
      <c r="IM33" s="7" t="s">
        <v>842</v>
      </c>
      <c r="IN33" s="7" t="s">
        <v>842</v>
      </c>
      <c r="IO33" s="7" t="s">
        <v>842</v>
      </c>
      <c r="IP33" s="7" t="s">
        <v>842</v>
      </c>
      <c r="IQ33" s="7" t="s">
        <v>842</v>
      </c>
      <c r="IR33" s="7" t="s">
        <v>842</v>
      </c>
      <c r="IS33" s="7" t="s">
        <v>842</v>
      </c>
      <c r="IU33" s="7" t="s">
        <v>842</v>
      </c>
      <c r="IV33" s="7" t="s">
        <v>842</v>
      </c>
      <c r="JB33" s="7" t="s">
        <v>842</v>
      </c>
      <c r="JE33" s="7" t="s">
        <v>842</v>
      </c>
      <c r="JF33" s="7" t="s">
        <v>842</v>
      </c>
      <c r="JG33" s="7" t="s">
        <v>842</v>
      </c>
      <c r="JH33" s="7" t="s">
        <v>842</v>
      </c>
      <c r="JI33" s="7" t="s">
        <v>842</v>
      </c>
      <c r="JJ33" s="7" t="s">
        <v>842</v>
      </c>
      <c r="JM33" s="7" t="s">
        <v>842</v>
      </c>
      <c r="JN33" s="7" t="s">
        <v>842</v>
      </c>
      <c r="JO33" s="7" t="s">
        <v>842</v>
      </c>
      <c r="JP33" s="7" t="s">
        <v>842</v>
      </c>
      <c r="JQ33" s="7" t="s">
        <v>842</v>
      </c>
      <c r="JR33" s="7" t="s">
        <v>842</v>
      </c>
      <c r="JS33" s="7" t="s">
        <v>842</v>
      </c>
      <c r="JT33" s="7" t="s">
        <v>842</v>
      </c>
      <c r="JU33" s="7" t="s">
        <v>842</v>
      </c>
      <c r="JW33" s="7" t="s">
        <v>842</v>
      </c>
      <c r="JZ33" s="7" t="s">
        <v>842</v>
      </c>
      <c r="KB33" s="7" t="s">
        <v>842</v>
      </c>
      <c r="KC33" s="7" t="s">
        <v>842</v>
      </c>
    </row>
    <row r="34" spans="1:322" x14ac:dyDescent="0.3">
      <c r="A34">
        <v>32</v>
      </c>
      <c r="B34" t="s">
        <v>842</v>
      </c>
      <c r="C34" t="s">
        <v>947</v>
      </c>
      <c r="D34" s="1" t="s">
        <v>843</v>
      </c>
      <c r="E34" t="s">
        <v>844</v>
      </c>
      <c r="G34" t="s">
        <v>845</v>
      </c>
      <c r="H34" t="s">
        <v>846</v>
      </c>
      <c r="I34" t="s">
        <v>847</v>
      </c>
      <c r="J34">
        <v>113</v>
      </c>
      <c r="K34" t="s">
        <v>848</v>
      </c>
      <c r="L34" t="s">
        <v>422</v>
      </c>
      <c r="M34" t="s">
        <v>424</v>
      </c>
      <c r="N34" t="s">
        <v>424</v>
      </c>
      <c r="O34">
        <v>72000</v>
      </c>
      <c r="P34">
        <v>2222320040</v>
      </c>
      <c r="R34">
        <v>90</v>
      </c>
      <c r="S34" t="s">
        <v>1830</v>
      </c>
      <c r="T34" t="s">
        <v>1798</v>
      </c>
      <c r="U34" t="s">
        <v>1867</v>
      </c>
      <c r="V34">
        <v>1398.08</v>
      </c>
      <c r="W34">
        <v>1627.18</v>
      </c>
      <c r="X34">
        <v>1</v>
      </c>
      <c r="Y34" t="s">
        <v>1831</v>
      </c>
      <c r="Z34">
        <v>1</v>
      </c>
      <c r="AA34">
        <v>1</v>
      </c>
      <c r="AB34">
        <v>1</v>
      </c>
      <c r="AC34">
        <v>0</v>
      </c>
      <c r="AD34" t="s">
        <v>849</v>
      </c>
      <c r="AE34" t="s">
        <v>850</v>
      </c>
      <c r="AF34" t="s">
        <v>851</v>
      </c>
      <c r="AG34">
        <v>23</v>
      </c>
      <c r="AH34">
        <v>0</v>
      </c>
      <c r="AI34">
        <v>6</v>
      </c>
      <c r="AJ34">
        <v>17</v>
      </c>
      <c r="AK34">
        <v>0</v>
      </c>
      <c r="AL34">
        <v>0</v>
      </c>
      <c r="AM34">
        <v>1</v>
      </c>
      <c r="AN34">
        <v>400</v>
      </c>
      <c r="AO34">
        <v>6</v>
      </c>
      <c r="AP34" t="s">
        <v>534</v>
      </c>
      <c r="AQ34" t="s">
        <v>852</v>
      </c>
      <c r="AR34" s="4">
        <f t="shared" si="0"/>
        <v>23</v>
      </c>
      <c r="AS34">
        <v>2</v>
      </c>
      <c r="AT34" t="s">
        <v>1024</v>
      </c>
      <c r="AU34">
        <v>8</v>
      </c>
      <c r="AV34" t="s">
        <v>854</v>
      </c>
      <c r="AW34">
        <v>7</v>
      </c>
      <c r="AX34">
        <v>1</v>
      </c>
      <c r="BE34">
        <v>2</v>
      </c>
      <c r="BF34" t="s">
        <v>855</v>
      </c>
      <c r="BH34">
        <v>2</v>
      </c>
      <c r="BI34" t="s">
        <v>856</v>
      </c>
      <c r="BJ34">
        <v>8</v>
      </c>
      <c r="BK34">
        <v>11</v>
      </c>
      <c r="BL34">
        <v>19</v>
      </c>
      <c r="BM34" t="s">
        <v>857</v>
      </c>
      <c r="CD34">
        <v>7</v>
      </c>
      <c r="CF34">
        <v>2</v>
      </c>
      <c r="CI34">
        <v>2</v>
      </c>
      <c r="CJ34">
        <v>1</v>
      </c>
      <c r="CK34" s="4">
        <f t="shared" si="13"/>
        <v>6</v>
      </c>
      <c r="CL34">
        <v>4</v>
      </c>
      <c r="CM34">
        <v>1</v>
      </c>
      <c r="CO34">
        <v>1</v>
      </c>
      <c r="CP34">
        <v>1</v>
      </c>
      <c r="CR34">
        <v>5</v>
      </c>
      <c r="CS34">
        <v>7</v>
      </c>
      <c r="CT34" t="s">
        <v>856</v>
      </c>
      <c r="DC34">
        <v>4</v>
      </c>
      <c r="DD34" t="s">
        <v>858</v>
      </c>
      <c r="DG34">
        <v>2</v>
      </c>
      <c r="DH34" t="s">
        <v>859</v>
      </c>
      <c r="DO34" t="s">
        <v>1745</v>
      </c>
      <c r="DP34" t="s">
        <v>1746</v>
      </c>
      <c r="DQ34" t="s">
        <v>1747</v>
      </c>
      <c r="DR34" t="s">
        <v>1753</v>
      </c>
      <c r="DW34">
        <v>9</v>
      </c>
      <c r="DX34" t="s">
        <v>853</v>
      </c>
      <c r="DY34">
        <v>2024</v>
      </c>
      <c r="DZ34" t="s">
        <v>1339</v>
      </c>
      <c r="EA34" t="s">
        <v>1832</v>
      </c>
      <c r="EB34" t="s">
        <v>1833</v>
      </c>
      <c r="EC34" t="s">
        <v>1834</v>
      </c>
      <c r="ED34" t="s">
        <v>1834</v>
      </c>
      <c r="EE34" t="s">
        <v>1835</v>
      </c>
      <c r="EF34" t="s">
        <v>442</v>
      </c>
      <c r="EG34" t="s">
        <v>443</v>
      </c>
      <c r="EH34" t="s">
        <v>860</v>
      </c>
      <c r="EI34" s="11" t="s">
        <v>861</v>
      </c>
      <c r="EJ34" t="s">
        <v>1229</v>
      </c>
      <c r="EK34" t="s">
        <v>862</v>
      </c>
      <c r="EL34" s="11" t="s">
        <v>863</v>
      </c>
      <c r="EM34" t="s">
        <v>864</v>
      </c>
      <c r="EN34" t="s">
        <v>865</v>
      </c>
      <c r="EO34" s="11" t="s">
        <v>866</v>
      </c>
      <c r="EP34" t="s">
        <v>867</v>
      </c>
      <c r="EQ34" t="s">
        <v>868</v>
      </c>
      <c r="ER34" s="11" t="s">
        <v>869</v>
      </c>
      <c r="ES34" t="s">
        <v>870</v>
      </c>
      <c r="ET34" t="s">
        <v>871</v>
      </c>
      <c r="EU34" s="11" t="s">
        <v>872</v>
      </c>
      <c r="EV34" t="s">
        <v>873</v>
      </c>
      <c r="EW34" t="s">
        <v>874</v>
      </c>
      <c r="EX34" s="11" t="s">
        <v>875</v>
      </c>
      <c r="EY34" t="s">
        <v>876</v>
      </c>
      <c r="EZ34" t="s">
        <v>877</v>
      </c>
      <c r="FA34" s="11" t="s">
        <v>878</v>
      </c>
      <c r="FB34" t="s">
        <v>867</v>
      </c>
      <c r="FC34" t="s">
        <v>879</v>
      </c>
      <c r="FD34" s="11" t="s">
        <v>880</v>
      </c>
      <c r="FE34" t="s">
        <v>873</v>
      </c>
      <c r="FF34" t="s">
        <v>881</v>
      </c>
      <c r="FG34" s="11" t="s">
        <v>882</v>
      </c>
      <c r="FH34" t="s">
        <v>883</v>
      </c>
      <c r="FI34" t="s">
        <v>884</v>
      </c>
      <c r="FK34">
        <v>0</v>
      </c>
      <c r="FL34" s="4">
        <f t="shared" si="14"/>
        <v>0</v>
      </c>
      <c r="FN34">
        <v>0</v>
      </c>
      <c r="FO34" s="4">
        <f t="shared" si="15"/>
        <v>0</v>
      </c>
      <c r="FQ34">
        <v>0</v>
      </c>
      <c r="FR34" s="4">
        <f t="shared" si="16"/>
        <v>0</v>
      </c>
      <c r="FS34" t="s">
        <v>455</v>
      </c>
      <c r="FT34">
        <v>1620</v>
      </c>
      <c r="FU34" s="4">
        <f t="shared" si="17"/>
        <v>0.108</v>
      </c>
      <c r="FV34" s="4">
        <f t="shared" si="18"/>
        <v>0.108</v>
      </c>
      <c r="FW34" s="4" t="str">
        <f t="shared" si="19"/>
        <v>ORDINARIO</v>
      </c>
      <c r="FX34" t="s">
        <v>885</v>
      </c>
      <c r="FY34" t="s">
        <v>870</v>
      </c>
      <c r="FZ34" t="s">
        <v>886</v>
      </c>
      <c r="GA34" t="s">
        <v>887</v>
      </c>
      <c r="GB34" t="s">
        <v>876</v>
      </c>
      <c r="GC34" t="s">
        <v>888</v>
      </c>
      <c r="GD34" s="7" t="s">
        <v>842</v>
      </c>
      <c r="GE34" s="7" t="s">
        <v>842</v>
      </c>
      <c r="GF34" s="7" t="s">
        <v>842</v>
      </c>
      <c r="GG34" s="7" t="s">
        <v>842</v>
      </c>
      <c r="GH34" s="7" t="s">
        <v>842</v>
      </c>
      <c r="GI34" s="7" t="s">
        <v>842</v>
      </c>
      <c r="GJ34" s="7" t="s">
        <v>842</v>
      </c>
      <c r="GK34" s="7" t="s">
        <v>842</v>
      </c>
      <c r="GX34" s="7" t="s">
        <v>842</v>
      </c>
      <c r="HB34" s="7" t="s">
        <v>842</v>
      </c>
      <c r="HC34" s="7" t="s">
        <v>842</v>
      </c>
      <c r="HD34" s="7" t="s">
        <v>842</v>
      </c>
      <c r="HE34" s="7" t="s">
        <v>842</v>
      </c>
      <c r="HG34" s="7" t="s">
        <v>842</v>
      </c>
      <c r="HH34" s="7" t="s">
        <v>842</v>
      </c>
      <c r="HI34" s="7" t="s">
        <v>842</v>
      </c>
      <c r="HJ34" s="7" t="s">
        <v>842</v>
      </c>
      <c r="HK34" s="7" t="s">
        <v>842</v>
      </c>
      <c r="HL34" s="7" t="s">
        <v>842</v>
      </c>
      <c r="HM34" s="7" t="s">
        <v>842</v>
      </c>
      <c r="HN34" s="7" t="s">
        <v>842</v>
      </c>
      <c r="HO34" s="7" t="s">
        <v>842</v>
      </c>
      <c r="HS34" s="7" t="s">
        <v>842</v>
      </c>
      <c r="HT34" s="7" t="s">
        <v>842</v>
      </c>
      <c r="HU34" s="7" t="s">
        <v>842</v>
      </c>
      <c r="HV34" s="7" t="s">
        <v>842</v>
      </c>
      <c r="HW34" s="7" t="s">
        <v>842</v>
      </c>
      <c r="HX34" s="7" t="s">
        <v>842</v>
      </c>
      <c r="HY34" s="7" t="s">
        <v>842</v>
      </c>
      <c r="HZ34" s="7" t="s">
        <v>842</v>
      </c>
      <c r="IA34" s="7" t="s">
        <v>842</v>
      </c>
      <c r="IB34" s="7" t="s">
        <v>842</v>
      </c>
      <c r="ID34" s="7" t="s">
        <v>842</v>
      </c>
      <c r="IF34" s="7" t="s">
        <v>842</v>
      </c>
      <c r="IG34" s="7" t="s">
        <v>842</v>
      </c>
      <c r="IK34" s="7" t="s">
        <v>842</v>
      </c>
      <c r="IM34" s="7" t="s">
        <v>842</v>
      </c>
      <c r="IN34" s="7" t="s">
        <v>842</v>
      </c>
      <c r="IO34" s="7" t="s">
        <v>842</v>
      </c>
      <c r="IP34" s="7" t="s">
        <v>842</v>
      </c>
      <c r="IQ34" s="7" t="s">
        <v>842</v>
      </c>
      <c r="IR34" s="7" t="s">
        <v>842</v>
      </c>
      <c r="IS34" s="7" t="s">
        <v>842</v>
      </c>
      <c r="IU34" s="7" t="s">
        <v>842</v>
      </c>
      <c r="IV34" s="7" t="s">
        <v>842</v>
      </c>
      <c r="JB34" s="7" t="s">
        <v>842</v>
      </c>
      <c r="JE34" s="7" t="s">
        <v>842</v>
      </c>
      <c r="JF34" s="7" t="s">
        <v>842</v>
      </c>
      <c r="JG34" s="7" t="s">
        <v>842</v>
      </c>
      <c r="JH34" s="7" t="s">
        <v>842</v>
      </c>
      <c r="JI34" s="7" t="s">
        <v>842</v>
      </c>
      <c r="JJ34" s="7" t="s">
        <v>842</v>
      </c>
      <c r="JM34" s="7" t="s">
        <v>842</v>
      </c>
      <c r="JN34" s="7" t="s">
        <v>842</v>
      </c>
      <c r="JO34" s="7" t="s">
        <v>842</v>
      </c>
      <c r="JP34" s="7" t="s">
        <v>842</v>
      </c>
      <c r="JQ34" s="7" t="s">
        <v>842</v>
      </c>
      <c r="JR34" s="7" t="s">
        <v>842</v>
      </c>
      <c r="JS34" s="7" t="s">
        <v>842</v>
      </c>
      <c r="JT34" s="7" t="s">
        <v>842</v>
      </c>
      <c r="JU34" s="7" t="s">
        <v>842</v>
      </c>
      <c r="JW34" s="7" t="s">
        <v>842</v>
      </c>
      <c r="JZ34" s="7" t="s">
        <v>842</v>
      </c>
      <c r="KB34" s="7" t="s">
        <v>842</v>
      </c>
      <c r="KC34" s="7" t="s">
        <v>842</v>
      </c>
      <c r="KD34" t="s">
        <v>889</v>
      </c>
      <c r="KE34" t="s">
        <v>876</v>
      </c>
      <c r="KF34" t="s">
        <v>890</v>
      </c>
      <c r="KG34" t="s">
        <v>891</v>
      </c>
      <c r="KH34" t="s">
        <v>876</v>
      </c>
      <c r="KI34" t="s">
        <v>892</v>
      </c>
      <c r="KJ34" t="s">
        <v>893</v>
      </c>
      <c r="KK34" t="s">
        <v>864</v>
      </c>
      <c r="KL34" t="s">
        <v>894</v>
      </c>
      <c r="KM34" t="s">
        <v>895</v>
      </c>
      <c r="KN34" t="s">
        <v>867</v>
      </c>
      <c r="KO34" t="s">
        <v>896</v>
      </c>
      <c r="KP34" t="s">
        <v>897</v>
      </c>
      <c r="KQ34" t="s">
        <v>867</v>
      </c>
      <c r="KR34" t="s">
        <v>898</v>
      </c>
      <c r="KS34" t="s">
        <v>899</v>
      </c>
      <c r="KT34" t="s">
        <v>867</v>
      </c>
      <c r="KU34" t="s">
        <v>900</v>
      </c>
      <c r="KV34" t="s">
        <v>901</v>
      </c>
      <c r="KW34" t="s">
        <v>867</v>
      </c>
      <c r="KX34" t="s">
        <v>902</v>
      </c>
      <c r="KY34" t="s">
        <v>903</v>
      </c>
      <c r="KZ34" t="s">
        <v>867</v>
      </c>
      <c r="LA34" t="s">
        <v>904</v>
      </c>
      <c r="LB34" t="s">
        <v>905</v>
      </c>
      <c r="LC34" t="s">
        <v>867</v>
      </c>
      <c r="LD34" t="s">
        <v>906</v>
      </c>
      <c r="LE34" t="s">
        <v>907</v>
      </c>
      <c r="LF34" t="s">
        <v>873</v>
      </c>
      <c r="LG34" t="s">
        <v>908</v>
      </c>
      <c r="LH34" t="s">
        <v>909</v>
      </c>
      <c r="LI34" t="s">
        <v>873</v>
      </c>
      <c r="LJ34" t="s">
        <v>910</v>
      </c>
    </row>
    <row r="35" spans="1:322" x14ac:dyDescent="0.3">
      <c r="A35">
        <v>33</v>
      </c>
      <c r="B35" t="s">
        <v>842</v>
      </c>
      <c r="C35" t="s">
        <v>947</v>
      </c>
      <c r="D35" s="1" t="s">
        <v>1539</v>
      </c>
      <c r="E35" t="s">
        <v>844</v>
      </c>
      <c r="G35" t="s">
        <v>845</v>
      </c>
      <c r="H35" t="s">
        <v>846</v>
      </c>
      <c r="I35" t="s">
        <v>1540</v>
      </c>
      <c r="J35">
        <v>1504</v>
      </c>
      <c r="K35" t="s">
        <v>1541</v>
      </c>
      <c r="L35" t="s">
        <v>1542</v>
      </c>
      <c r="M35" t="s">
        <v>1492</v>
      </c>
      <c r="N35" t="s">
        <v>424</v>
      </c>
      <c r="O35">
        <v>72825</v>
      </c>
      <c r="P35">
        <v>2224323555</v>
      </c>
      <c r="Q35" s="3" t="s">
        <v>1543</v>
      </c>
      <c r="R35">
        <v>2</v>
      </c>
      <c r="S35" t="s">
        <v>1836</v>
      </c>
      <c r="T35" t="s">
        <v>1798</v>
      </c>
      <c r="U35" t="s">
        <v>1799</v>
      </c>
      <c r="V35">
        <v>360</v>
      </c>
      <c r="W35">
        <v>360</v>
      </c>
      <c r="X35">
        <v>1</v>
      </c>
      <c r="Y35" t="s">
        <v>1831</v>
      </c>
      <c r="Z35">
        <v>1</v>
      </c>
      <c r="AA35">
        <v>1</v>
      </c>
      <c r="AB35">
        <v>0</v>
      </c>
      <c r="AC35">
        <v>0</v>
      </c>
      <c r="AD35" t="s">
        <v>912</v>
      </c>
      <c r="AE35" t="s">
        <v>850</v>
      </c>
      <c r="AF35" t="s">
        <v>1545</v>
      </c>
      <c r="AG35">
        <v>18</v>
      </c>
      <c r="AH35">
        <v>0</v>
      </c>
      <c r="AI35">
        <v>6</v>
      </c>
      <c r="AJ35">
        <v>12</v>
      </c>
      <c r="AK35">
        <v>0</v>
      </c>
      <c r="AL35">
        <v>0</v>
      </c>
      <c r="AM35">
        <v>1</v>
      </c>
      <c r="AN35">
        <v>100</v>
      </c>
      <c r="AO35">
        <v>6</v>
      </c>
      <c r="AP35" t="s">
        <v>534</v>
      </c>
      <c r="AQ35" t="s">
        <v>852</v>
      </c>
      <c r="AR35" s="4">
        <f t="shared" ref="AR35:AR66" si="20">+AS35+AU35+BE35+CD35+CE35+CF35+CG35+CH35+CI35+CW35</f>
        <v>22</v>
      </c>
      <c r="AS35">
        <v>2</v>
      </c>
      <c r="AT35" t="s">
        <v>1024</v>
      </c>
      <c r="AU35">
        <v>7</v>
      </c>
      <c r="AV35" t="s">
        <v>854</v>
      </c>
      <c r="AW35">
        <v>6</v>
      </c>
      <c r="AX35">
        <v>1</v>
      </c>
      <c r="BE35">
        <v>1</v>
      </c>
      <c r="BF35" t="s">
        <v>855</v>
      </c>
      <c r="BH35">
        <v>1</v>
      </c>
      <c r="BI35" t="s">
        <v>856</v>
      </c>
      <c r="BJ35">
        <v>6</v>
      </c>
      <c r="BK35">
        <v>13</v>
      </c>
      <c r="BL35">
        <v>19</v>
      </c>
      <c r="BM35" t="s">
        <v>857</v>
      </c>
      <c r="CD35">
        <v>5</v>
      </c>
      <c r="CF35">
        <v>1</v>
      </c>
      <c r="CG35">
        <v>2</v>
      </c>
      <c r="CH35">
        <v>1</v>
      </c>
      <c r="CI35">
        <v>3</v>
      </c>
      <c r="CJ35">
        <v>4</v>
      </c>
      <c r="CK35" s="4">
        <f t="shared" si="13"/>
        <v>3</v>
      </c>
      <c r="CL35">
        <v>1</v>
      </c>
      <c r="CM35">
        <v>1</v>
      </c>
      <c r="CO35">
        <v>1</v>
      </c>
      <c r="CP35">
        <v>1</v>
      </c>
      <c r="CR35">
        <v>2</v>
      </c>
      <c r="CS35">
        <v>3</v>
      </c>
      <c r="CT35" t="s">
        <v>856</v>
      </c>
      <c r="DC35">
        <v>4</v>
      </c>
      <c r="DD35" t="s">
        <v>858</v>
      </c>
      <c r="DG35">
        <v>2</v>
      </c>
      <c r="DH35" t="s">
        <v>859</v>
      </c>
      <c r="DO35" t="s">
        <v>1745</v>
      </c>
      <c r="DP35" t="s">
        <v>1746</v>
      </c>
      <c r="DQ35" t="s">
        <v>1747</v>
      </c>
      <c r="DR35" t="s">
        <v>1753</v>
      </c>
      <c r="DW35">
        <v>29</v>
      </c>
      <c r="DX35" t="s">
        <v>853</v>
      </c>
      <c r="DY35">
        <v>2024</v>
      </c>
      <c r="DZ35" t="s">
        <v>1544</v>
      </c>
      <c r="EA35" t="s">
        <v>1837</v>
      </c>
      <c r="EB35" t="s">
        <v>1837</v>
      </c>
      <c r="EC35" t="s">
        <v>440</v>
      </c>
      <c r="ED35" t="s">
        <v>440</v>
      </c>
      <c r="EE35" t="s">
        <v>1838</v>
      </c>
      <c r="EF35" t="s">
        <v>442</v>
      </c>
      <c r="EG35" t="s">
        <v>443</v>
      </c>
      <c r="EH35" t="s">
        <v>1546</v>
      </c>
      <c r="EI35" s="11" t="s">
        <v>1547</v>
      </c>
      <c r="EJ35" s="1" t="s">
        <v>864</v>
      </c>
      <c r="EK35" t="s">
        <v>1548</v>
      </c>
      <c r="EL35" s="11" t="s">
        <v>1549</v>
      </c>
      <c r="EM35" t="s">
        <v>1318</v>
      </c>
      <c r="EN35" t="s">
        <v>1550</v>
      </c>
      <c r="EO35" s="11" t="s">
        <v>1551</v>
      </c>
      <c r="EP35" t="s">
        <v>1318</v>
      </c>
      <c r="EQ35" t="s">
        <v>1552</v>
      </c>
      <c r="ER35" s="11" t="s">
        <v>1559</v>
      </c>
      <c r="ES35" t="s">
        <v>873</v>
      </c>
      <c r="ET35" t="s">
        <v>1560</v>
      </c>
      <c r="EU35" s="11" t="s">
        <v>1553</v>
      </c>
      <c r="EV35" t="s">
        <v>873</v>
      </c>
      <c r="EW35" t="s">
        <v>1554</v>
      </c>
      <c r="EX35" s="11" t="s">
        <v>1555</v>
      </c>
      <c r="EY35" t="s">
        <v>873</v>
      </c>
      <c r="EZ35" t="s">
        <v>1556</v>
      </c>
      <c r="FA35" s="11" t="s">
        <v>1557</v>
      </c>
      <c r="FB35" t="s">
        <v>867</v>
      </c>
      <c r="FC35" t="s">
        <v>1558</v>
      </c>
      <c r="FD35" s="11" t="s">
        <v>1561</v>
      </c>
      <c r="FE35" t="s">
        <v>870</v>
      </c>
      <c r="FF35" t="s">
        <v>1562</v>
      </c>
      <c r="FG35" s="11" t="s">
        <v>1563</v>
      </c>
      <c r="FH35" t="s">
        <v>867</v>
      </c>
      <c r="FI35" t="s">
        <v>1564</v>
      </c>
      <c r="FK35">
        <v>0</v>
      </c>
      <c r="FL35" s="4">
        <f t="shared" si="14"/>
        <v>0</v>
      </c>
      <c r="FN35">
        <v>0</v>
      </c>
      <c r="FO35" s="4">
        <f t="shared" si="15"/>
        <v>0</v>
      </c>
      <c r="FQ35">
        <v>0</v>
      </c>
      <c r="FR35" s="4">
        <f t="shared" si="16"/>
        <v>0</v>
      </c>
      <c r="FS35" t="s">
        <v>455</v>
      </c>
      <c r="FT35">
        <v>1080</v>
      </c>
      <c r="FU35" s="4">
        <f t="shared" si="17"/>
        <v>7.1999999999999995E-2</v>
      </c>
      <c r="FV35" s="4">
        <f t="shared" si="18"/>
        <v>7.1999999999999995E-2</v>
      </c>
      <c r="FW35" s="4" t="str">
        <f t="shared" si="19"/>
        <v>ORDINARIO</v>
      </c>
      <c r="FX35" t="s">
        <v>1565</v>
      </c>
      <c r="FY35" t="s">
        <v>867</v>
      </c>
      <c r="FZ35" t="s">
        <v>1566</v>
      </c>
      <c r="GA35" t="s">
        <v>1567</v>
      </c>
      <c r="GB35" t="s">
        <v>867</v>
      </c>
      <c r="GC35" t="s">
        <v>1568</v>
      </c>
      <c r="GD35" s="7" t="s">
        <v>842</v>
      </c>
      <c r="GE35" s="7" t="s">
        <v>842</v>
      </c>
      <c r="GF35" s="7" t="s">
        <v>842</v>
      </c>
      <c r="GG35" s="7" t="s">
        <v>842</v>
      </c>
      <c r="GH35" s="7" t="s">
        <v>842</v>
      </c>
      <c r="GI35" s="7" t="s">
        <v>842</v>
      </c>
      <c r="GJ35" s="7" t="s">
        <v>842</v>
      </c>
      <c r="GK35" s="7" t="s">
        <v>842</v>
      </c>
      <c r="GX35" s="7" t="s">
        <v>842</v>
      </c>
      <c r="HB35" s="7" t="s">
        <v>842</v>
      </c>
      <c r="HC35" t="s">
        <v>842</v>
      </c>
      <c r="HD35" t="s">
        <v>842</v>
      </c>
      <c r="HE35" s="7" t="s">
        <v>842</v>
      </c>
      <c r="HG35" s="7" t="s">
        <v>842</v>
      </c>
      <c r="HH35" s="7" t="s">
        <v>842</v>
      </c>
      <c r="HI35" s="7" t="s">
        <v>842</v>
      </c>
      <c r="HJ35" s="7" t="s">
        <v>842</v>
      </c>
      <c r="HL35" t="s">
        <v>842</v>
      </c>
      <c r="HM35" s="7" t="s">
        <v>842</v>
      </c>
      <c r="HN35" s="7" t="s">
        <v>842</v>
      </c>
      <c r="HO35" s="7" t="s">
        <v>842</v>
      </c>
      <c r="HS35" s="7" t="s">
        <v>842</v>
      </c>
      <c r="HT35" s="7" t="s">
        <v>842</v>
      </c>
      <c r="HU35" s="7" t="s">
        <v>842</v>
      </c>
      <c r="HV35" s="7" t="s">
        <v>842</v>
      </c>
      <c r="HW35" s="7" t="s">
        <v>842</v>
      </c>
      <c r="HX35" s="7" t="s">
        <v>842</v>
      </c>
      <c r="HY35" s="7" t="s">
        <v>842</v>
      </c>
      <c r="HZ35" s="7" t="s">
        <v>842</v>
      </c>
      <c r="IA35" s="7" t="s">
        <v>842</v>
      </c>
      <c r="IB35" s="7" t="s">
        <v>842</v>
      </c>
      <c r="ID35" s="7" t="s">
        <v>842</v>
      </c>
      <c r="IE35" t="s">
        <v>842</v>
      </c>
      <c r="IF35" s="7" t="s">
        <v>842</v>
      </c>
      <c r="IG35" s="7" t="s">
        <v>842</v>
      </c>
      <c r="IK35" s="7" t="s">
        <v>842</v>
      </c>
      <c r="IM35" s="7" t="s">
        <v>842</v>
      </c>
      <c r="IN35" s="7" t="s">
        <v>842</v>
      </c>
      <c r="IO35" s="7" t="s">
        <v>842</v>
      </c>
      <c r="IP35" s="7" t="s">
        <v>842</v>
      </c>
      <c r="IQ35" s="7" t="s">
        <v>842</v>
      </c>
      <c r="IR35" s="7" t="s">
        <v>842</v>
      </c>
      <c r="IS35" s="7" t="s">
        <v>842</v>
      </c>
      <c r="IU35" s="7" t="s">
        <v>842</v>
      </c>
      <c r="IV35" t="s">
        <v>842</v>
      </c>
      <c r="JB35" s="7" t="s">
        <v>842</v>
      </c>
      <c r="JE35" s="7" t="s">
        <v>842</v>
      </c>
      <c r="JF35" s="7" t="s">
        <v>842</v>
      </c>
      <c r="JG35" t="s">
        <v>842</v>
      </c>
      <c r="JH35" s="7" t="s">
        <v>842</v>
      </c>
      <c r="JI35" s="7" t="s">
        <v>842</v>
      </c>
      <c r="JJ35" s="7" t="s">
        <v>842</v>
      </c>
      <c r="JM35" s="7" t="s">
        <v>842</v>
      </c>
      <c r="JN35" s="7" t="s">
        <v>842</v>
      </c>
      <c r="JO35" s="7" t="s">
        <v>842</v>
      </c>
      <c r="JP35" s="7" t="s">
        <v>842</v>
      </c>
      <c r="JQ35" s="7" t="s">
        <v>842</v>
      </c>
      <c r="JR35" s="7" t="s">
        <v>842</v>
      </c>
      <c r="JS35" s="7" t="s">
        <v>842</v>
      </c>
      <c r="JT35" s="7" t="s">
        <v>842</v>
      </c>
      <c r="JU35" s="7" t="s">
        <v>842</v>
      </c>
      <c r="JW35" s="7" t="s">
        <v>842</v>
      </c>
      <c r="JZ35" s="7" t="s">
        <v>842</v>
      </c>
      <c r="KB35" s="7" t="s">
        <v>842</v>
      </c>
      <c r="KC35" t="s">
        <v>842</v>
      </c>
      <c r="KD35" t="s">
        <v>1569</v>
      </c>
      <c r="KE35" t="s">
        <v>867</v>
      </c>
      <c r="KF35" t="s">
        <v>1570</v>
      </c>
      <c r="KG35" t="s">
        <v>1571</v>
      </c>
      <c r="KH35" t="s">
        <v>867</v>
      </c>
      <c r="KI35" t="s">
        <v>1572</v>
      </c>
      <c r="KJ35" t="s">
        <v>1573</v>
      </c>
      <c r="KK35" t="s">
        <v>883</v>
      </c>
      <c r="KL35" t="s">
        <v>1574</v>
      </c>
      <c r="KM35" t="s">
        <v>1575</v>
      </c>
      <c r="KN35" t="s">
        <v>867</v>
      </c>
      <c r="KO35" t="s">
        <v>1576</v>
      </c>
      <c r="KP35" t="s">
        <v>1577</v>
      </c>
      <c r="KQ35" t="s">
        <v>1229</v>
      </c>
      <c r="KR35" t="s">
        <v>1578</v>
      </c>
      <c r="KS35" t="s">
        <v>1579</v>
      </c>
      <c r="KT35" t="s">
        <v>867</v>
      </c>
      <c r="KU35" t="s">
        <v>1580</v>
      </c>
    </row>
    <row r="36" spans="1:322" x14ac:dyDescent="0.3">
      <c r="A36">
        <v>34</v>
      </c>
      <c r="B36" t="s">
        <v>842</v>
      </c>
      <c r="C36" t="s">
        <v>947</v>
      </c>
      <c r="D36" s="1" t="s">
        <v>1106</v>
      </c>
      <c r="E36" t="s">
        <v>844</v>
      </c>
      <c r="G36" t="s">
        <v>1107</v>
      </c>
      <c r="H36" t="s">
        <v>846</v>
      </c>
      <c r="I36" t="s">
        <v>1108</v>
      </c>
      <c r="J36">
        <v>3401</v>
      </c>
      <c r="K36" t="s">
        <v>1109</v>
      </c>
      <c r="L36" t="s">
        <v>422</v>
      </c>
      <c r="M36" t="s">
        <v>812</v>
      </c>
      <c r="N36" t="s">
        <v>424</v>
      </c>
      <c r="O36" s="6">
        <v>72750</v>
      </c>
      <c r="P36">
        <v>2222289701</v>
      </c>
      <c r="Q36" s="3" t="s">
        <v>1135</v>
      </c>
      <c r="R36">
        <v>12</v>
      </c>
      <c r="S36" t="s">
        <v>1839</v>
      </c>
      <c r="T36" t="s">
        <v>1791</v>
      </c>
      <c r="U36" t="s">
        <v>1792</v>
      </c>
      <c r="V36">
        <v>329.4</v>
      </c>
      <c r="W36">
        <v>329.4</v>
      </c>
      <c r="X36">
        <v>1</v>
      </c>
      <c r="Y36" t="s">
        <v>1831</v>
      </c>
      <c r="Z36">
        <v>1</v>
      </c>
      <c r="AA36">
        <v>1</v>
      </c>
      <c r="AB36">
        <v>0</v>
      </c>
      <c r="AC36">
        <v>0</v>
      </c>
      <c r="AD36" t="s">
        <v>912</v>
      </c>
      <c r="AE36" t="s">
        <v>850</v>
      </c>
      <c r="AF36" t="s">
        <v>1110</v>
      </c>
      <c r="AG36">
        <v>10</v>
      </c>
      <c r="AH36">
        <v>0</v>
      </c>
      <c r="AI36">
        <v>6</v>
      </c>
      <c r="AJ36">
        <v>4</v>
      </c>
      <c r="AK36">
        <v>0</v>
      </c>
      <c r="AL36">
        <v>0</v>
      </c>
      <c r="AM36">
        <v>1</v>
      </c>
      <c r="AN36">
        <v>200</v>
      </c>
      <c r="AO36">
        <v>6</v>
      </c>
      <c r="AP36" t="s">
        <v>534</v>
      </c>
      <c r="AQ36" t="s">
        <v>852</v>
      </c>
      <c r="AR36" s="4">
        <f t="shared" si="20"/>
        <v>20</v>
      </c>
      <c r="AS36">
        <v>1</v>
      </c>
      <c r="AT36" t="s">
        <v>1024</v>
      </c>
      <c r="AU36">
        <v>5</v>
      </c>
      <c r="AV36" t="s">
        <v>854</v>
      </c>
      <c r="AW36">
        <v>4</v>
      </c>
      <c r="AX36">
        <v>1</v>
      </c>
      <c r="BE36">
        <v>1</v>
      </c>
      <c r="BF36" t="s">
        <v>855</v>
      </c>
      <c r="BH36">
        <v>1</v>
      </c>
      <c r="BI36" t="s">
        <v>856</v>
      </c>
      <c r="BJ36">
        <v>4</v>
      </c>
      <c r="BK36">
        <v>5</v>
      </c>
      <c r="BL36">
        <v>9</v>
      </c>
      <c r="BM36" t="s">
        <v>857</v>
      </c>
      <c r="CD36">
        <v>7</v>
      </c>
      <c r="CF36">
        <v>2</v>
      </c>
      <c r="CH36">
        <v>1</v>
      </c>
      <c r="CI36">
        <v>3</v>
      </c>
      <c r="CJ36">
        <v>1</v>
      </c>
      <c r="CK36" s="4">
        <f t="shared" si="13"/>
        <v>6</v>
      </c>
      <c r="CL36">
        <v>4</v>
      </c>
      <c r="CM36">
        <v>1</v>
      </c>
      <c r="CO36">
        <v>1</v>
      </c>
      <c r="CP36">
        <v>1</v>
      </c>
      <c r="CR36">
        <v>2</v>
      </c>
      <c r="CS36">
        <v>4</v>
      </c>
      <c r="CT36" t="s">
        <v>856</v>
      </c>
      <c r="DC36">
        <v>4</v>
      </c>
      <c r="DD36" t="s">
        <v>858</v>
      </c>
      <c r="DG36">
        <v>2</v>
      </c>
      <c r="DH36" t="s">
        <v>859</v>
      </c>
      <c r="DO36" t="s">
        <v>1745</v>
      </c>
      <c r="DP36" t="s">
        <v>1746</v>
      </c>
      <c r="DQ36" t="s">
        <v>1747</v>
      </c>
      <c r="DR36" t="s">
        <v>1785</v>
      </c>
      <c r="DW36">
        <v>26</v>
      </c>
      <c r="DX36" t="s">
        <v>853</v>
      </c>
      <c r="DY36">
        <v>2024</v>
      </c>
      <c r="DZ36" t="s">
        <v>1371</v>
      </c>
      <c r="EA36" t="s">
        <v>1840</v>
      </c>
      <c r="EB36" t="s">
        <v>1841</v>
      </c>
      <c r="EC36" t="s">
        <v>1842</v>
      </c>
      <c r="ED36" t="s">
        <v>1843</v>
      </c>
      <c r="EF36" t="s">
        <v>442</v>
      </c>
      <c r="EG36" t="s">
        <v>443</v>
      </c>
      <c r="EH36" t="s">
        <v>1111</v>
      </c>
      <c r="EI36" s="11" t="s">
        <v>1112</v>
      </c>
      <c r="EJ36" t="s">
        <v>1229</v>
      </c>
      <c r="EK36" t="s">
        <v>1113</v>
      </c>
      <c r="EL36" s="11" t="s">
        <v>1114</v>
      </c>
      <c r="EM36" t="s">
        <v>867</v>
      </c>
      <c r="EN36" t="s">
        <v>1115</v>
      </c>
      <c r="EO36" s="11" t="s">
        <v>1116</v>
      </c>
      <c r="EP36" t="s">
        <v>867</v>
      </c>
      <c r="EQ36" t="s">
        <v>1117</v>
      </c>
      <c r="ER36" s="11" t="s">
        <v>1118</v>
      </c>
      <c r="ES36" t="s">
        <v>883</v>
      </c>
      <c r="ET36" t="s">
        <v>1119</v>
      </c>
      <c r="EU36" s="11" t="s">
        <v>1120</v>
      </c>
      <c r="EV36" t="s">
        <v>873</v>
      </c>
      <c r="EW36" t="s">
        <v>1121</v>
      </c>
      <c r="EX36" s="11" t="s">
        <v>1122</v>
      </c>
      <c r="EY36" t="s">
        <v>870</v>
      </c>
      <c r="EZ36" t="s">
        <v>1123</v>
      </c>
      <c r="FA36" s="11" t="s">
        <v>1124</v>
      </c>
      <c r="FB36" t="s">
        <v>873</v>
      </c>
      <c r="FC36" t="s">
        <v>1125</v>
      </c>
      <c r="FD36" s="11" t="s">
        <v>1126</v>
      </c>
      <c r="FE36" t="s">
        <v>870</v>
      </c>
      <c r="FF36" t="s">
        <v>1127</v>
      </c>
      <c r="FG36" s="11" t="s">
        <v>1128</v>
      </c>
      <c r="FH36" t="s">
        <v>873</v>
      </c>
      <c r="FI36" t="s">
        <v>1129</v>
      </c>
      <c r="FK36">
        <v>0</v>
      </c>
      <c r="FL36" s="4">
        <f t="shared" si="14"/>
        <v>0</v>
      </c>
      <c r="FN36">
        <v>0</v>
      </c>
      <c r="FO36" s="4">
        <f t="shared" si="15"/>
        <v>0</v>
      </c>
      <c r="FQ36">
        <v>29</v>
      </c>
      <c r="FR36" s="4">
        <f t="shared" si="16"/>
        <v>1.4500000000000001E-2</v>
      </c>
      <c r="FS36" t="s">
        <v>455</v>
      </c>
      <c r="FT36">
        <v>10000</v>
      </c>
      <c r="FU36" s="4">
        <f t="shared" si="17"/>
        <v>0.66666666666666663</v>
      </c>
      <c r="FV36" s="4">
        <f t="shared" si="18"/>
        <v>0.68116666666666659</v>
      </c>
      <c r="FW36" s="4" t="str">
        <f t="shared" si="19"/>
        <v>ORDINARIO</v>
      </c>
      <c r="GD36" s="7" t="s">
        <v>842</v>
      </c>
      <c r="GE36" s="7" t="s">
        <v>842</v>
      </c>
      <c r="GF36" s="7" t="s">
        <v>842</v>
      </c>
      <c r="GG36" s="7" t="s">
        <v>842</v>
      </c>
      <c r="GH36" t="s">
        <v>842</v>
      </c>
      <c r="GI36" s="7" t="s">
        <v>842</v>
      </c>
      <c r="GJ36" s="7" t="s">
        <v>842</v>
      </c>
      <c r="GK36" s="7" t="s">
        <v>842</v>
      </c>
      <c r="GX36" s="7" t="s">
        <v>842</v>
      </c>
      <c r="HB36" s="7" t="s">
        <v>842</v>
      </c>
      <c r="HC36" t="s">
        <v>842</v>
      </c>
      <c r="HD36" t="s">
        <v>842</v>
      </c>
      <c r="HE36" s="7" t="s">
        <v>842</v>
      </c>
      <c r="HG36" s="7" t="s">
        <v>842</v>
      </c>
      <c r="HH36" s="7" t="s">
        <v>842</v>
      </c>
      <c r="HI36" s="7" t="s">
        <v>842</v>
      </c>
      <c r="HJ36" s="7" t="s">
        <v>842</v>
      </c>
      <c r="HL36" s="7" t="s">
        <v>842</v>
      </c>
      <c r="HM36" s="7" t="s">
        <v>842</v>
      </c>
      <c r="HN36" s="7" t="s">
        <v>842</v>
      </c>
      <c r="HO36" s="7" t="s">
        <v>842</v>
      </c>
      <c r="HS36" s="7" t="s">
        <v>842</v>
      </c>
      <c r="HT36" s="7" t="s">
        <v>842</v>
      </c>
      <c r="HU36" s="7" t="s">
        <v>842</v>
      </c>
      <c r="HV36" s="7" t="s">
        <v>842</v>
      </c>
      <c r="HW36" s="7" t="s">
        <v>842</v>
      </c>
      <c r="HX36" s="7" t="s">
        <v>842</v>
      </c>
      <c r="HY36" s="7" t="s">
        <v>842</v>
      </c>
      <c r="HZ36" s="7" t="s">
        <v>842</v>
      </c>
      <c r="IA36" s="7" t="s">
        <v>842</v>
      </c>
      <c r="IB36" s="7" t="s">
        <v>842</v>
      </c>
      <c r="ID36" s="7" t="s">
        <v>842</v>
      </c>
      <c r="IF36" s="7" t="s">
        <v>842</v>
      </c>
      <c r="IG36" s="7" t="s">
        <v>842</v>
      </c>
      <c r="IK36" s="7" t="s">
        <v>842</v>
      </c>
      <c r="IM36" s="7" t="s">
        <v>842</v>
      </c>
      <c r="IN36" s="7" t="s">
        <v>842</v>
      </c>
      <c r="IO36" s="7" t="s">
        <v>842</v>
      </c>
      <c r="IP36" s="7" t="s">
        <v>842</v>
      </c>
      <c r="IQ36" s="7" t="s">
        <v>842</v>
      </c>
      <c r="IR36" s="7" t="s">
        <v>842</v>
      </c>
      <c r="IS36" t="s">
        <v>842</v>
      </c>
      <c r="IU36" s="7" t="s">
        <v>842</v>
      </c>
      <c r="IV36" s="7" t="s">
        <v>842</v>
      </c>
      <c r="JB36" s="7" t="s">
        <v>842</v>
      </c>
      <c r="JE36" s="7" t="s">
        <v>842</v>
      </c>
      <c r="JF36" s="7" t="s">
        <v>842</v>
      </c>
      <c r="JG36" t="s">
        <v>842</v>
      </c>
      <c r="JH36" s="7" t="s">
        <v>842</v>
      </c>
      <c r="JI36" s="7" t="s">
        <v>842</v>
      </c>
      <c r="JJ36" s="7" t="s">
        <v>842</v>
      </c>
      <c r="JM36" s="7" t="s">
        <v>842</v>
      </c>
      <c r="JN36" s="7" t="s">
        <v>842</v>
      </c>
      <c r="JO36" s="7" t="s">
        <v>842</v>
      </c>
      <c r="JP36" s="7" t="s">
        <v>842</v>
      </c>
      <c r="JQ36" s="7" t="s">
        <v>842</v>
      </c>
      <c r="JR36" s="7" t="s">
        <v>842</v>
      </c>
      <c r="JS36" s="7" t="s">
        <v>842</v>
      </c>
      <c r="JT36" s="7" t="s">
        <v>842</v>
      </c>
      <c r="JU36" s="7" t="s">
        <v>842</v>
      </c>
      <c r="JW36" s="7" t="s">
        <v>842</v>
      </c>
      <c r="JZ36" s="7" t="s">
        <v>842</v>
      </c>
      <c r="KB36" s="7" t="s">
        <v>842</v>
      </c>
      <c r="KC36" s="7" t="s">
        <v>842</v>
      </c>
    </row>
    <row r="37" spans="1:322" x14ac:dyDescent="0.3">
      <c r="A37">
        <v>35</v>
      </c>
      <c r="B37" t="s">
        <v>842</v>
      </c>
      <c r="C37" t="s">
        <v>947</v>
      </c>
      <c r="D37" s="1" t="s">
        <v>1057</v>
      </c>
      <c r="E37" t="s">
        <v>844</v>
      </c>
      <c r="G37" t="s">
        <v>845</v>
      </c>
      <c r="H37" t="s">
        <v>846</v>
      </c>
      <c r="I37" t="s">
        <v>992</v>
      </c>
      <c r="J37">
        <v>11302</v>
      </c>
      <c r="K37" t="s">
        <v>993</v>
      </c>
      <c r="L37" t="s">
        <v>996</v>
      </c>
      <c r="M37" t="s">
        <v>424</v>
      </c>
      <c r="N37" t="s">
        <v>424</v>
      </c>
      <c r="O37">
        <v>72490</v>
      </c>
      <c r="P37">
        <v>2223953433</v>
      </c>
      <c r="Q37" s="3" t="s">
        <v>997</v>
      </c>
      <c r="R37">
        <v>7</v>
      </c>
      <c r="S37" t="s">
        <v>1844</v>
      </c>
      <c r="T37" t="s">
        <v>1798</v>
      </c>
      <c r="U37" t="s">
        <v>1799</v>
      </c>
      <c r="V37">
        <v>303</v>
      </c>
      <c r="W37">
        <v>303</v>
      </c>
      <c r="X37">
        <v>1</v>
      </c>
      <c r="Y37" t="s">
        <v>1831</v>
      </c>
      <c r="Z37">
        <v>1</v>
      </c>
      <c r="AA37">
        <v>1</v>
      </c>
      <c r="AB37">
        <v>0</v>
      </c>
      <c r="AC37">
        <v>0</v>
      </c>
      <c r="AD37" t="s">
        <v>912</v>
      </c>
      <c r="AE37" t="s">
        <v>850</v>
      </c>
      <c r="AF37" t="s">
        <v>998</v>
      </c>
      <c r="AG37">
        <v>10</v>
      </c>
      <c r="AH37">
        <v>0</v>
      </c>
      <c r="AI37">
        <v>5</v>
      </c>
      <c r="AJ37">
        <v>5</v>
      </c>
      <c r="AK37">
        <v>0</v>
      </c>
      <c r="AL37">
        <v>0</v>
      </c>
      <c r="AM37">
        <v>1</v>
      </c>
      <c r="AN37">
        <v>200</v>
      </c>
      <c r="AO37">
        <v>6</v>
      </c>
      <c r="AP37" t="s">
        <v>534</v>
      </c>
      <c r="AQ37" t="s">
        <v>852</v>
      </c>
      <c r="AR37" s="4">
        <f t="shared" si="20"/>
        <v>19</v>
      </c>
      <c r="AS37">
        <v>1</v>
      </c>
      <c r="AT37" t="s">
        <v>1024</v>
      </c>
      <c r="AU37">
        <v>6</v>
      </c>
      <c r="AV37" t="s">
        <v>854</v>
      </c>
      <c r="AW37">
        <v>5</v>
      </c>
      <c r="AX37">
        <v>1</v>
      </c>
      <c r="BE37">
        <v>3</v>
      </c>
      <c r="BF37" t="s">
        <v>855</v>
      </c>
      <c r="BH37">
        <v>3</v>
      </c>
      <c r="BI37" t="s">
        <v>856</v>
      </c>
      <c r="BJ37">
        <v>11</v>
      </c>
      <c r="BK37">
        <v>6</v>
      </c>
      <c r="BL37">
        <v>13</v>
      </c>
      <c r="BM37" t="s">
        <v>857</v>
      </c>
      <c r="CD37">
        <v>4</v>
      </c>
      <c r="CF37">
        <v>2</v>
      </c>
      <c r="CI37">
        <v>3</v>
      </c>
      <c r="CJ37">
        <v>1</v>
      </c>
      <c r="CK37" s="4">
        <f t="shared" si="13"/>
        <v>5</v>
      </c>
      <c r="CL37">
        <v>3</v>
      </c>
      <c r="CM37">
        <v>1</v>
      </c>
      <c r="CO37">
        <v>1</v>
      </c>
      <c r="CP37">
        <v>1</v>
      </c>
      <c r="CR37">
        <v>3</v>
      </c>
      <c r="CS37">
        <v>11</v>
      </c>
      <c r="CT37" t="s">
        <v>856</v>
      </c>
      <c r="DC37">
        <v>4</v>
      </c>
      <c r="DD37" t="s">
        <v>858</v>
      </c>
      <c r="DG37">
        <v>2</v>
      </c>
      <c r="DH37" t="s">
        <v>859</v>
      </c>
      <c r="DO37" t="s">
        <v>1745</v>
      </c>
      <c r="DP37" t="s">
        <v>1746</v>
      </c>
      <c r="DQ37" t="s">
        <v>1747</v>
      </c>
      <c r="DR37" t="s">
        <v>1753</v>
      </c>
      <c r="DW37">
        <v>2</v>
      </c>
      <c r="DX37" t="s">
        <v>853</v>
      </c>
      <c r="DY37">
        <v>2024</v>
      </c>
      <c r="DZ37" t="s">
        <v>1367</v>
      </c>
      <c r="EA37" t="s">
        <v>1845</v>
      </c>
      <c r="EB37" t="s">
        <v>1846</v>
      </c>
      <c r="EC37" t="s">
        <v>1847</v>
      </c>
      <c r="ED37" t="s">
        <v>1848</v>
      </c>
      <c r="EE37" t="s">
        <v>1849</v>
      </c>
      <c r="EF37" t="s">
        <v>442</v>
      </c>
      <c r="EG37" t="s">
        <v>443</v>
      </c>
      <c r="EH37" t="s">
        <v>1000</v>
      </c>
      <c r="EI37" s="11" t="s">
        <v>1001</v>
      </c>
      <c r="EJ37" t="s">
        <v>1229</v>
      </c>
      <c r="EK37" t="s">
        <v>1002</v>
      </c>
      <c r="EL37" s="11" t="s">
        <v>1003</v>
      </c>
      <c r="EM37" t="s">
        <v>873</v>
      </c>
      <c r="EN37" t="s">
        <v>1004</v>
      </c>
      <c r="EO37" s="11" t="s">
        <v>1005</v>
      </c>
      <c r="EP37" t="s">
        <v>873</v>
      </c>
      <c r="EQ37" t="s">
        <v>1006</v>
      </c>
      <c r="ER37" s="11" t="s">
        <v>1007</v>
      </c>
      <c r="ES37" t="s">
        <v>925</v>
      </c>
      <c r="ET37" t="s">
        <v>1008</v>
      </c>
      <c r="EU37" s="11" t="s">
        <v>1009</v>
      </c>
      <c r="EV37" t="s">
        <v>925</v>
      </c>
      <c r="EW37" t="s">
        <v>1010</v>
      </c>
      <c r="EX37" s="11" t="s">
        <v>1011</v>
      </c>
      <c r="EY37" t="s">
        <v>883</v>
      </c>
      <c r="EZ37" t="s">
        <v>1012</v>
      </c>
      <c r="FA37" s="11" t="s">
        <v>1013</v>
      </c>
      <c r="FB37" t="s">
        <v>867</v>
      </c>
      <c r="FC37" t="s">
        <v>1014</v>
      </c>
      <c r="FD37" s="11" t="s">
        <v>1015</v>
      </c>
      <c r="FE37" t="s">
        <v>873</v>
      </c>
      <c r="FF37" t="s">
        <v>1016</v>
      </c>
      <c r="FG37" s="11" t="s">
        <v>1017</v>
      </c>
      <c r="FH37" t="s">
        <v>867</v>
      </c>
      <c r="FI37" t="s">
        <v>1018</v>
      </c>
      <c r="FK37">
        <v>0</v>
      </c>
      <c r="FL37" s="4">
        <f t="shared" si="14"/>
        <v>0</v>
      </c>
      <c r="FN37">
        <v>0</v>
      </c>
      <c r="FO37" s="4">
        <f t="shared" si="15"/>
        <v>0</v>
      </c>
      <c r="FQ37">
        <v>0</v>
      </c>
      <c r="FR37" s="4">
        <f t="shared" si="16"/>
        <v>0</v>
      </c>
      <c r="FS37" t="s">
        <v>455</v>
      </c>
      <c r="FT37">
        <v>600</v>
      </c>
      <c r="FU37" s="4">
        <f t="shared" si="17"/>
        <v>0.04</v>
      </c>
      <c r="FV37" s="4">
        <f t="shared" si="18"/>
        <v>0.04</v>
      </c>
      <c r="FW37" s="4" t="str">
        <f t="shared" si="19"/>
        <v>ORDINARIO</v>
      </c>
      <c r="GD37" s="7" t="s">
        <v>842</v>
      </c>
      <c r="GE37" s="7" t="s">
        <v>842</v>
      </c>
      <c r="GF37" s="7" t="s">
        <v>842</v>
      </c>
      <c r="GG37" s="7" t="s">
        <v>842</v>
      </c>
      <c r="GH37" s="7" t="s">
        <v>842</v>
      </c>
      <c r="GI37" s="7" t="s">
        <v>842</v>
      </c>
      <c r="GK37" s="7" t="s">
        <v>842</v>
      </c>
      <c r="GX37" s="7" t="s">
        <v>842</v>
      </c>
      <c r="HB37" s="7" t="s">
        <v>842</v>
      </c>
      <c r="HC37" s="7" t="s">
        <v>842</v>
      </c>
      <c r="HD37" s="7" t="s">
        <v>842</v>
      </c>
      <c r="HE37" s="7" t="s">
        <v>842</v>
      </c>
      <c r="HG37" s="7" t="s">
        <v>842</v>
      </c>
      <c r="HH37" s="7" t="s">
        <v>842</v>
      </c>
      <c r="HI37" s="7" t="s">
        <v>842</v>
      </c>
      <c r="HJ37" s="7" t="s">
        <v>842</v>
      </c>
      <c r="HL37" s="7" t="s">
        <v>842</v>
      </c>
      <c r="HM37" s="7" t="s">
        <v>842</v>
      </c>
      <c r="HN37" s="7" t="s">
        <v>842</v>
      </c>
      <c r="HO37" s="7" t="s">
        <v>842</v>
      </c>
      <c r="HS37" s="7" t="s">
        <v>842</v>
      </c>
      <c r="HT37" s="7" t="s">
        <v>842</v>
      </c>
      <c r="HU37" s="7" t="s">
        <v>842</v>
      </c>
      <c r="HV37" s="7" t="s">
        <v>842</v>
      </c>
      <c r="HW37" s="7" t="s">
        <v>842</v>
      </c>
      <c r="HX37" s="7" t="s">
        <v>842</v>
      </c>
      <c r="HY37" s="7" t="s">
        <v>842</v>
      </c>
      <c r="HZ37" s="7" t="s">
        <v>842</v>
      </c>
      <c r="IA37" s="7" t="s">
        <v>842</v>
      </c>
      <c r="IB37" s="7" t="s">
        <v>842</v>
      </c>
      <c r="ID37" s="7" t="s">
        <v>842</v>
      </c>
      <c r="IG37" s="7" t="s">
        <v>842</v>
      </c>
      <c r="IK37" s="7" t="s">
        <v>842</v>
      </c>
      <c r="IL37" s="7" t="s">
        <v>842</v>
      </c>
      <c r="IM37" s="7" t="s">
        <v>842</v>
      </c>
      <c r="IN37" s="7" t="s">
        <v>842</v>
      </c>
      <c r="IO37" s="7" t="s">
        <v>842</v>
      </c>
      <c r="IP37" s="7" t="s">
        <v>842</v>
      </c>
      <c r="IQ37" s="7" t="s">
        <v>842</v>
      </c>
      <c r="IR37" s="7" t="s">
        <v>842</v>
      </c>
      <c r="IS37" s="7" t="s">
        <v>842</v>
      </c>
      <c r="IU37" s="7" t="s">
        <v>842</v>
      </c>
      <c r="IV37" s="7" t="s">
        <v>842</v>
      </c>
      <c r="JB37" s="7" t="s">
        <v>842</v>
      </c>
      <c r="JE37" s="7" t="s">
        <v>842</v>
      </c>
      <c r="JF37" s="7" t="s">
        <v>842</v>
      </c>
      <c r="JG37" s="7" t="s">
        <v>842</v>
      </c>
      <c r="JH37" s="7" t="s">
        <v>842</v>
      </c>
      <c r="JI37" s="7" t="s">
        <v>842</v>
      </c>
      <c r="JJ37" s="7" t="s">
        <v>842</v>
      </c>
      <c r="JM37" s="7" t="s">
        <v>842</v>
      </c>
      <c r="JN37" s="7" t="s">
        <v>842</v>
      </c>
      <c r="JO37" s="7" t="s">
        <v>842</v>
      </c>
      <c r="JP37" s="7" t="s">
        <v>842</v>
      </c>
      <c r="JQ37" s="7" t="s">
        <v>842</v>
      </c>
      <c r="JR37" s="7" t="s">
        <v>842</v>
      </c>
      <c r="JS37" s="7" t="s">
        <v>842</v>
      </c>
      <c r="JT37" s="7" t="s">
        <v>842</v>
      </c>
      <c r="JU37" s="7" t="s">
        <v>842</v>
      </c>
      <c r="JW37" s="7" t="s">
        <v>842</v>
      </c>
      <c r="JZ37" s="7" t="s">
        <v>842</v>
      </c>
      <c r="KB37" s="7" t="s">
        <v>842</v>
      </c>
      <c r="KC37" s="7" t="s">
        <v>842</v>
      </c>
    </row>
    <row r="38" spans="1:322" x14ac:dyDescent="0.3">
      <c r="A38">
        <v>36</v>
      </c>
      <c r="B38" t="s">
        <v>842</v>
      </c>
      <c r="C38" t="s">
        <v>947</v>
      </c>
      <c r="D38" s="1" t="s">
        <v>1515</v>
      </c>
      <c r="E38" t="s">
        <v>844</v>
      </c>
      <c r="G38" t="s">
        <v>845</v>
      </c>
      <c r="H38" t="s">
        <v>846</v>
      </c>
      <c r="I38" t="s">
        <v>1516</v>
      </c>
      <c r="J38">
        <v>1</v>
      </c>
      <c r="K38" t="s">
        <v>1517</v>
      </c>
      <c r="L38" t="s">
        <v>1518</v>
      </c>
      <c r="M38" t="s">
        <v>1492</v>
      </c>
      <c r="N38" t="s">
        <v>424</v>
      </c>
      <c r="O38">
        <v>72830</v>
      </c>
      <c r="P38">
        <v>2221054937</v>
      </c>
      <c r="Q38" s="3" t="s">
        <v>1519</v>
      </c>
      <c r="T38" t="s">
        <v>1729</v>
      </c>
      <c r="U38" t="s">
        <v>1730</v>
      </c>
      <c r="V38">
        <v>344.75</v>
      </c>
      <c r="W38">
        <v>344.75</v>
      </c>
      <c r="X38">
        <v>1</v>
      </c>
      <c r="Y38" t="s">
        <v>1783</v>
      </c>
      <c r="Z38">
        <v>1</v>
      </c>
      <c r="AA38">
        <v>1</v>
      </c>
      <c r="AB38">
        <v>1</v>
      </c>
      <c r="AC38">
        <v>0</v>
      </c>
      <c r="AD38" t="s">
        <v>1235</v>
      </c>
      <c r="AE38" t="s">
        <v>850</v>
      </c>
      <c r="AF38" t="s">
        <v>1520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N38">
        <v>200</v>
      </c>
      <c r="AO38">
        <v>6</v>
      </c>
      <c r="AP38" t="s">
        <v>534</v>
      </c>
      <c r="AQ38" t="s">
        <v>852</v>
      </c>
      <c r="AR38" s="4">
        <f t="shared" si="20"/>
        <v>31</v>
      </c>
      <c r="AS38">
        <v>1</v>
      </c>
      <c r="AT38" t="s">
        <v>1024</v>
      </c>
      <c r="AU38">
        <v>7</v>
      </c>
      <c r="AV38" t="s">
        <v>854</v>
      </c>
      <c r="AW38">
        <v>6</v>
      </c>
      <c r="AX38">
        <v>1</v>
      </c>
      <c r="BE38">
        <v>1</v>
      </c>
      <c r="BF38" t="s">
        <v>855</v>
      </c>
      <c r="BH38">
        <v>1</v>
      </c>
      <c r="BI38" t="s">
        <v>856</v>
      </c>
      <c r="BJ38">
        <v>7</v>
      </c>
      <c r="BK38">
        <v>6</v>
      </c>
      <c r="BL38">
        <v>13</v>
      </c>
      <c r="BM38" t="s">
        <v>857</v>
      </c>
      <c r="CD38">
        <v>11</v>
      </c>
      <c r="CF38">
        <v>2</v>
      </c>
      <c r="CG38">
        <v>5</v>
      </c>
      <c r="CH38">
        <v>1</v>
      </c>
      <c r="CI38">
        <v>3</v>
      </c>
      <c r="CJ38">
        <v>1</v>
      </c>
      <c r="CK38" s="4">
        <f t="shared" si="13"/>
        <v>3</v>
      </c>
      <c r="CL38">
        <v>1</v>
      </c>
      <c r="CM38">
        <v>1</v>
      </c>
      <c r="CO38">
        <v>1</v>
      </c>
      <c r="CP38">
        <v>1</v>
      </c>
      <c r="CR38">
        <v>7</v>
      </c>
      <c r="CS38">
        <v>7</v>
      </c>
      <c r="CT38" t="s">
        <v>856</v>
      </c>
      <c r="DC38">
        <v>4</v>
      </c>
      <c r="DD38" t="s">
        <v>858</v>
      </c>
      <c r="DG38">
        <v>2</v>
      </c>
      <c r="DH38" t="s">
        <v>859</v>
      </c>
      <c r="DO38" t="s">
        <v>1745</v>
      </c>
      <c r="DP38" t="s">
        <v>1746</v>
      </c>
      <c r="DQ38" t="s">
        <v>1747</v>
      </c>
      <c r="DR38" t="s">
        <v>1753</v>
      </c>
      <c r="DW38">
        <v>29</v>
      </c>
      <c r="DX38" t="s">
        <v>853</v>
      </c>
      <c r="DY38">
        <v>2024</v>
      </c>
      <c r="DZ38" t="s">
        <v>1538</v>
      </c>
      <c r="EA38" t="s">
        <v>1850</v>
      </c>
      <c r="EB38" t="s">
        <v>1851</v>
      </c>
      <c r="EC38" t="s">
        <v>819</v>
      </c>
      <c r="ED38" t="s">
        <v>1852</v>
      </c>
      <c r="EE38" t="s">
        <v>1853</v>
      </c>
      <c r="EF38" t="s">
        <v>442</v>
      </c>
      <c r="EG38" t="s">
        <v>443</v>
      </c>
      <c r="EH38" t="s">
        <v>1521</v>
      </c>
      <c r="EI38" s="11" t="s">
        <v>1522</v>
      </c>
      <c r="EJ38" t="s">
        <v>1229</v>
      </c>
      <c r="EK38" t="s">
        <v>1523</v>
      </c>
      <c r="EL38" s="11" t="s">
        <v>1524</v>
      </c>
      <c r="EM38" t="s">
        <v>925</v>
      </c>
      <c r="EN38" t="s">
        <v>1525</v>
      </c>
      <c r="EO38" s="11" t="s">
        <v>1526</v>
      </c>
      <c r="EP38" t="s">
        <v>883</v>
      </c>
      <c r="EQ38" t="s">
        <v>1527</v>
      </c>
      <c r="ER38" s="11" t="s">
        <v>1528</v>
      </c>
      <c r="ES38" t="s">
        <v>867</v>
      </c>
      <c r="ET38" t="s">
        <v>1529</v>
      </c>
      <c r="EU38" s="11" t="s">
        <v>1530</v>
      </c>
      <c r="EV38" t="s">
        <v>873</v>
      </c>
      <c r="EW38" t="s">
        <v>1531</v>
      </c>
      <c r="EX38" s="11" t="s">
        <v>1532</v>
      </c>
      <c r="EY38" t="s">
        <v>867</v>
      </c>
      <c r="EZ38" t="s">
        <v>1533</v>
      </c>
      <c r="FA38" s="11" t="s">
        <v>1534</v>
      </c>
      <c r="FB38" t="s">
        <v>873</v>
      </c>
      <c r="FC38" t="s">
        <v>1535</v>
      </c>
      <c r="FD38" s="11" t="s">
        <v>1536</v>
      </c>
      <c r="FE38" t="s">
        <v>867</v>
      </c>
      <c r="FF38" t="s">
        <v>1537</v>
      </c>
      <c r="FK38">
        <v>0</v>
      </c>
      <c r="FL38" s="4">
        <f t="shared" si="14"/>
        <v>0</v>
      </c>
      <c r="FN38">
        <v>0</v>
      </c>
      <c r="FO38" s="4">
        <f t="shared" si="15"/>
        <v>0</v>
      </c>
      <c r="FQ38">
        <v>0</v>
      </c>
      <c r="FR38" s="4">
        <f t="shared" si="16"/>
        <v>0</v>
      </c>
      <c r="FS38" t="s">
        <v>455</v>
      </c>
      <c r="FT38">
        <v>600</v>
      </c>
      <c r="FU38" s="4">
        <f t="shared" si="17"/>
        <v>0.04</v>
      </c>
      <c r="FV38" s="4">
        <f t="shared" si="18"/>
        <v>0.04</v>
      </c>
      <c r="FW38" s="4" t="str">
        <f t="shared" si="19"/>
        <v>ORDINARIO</v>
      </c>
      <c r="GD38" s="7" t="s">
        <v>842</v>
      </c>
      <c r="GE38" s="7" t="s">
        <v>842</v>
      </c>
      <c r="GF38" s="7" t="s">
        <v>842</v>
      </c>
      <c r="GG38" s="7" t="s">
        <v>842</v>
      </c>
      <c r="GH38" s="7" t="s">
        <v>842</v>
      </c>
      <c r="GI38" s="7" t="s">
        <v>842</v>
      </c>
      <c r="GJ38" s="7" t="s">
        <v>842</v>
      </c>
      <c r="GK38" s="7" t="s">
        <v>842</v>
      </c>
      <c r="GX38" s="7" t="s">
        <v>842</v>
      </c>
      <c r="HB38" s="7" t="s">
        <v>842</v>
      </c>
      <c r="HC38" s="7" t="s">
        <v>842</v>
      </c>
      <c r="HD38" s="7" t="s">
        <v>842</v>
      </c>
      <c r="HE38" s="7" t="s">
        <v>842</v>
      </c>
      <c r="HG38" s="7" t="s">
        <v>842</v>
      </c>
      <c r="HH38" s="7" t="s">
        <v>842</v>
      </c>
      <c r="HI38" s="7" t="s">
        <v>842</v>
      </c>
      <c r="HJ38" s="7" t="s">
        <v>842</v>
      </c>
      <c r="HK38" s="7" t="s">
        <v>842</v>
      </c>
      <c r="HL38" s="7" t="s">
        <v>842</v>
      </c>
      <c r="HM38" s="7" t="s">
        <v>842</v>
      </c>
      <c r="HN38" s="7" t="s">
        <v>842</v>
      </c>
      <c r="HO38" s="7" t="s">
        <v>842</v>
      </c>
      <c r="HS38" s="7" t="s">
        <v>842</v>
      </c>
      <c r="HT38" s="7" t="s">
        <v>842</v>
      </c>
      <c r="HU38" s="7" t="s">
        <v>842</v>
      </c>
      <c r="HV38" s="7" t="s">
        <v>842</v>
      </c>
      <c r="HW38" s="7" t="s">
        <v>842</v>
      </c>
      <c r="HX38" s="7" t="s">
        <v>842</v>
      </c>
      <c r="HY38" s="7" t="s">
        <v>842</v>
      </c>
      <c r="HZ38" s="7" t="s">
        <v>842</v>
      </c>
      <c r="IA38" s="7" t="s">
        <v>842</v>
      </c>
      <c r="IB38" s="7" t="s">
        <v>842</v>
      </c>
      <c r="ID38" s="7" t="s">
        <v>842</v>
      </c>
      <c r="IF38" s="7" t="s">
        <v>842</v>
      </c>
      <c r="IG38" s="7" t="s">
        <v>842</v>
      </c>
      <c r="IK38" s="7" t="s">
        <v>842</v>
      </c>
      <c r="IM38" s="7" t="s">
        <v>842</v>
      </c>
      <c r="IN38" s="7" t="s">
        <v>842</v>
      </c>
      <c r="IO38" s="7" t="s">
        <v>842</v>
      </c>
      <c r="IP38" s="7" t="s">
        <v>842</v>
      </c>
      <c r="IQ38" s="7" t="s">
        <v>842</v>
      </c>
      <c r="IR38" s="7" t="s">
        <v>842</v>
      </c>
      <c r="IS38" s="7" t="s">
        <v>842</v>
      </c>
      <c r="IU38" s="7" t="s">
        <v>842</v>
      </c>
      <c r="IV38" s="7" t="s">
        <v>842</v>
      </c>
      <c r="JB38" s="7" t="s">
        <v>842</v>
      </c>
      <c r="JE38" s="7" t="s">
        <v>842</v>
      </c>
      <c r="JF38" s="7" t="s">
        <v>842</v>
      </c>
      <c r="JG38" t="s">
        <v>842</v>
      </c>
      <c r="JH38" s="7" t="s">
        <v>842</v>
      </c>
      <c r="JI38" s="7" t="s">
        <v>842</v>
      </c>
      <c r="JJ38" s="7" t="s">
        <v>842</v>
      </c>
      <c r="JM38" s="7" t="s">
        <v>842</v>
      </c>
      <c r="JN38" s="7" t="s">
        <v>842</v>
      </c>
      <c r="JO38" s="7" t="s">
        <v>842</v>
      </c>
      <c r="JP38" s="7" t="s">
        <v>842</v>
      </c>
      <c r="JQ38" s="7" t="s">
        <v>842</v>
      </c>
      <c r="JR38" s="7" t="s">
        <v>842</v>
      </c>
      <c r="JS38" s="7" t="s">
        <v>842</v>
      </c>
      <c r="JT38" s="7" t="s">
        <v>842</v>
      </c>
      <c r="JU38" s="7" t="s">
        <v>842</v>
      </c>
      <c r="JW38" s="7" t="s">
        <v>842</v>
      </c>
      <c r="JZ38" s="7" t="s">
        <v>842</v>
      </c>
      <c r="KB38" s="7" t="s">
        <v>842</v>
      </c>
      <c r="KC38" s="7" t="s">
        <v>842</v>
      </c>
    </row>
    <row r="39" spans="1:322" x14ac:dyDescent="0.3">
      <c r="A39">
        <v>37</v>
      </c>
      <c r="B39" t="s">
        <v>842</v>
      </c>
      <c r="C39" t="s">
        <v>947</v>
      </c>
      <c r="D39" s="1" t="s">
        <v>1205</v>
      </c>
      <c r="E39" t="s">
        <v>844</v>
      </c>
      <c r="G39" t="s">
        <v>845</v>
      </c>
      <c r="H39" t="s">
        <v>846</v>
      </c>
      <c r="I39" t="s">
        <v>1206</v>
      </c>
      <c r="J39">
        <v>8323</v>
      </c>
      <c r="K39" t="s">
        <v>1207</v>
      </c>
      <c r="L39" t="s">
        <v>1208</v>
      </c>
      <c r="M39" t="s">
        <v>424</v>
      </c>
      <c r="N39" t="s">
        <v>424</v>
      </c>
      <c r="O39">
        <v>72590</v>
      </c>
      <c r="P39">
        <v>2222450490</v>
      </c>
      <c r="Q39" s="3" t="s">
        <v>1209</v>
      </c>
      <c r="R39">
        <v>19</v>
      </c>
      <c r="S39" t="s">
        <v>1854</v>
      </c>
      <c r="T39" t="s">
        <v>1798</v>
      </c>
      <c r="U39" t="s">
        <v>1799</v>
      </c>
      <c r="V39">
        <v>262.45</v>
      </c>
      <c r="W39">
        <v>262.45</v>
      </c>
      <c r="X39">
        <v>1</v>
      </c>
      <c r="Y39" t="s">
        <v>1783</v>
      </c>
      <c r="Z39">
        <v>1</v>
      </c>
      <c r="AA39">
        <v>1</v>
      </c>
      <c r="AB39">
        <v>0</v>
      </c>
      <c r="AC39">
        <v>0</v>
      </c>
      <c r="AD39" t="s">
        <v>912</v>
      </c>
      <c r="AE39" t="s">
        <v>850</v>
      </c>
      <c r="AF39" t="s">
        <v>1210</v>
      </c>
      <c r="AG39">
        <v>10</v>
      </c>
      <c r="AH39">
        <v>0</v>
      </c>
      <c r="AI39">
        <v>6</v>
      </c>
      <c r="AJ39">
        <v>4</v>
      </c>
      <c r="AK39">
        <v>0</v>
      </c>
      <c r="AL39">
        <v>0</v>
      </c>
      <c r="AM39">
        <v>1</v>
      </c>
      <c r="AN39">
        <v>300</v>
      </c>
      <c r="AO39">
        <v>6</v>
      </c>
      <c r="AP39" t="s">
        <v>534</v>
      </c>
      <c r="AQ39" t="s">
        <v>852</v>
      </c>
      <c r="AR39" s="4">
        <f t="shared" si="20"/>
        <v>22</v>
      </c>
      <c r="AS39">
        <v>1</v>
      </c>
      <c r="AT39" t="s">
        <v>1024</v>
      </c>
      <c r="AU39">
        <v>7</v>
      </c>
      <c r="AV39" t="s">
        <v>854</v>
      </c>
      <c r="AW39">
        <v>6</v>
      </c>
      <c r="AX39">
        <v>1</v>
      </c>
      <c r="BE39">
        <v>2</v>
      </c>
      <c r="BF39" t="s">
        <v>855</v>
      </c>
      <c r="BH39">
        <v>2</v>
      </c>
      <c r="BI39" t="s">
        <v>856</v>
      </c>
      <c r="BJ39">
        <v>8</v>
      </c>
      <c r="BK39">
        <v>7</v>
      </c>
      <c r="BL39">
        <v>15</v>
      </c>
      <c r="BM39" t="s">
        <v>857</v>
      </c>
      <c r="CD39">
        <v>7</v>
      </c>
      <c r="CF39">
        <v>1</v>
      </c>
      <c r="CH39">
        <v>1</v>
      </c>
      <c r="CI39">
        <v>3</v>
      </c>
      <c r="CJ39">
        <v>1</v>
      </c>
      <c r="CK39" s="4">
        <f t="shared" si="13"/>
        <v>7</v>
      </c>
      <c r="CL39">
        <v>4</v>
      </c>
      <c r="CM39">
        <v>1</v>
      </c>
      <c r="CO39">
        <v>1</v>
      </c>
      <c r="CP39">
        <v>2</v>
      </c>
      <c r="CR39">
        <v>7</v>
      </c>
      <c r="CS39">
        <v>6</v>
      </c>
      <c r="CT39" t="s">
        <v>856</v>
      </c>
      <c r="DC39">
        <v>4</v>
      </c>
      <c r="DD39" t="s">
        <v>858</v>
      </c>
      <c r="DG39">
        <v>2</v>
      </c>
      <c r="DH39" t="s">
        <v>859</v>
      </c>
      <c r="DO39" t="s">
        <v>1745</v>
      </c>
      <c r="DP39" t="s">
        <v>1785</v>
      </c>
      <c r="DQ39" t="s">
        <v>1747</v>
      </c>
      <c r="DR39" t="s">
        <v>1855</v>
      </c>
      <c r="DW39">
        <v>16</v>
      </c>
      <c r="DX39" t="s">
        <v>853</v>
      </c>
      <c r="DY39">
        <v>2024</v>
      </c>
      <c r="DZ39" t="s">
        <v>1392</v>
      </c>
      <c r="EA39" t="s">
        <v>1856</v>
      </c>
      <c r="EB39" t="s">
        <v>1857</v>
      </c>
      <c r="EC39" t="s">
        <v>1858</v>
      </c>
      <c r="ED39" t="s">
        <v>1859</v>
      </c>
      <c r="EE39" t="s">
        <v>1860</v>
      </c>
      <c r="EF39" t="s">
        <v>442</v>
      </c>
      <c r="EG39" t="s">
        <v>443</v>
      </c>
      <c r="EH39" t="s">
        <v>1212</v>
      </c>
      <c r="EI39" s="11" t="s">
        <v>1213</v>
      </c>
      <c r="EJ39" s="1" t="s">
        <v>883</v>
      </c>
      <c r="EK39" t="s">
        <v>1214</v>
      </c>
      <c r="EL39" s="11" t="s">
        <v>1215</v>
      </c>
      <c r="EM39" t="s">
        <v>1046</v>
      </c>
      <c r="EN39" t="s">
        <v>1216</v>
      </c>
      <c r="EO39" s="11" t="s">
        <v>1217</v>
      </c>
      <c r="EP39" t="s">
        <v>873</v>
      </c>
      <c r="EQ39" t="s">
        <v>1218</v>
      </c>
      <c r="ER39" s="11" t="s">
        <v>1219</v>
      </c>
      <c r="ES39" t="s">
        <v>867</v>
      </c>
      <c r="ET39" t="s">
        <v>1220</v>
      </c>
      <c r="EU39" s="11" t="s">
        <v>1221</v>
      </c>
      <c r="EV39" t="s">
        <v>867</v>
      </c>
      <c r="EW39" t="s">
        <v>1222</v>
      </c>
      <c r="EX39" s="11" t="s">
        <v>1223</v>
      </c>
      <c r="EY39" t="s">
        <v>873</v>
      </c>
      <c r="EZ39" t="s">
        <v>1224</v>
      </c>
      <c r="FA39" s="11" t="s">
        <v>1225</v>
      </c>
      <c r="FB39" t="s">
        <v>873</v>
      </c>
      <c r="FC39" t="s">
        <v>1226</v>
      </c>
      <c r="FD39" s="11" t="s">
        <v>1227</v>
      </c>
      <c r="FE39" t="s">
        <v>876</v>
      </c>
      <c r="FG39" s="11" t="s">
        <v>1228</v>
      </c>
      <c r="FH39" t="s">
        <v>1229</v>
      </c>
      <c r="FI39" t="s">
        <v>1230</v>
      </c>
      <c r="FK39">
        <v>0</v>
      </c>
      <c r="FL39" s="4">
        <f t="shared" si="14"/>
        <v>0</v>
      </c>
      <c r="FN39">
        <v>0</v>
      </c>
      <c r="FO39" s="4">
        <f t="shared" si="15"/>
        <v>0</v>
      </c>
      <c r="FQ39">
        <v>19</v>
      </c>
      <c r="FR39" s="4">
        <f t="shared" si="16"/>
        <v>9.4999999999999998E-3</v>
      </c>
      <c r="FS39" t="s">
        <v>455</v>
      </c>
      <c r="FT39">
        <v>15000</v>
      </c>
      <c r="FU39" s="4">
        <f t="shared" si="17"/>
        <v>1</v>
      </c>
      <c r="FV39" s="4">
        <f t="shared" si="18"/>
        <v>1.0095000000000001</v>
      </c>
      <c r="FW39" s="4" t="str">
        <f t="shared" si="19"/>
        <v>ALTO</v>
      </c>
      <c r="GD39" s="7" t="s">
        <v>842</v>
      </c>
      <c r="GE39" s="7" t="s">
        <v>842</v>
      </c>
      <c r="GF39" s="7" t="s">
        <v>842</v>
      </c>
      <c r="GG39" s="7" t="s">
        <v>842</v>
      </c>
      <c r="GH39" s="7" t="s">
        <v>842</v>
      </c>
      <c r="GI39" s="7" t="s">
        <v>842</v>
      </c>
      <c r="GJ39" s="7" t="s">
        <v>842</v>
      </c>
      <c r="GK39" s="7" t="s">
        <v>842</v>
      </c>
      <c r="GX39" s="7" t="s">
        <v>842</v>
      </c>
      <c r="HB39" s="7" t="s">
        <v>842</v>
      </c>
      <c r="HC39" s="7" t="s">
        <v>842</v>
      </c>
      <c r="HD39" s="7" t="s">
        <v>842</v>
      </c>
      <c r="HE39" s="7" t="s">
        <v>842</v>
      </c>
      <c r="HG39" s="7" t="s">
        <v>842</v>
      </c>
      <c r="HH39" s="7" t="s">
        <v>842</v>
      </c>
      <c r="HI39" s="7" t="s">
        <v>842</v>
      </c>
      <c r="HJ39" s="7" t="s">
        <v>842</v>
      </c>
      <c r="HL39" s="7" t="s">
        <v>842</v>
      </c>
      <c r="HM39" s="7" t="s">
        <v>842</v>
      </c>
      <c r="HN39" s="7" t="s">
        <v>842</v>
      </c>
      <c r="HO39" s="7" t="s">
        <v>842</v>
      </c>
      <c r="HS39" s="7" t="s">
        <v>842</v>
      </c>
      <c r="HT39" s="7" t="s">
        <v>842</v>
      </c>
      <c r="HU39" s="7" t="s">
        <v>842</v>
      </c>
      <c r="HV39" s="7" t="s">
        <v>842</v>
      </c>
      <c r="HW39" s="7" t="s">
        <v>842</v>
      </c>
      <c r="HX39" s="7" t="s">
        <v>842</v>
      </c>
      <c r="HY39" s="7" t="s">
        <v>842</v>
      </c>
      <c r="HZ39" s="7" t="s">
        <v>842</v>
      </c>
      <c r="IA39" s="7" t="s">
        <v>842</v>
      </c>
      <c r="IB39" s="7" t="s">
        <v>842</v>
      </c>
      <c r="ID39" s="7" t="s">
        <v>842</v>
      </c>
      <c r="IF39" s="7" t="s">
        <v>842</v>
      </c>
      <c r="IG39" s="7" t="s">
        <v>842</v>
      </c>
      <c r="IK39" s="7" t="s">
        <v>842</v>
      </c>
      <c r="IM39" s="7" t="s">
        <v>842</v>
      </c>
      <c r="IN39" s="7" t="s">
        <v>842</v>
      </c>
      <c r="IO39" s="7" t="s">
        <v>842</v>
      </c>
      <c r="IP39" s="7" t="s">
        <v>842</v>
      </c>
      <c r="IQ39" s="7" t="s">
        <v>842</v>
      </c>
      <c r="IR39" s="7" t="s">
        <v>842</v>
      </c>
      <c r="IS39" s="7" t="s">
        <v>842</v>
      </c>
      <c r="IU39" s="7" t="s">
        <v>842</v>
      </c>
      <c r="IV39" s="7" t="s">
        <v>842</v>
      </c>
      <c r="JB39" s="7" t="s">
        <v>842</v>
      </c>
      <c r="JE39" s="7" t="s">
        <v>842</v>
      </c>
      <c r="JF39" s="7" t="s">
        <v>842</v>
      </c>
      <c r="JG39" s="7" t="s">
        <v>842</v>
      </c>
      <c r="JH39" s="7" t="s">
        <v>842</v>
      </c>
      <c r="JI39" s="7" t="s">
        <v>842</v>
      </c>
      <c r="JJ39" s="7" t="s">
        <v>842</v>
      </c>
      <c r="JM39" s="7" t="s">
        <v>842</v>
      </c>
      <c r="JN39" s="7" t="s">
        <v>842</v>
      </c>
      <c r="JO39" s="7" t="s">
        <v>842</v>
      </c>
      <c r="JP39" s="7" t="s">
        <v>842</v>
      </c>
      <c r="JQ39" s="7" t="s">
        <v>842</v>
      </c>
      <c r="JR39" s="7" t="s">
        <v>842</v>
      </c>
      <c r="JS39" s="7" t="s">
        <v>842</v>
      </c>
      <c r="JT39" s="7" t="s">
        <v>842</v>
      </c>
      <c r="JU39" s="7" t="s">
        <v>842</v>
      </c>
      <c r="JW39" s="7" t="s">
        <v>842</v>
      </c>
      <c r="JZ39" s="7" t="s">
        <v>842</v>
      </c>
      <c r="KB39" s="7" t="s">
        <v>842</v>
      </c>
      <c r="KC39" s="7" t="s">
        <v>842</v>
      </c>
    </row>
    <row r="40" spans="1:322" x14ac:dyDescent="0.3">
      <c r="A40">
        <v>38</v>
      </c>
      <c r="B40" t="s">
        <v>842</v>
      </c>
      <c r="C40" t="s">
        <v>947</v>
      </c>
      <c r="D40" s="1" t="s">
        <v>1182</v>
      </c>
      <c r="E40" t="s">
        <v>844</v>
      </c>
      <c r="G40" t="s">
        <v>1183</v>
      </c>
      <c r="H40" t="s">
        <v>846</v>
      </c>
      <c r="I40" t="s">
        <v>817</v>
      </c>
      <c r="J40">
        <v>1009</v>
      </c>
      <c r="L40" t="s">
        <v>1184</v>
      </c>
      <c r="M40" t="s">
        <v>747</v>
      </c>
      <c r="N40" t="s">
        <v>424</v>
      </c>
      <c r="O40">
        <v>72700</v>
      </c>
      <c r="P40">
        <v>2222268633</v>
      </c>
      <c r="R40">
        <v>13</v>
      </c>
      <c r="S40" t="s">
        <v>1185</v>
      </c>
      <c r="T40" t="s">
        <v>1729</v>
      </c>
      <c r="U40" t="s">
        <v>1864</v>
      </c>
      <c r="V40">
        <v>266</v>
      </c>
      <c r="W40">
        <v>266</v>
      </c>
      <c r="X40">
        <v>1</v>
      </c>
      <c r="Y40" t="s">
        <v>1783</v>
      </c>
      <c r="Z40">
        <v>1</v>
      </c>
      <c r="AA40">
        <v>1</v>
      </c>
      <c r="AB40">
        <v>0</v>
      </c>
      <c r="AC40">
        <v>0</v>
      </c>
      <c r="AD40" t="s">
        <v>912</v>
      </c>
      <c r="AE40" t="s">
        <v>850</v>
      </c>
      <c r="AF40" t="s">
        <v>1186</v>
      </c>
      <c r="AG40">
        <v>10</v>
      </c>
      <c r="AH40">
        <v>0</v>
      </c>
      <c r="AI40">
        <v>5</v>
      </c>
      <c r="AJ40">
        <v>5</v>
      </c>
      <c r="AK40">
        <v>0</v>
      </c>
      <c r="AL40">
        <v>0</v>
      </c>
      <c r="AM40">
        <v>1</v>
      </c>
      <c r="AN40">
        <v>200</v>
      </c>
      <c r="AO40">
        <v>6</v>
      </c>
      <c r="AP40" t="s">
        <v>534</v>
      </c>
      <c r="AQ40" t="s">
        <v>852</v>
      </c>
      <c r="AR40" s="4">
        <f t="shared" si="20"/>
        <v>16</v>
      </c>
      <c r="AS40">
        <v>1</v>
      </c>
      <c r="AT40" t="s">
        <v>1024</v>
      </c>
      <c r="AU40">
        <v>6</v>
      </c>
      <c r="AV40" t="s">
        <v>854</v>
      </c>
      <c r="AW40">
        <v>5</v>
      </c>
      <c r="AX40">
        <v>1</v>
      </c>
      <c r="BE40">
        <v>1</v>
      </c>
      <c r="BF40" t="s">
        <v>855</v>
      </c>
      <c r="BG40">
        <v>1</v>
      </c>
      <c r="BI40" t="s">
        <v>856</v>
      </c>
      <c r="BJ40">
        <v>7</v>
      </c>
      <c r="BK40">
        <v>4</v>
      </c>
      <c r="BL40">
        <v>11</v>
      </c>
      <c r="BM40" t="s">
        <v>857</v>
      </c>
      <c r="CD40">
        <v>3</v>
      </c>
      <c r="CF40">
        <v>2</v>
      </c>
      <c r="CH40">
        <v>1</v>
      </c>
      <c r="CI40">
        <v>2</v>
      </c>
      <c r="CJ40">
        <v>7</v>
      </c>
      <c r="CK40" s="4">
        <f t="shared" si="13"/>
        <v>6</v>
      </c>
      <c r="CL40">
        <v>4</v>
      </c>
      <c r="CM40">
        <v>1</v>
      </c>
      <c r="CO40">
        <v>1</v>
      </c>
      <c r="CP40">
        <v>1</v>
      </c>
      <c r="CR40">
        <v>1</v>
      </c>
      <c r="CS40">
        <v>4</v>
      </c>
      <c r="CT40" t="s">
        <v>856</v>
      </c>
      <c r="DC40">
        <v>4</v>
      </c>
      <c r="DD40" t="s">
        <v>858</v>
      </c>
      <c r="DG40">
        <v>2</v>
      </c>
      <c r="DH40" t="s">
        <v>859</v>
      </c>
      <c r="DO40" t="s">
        <v>1745</v>
      </c>
      <c r="DP40" t="s">
        <v>1746</v>
      </c>
      <c r="DQ40" t="s">
        <v>1747</v>
      </c>
      <c r="DR40" t="s">
        <v>1785</v>
      </c>
      <c r="DW40">
        <v>26</v>
      </c>
      <c r="DX40" t="s">
        <v>853</v>
      </c>
      <c r="DY40">
        <v>2024</v>
      </c>
      <c r="DZ40" t="s">
        <v>1391</v>
      </c>
      <c r="EA40" t="s">
        <v>1862</v>
      </c>
      <c r="EB40" t="s">
        <v>1826</v>
      </c>
      <c r="EC40" t="s">
        <v>1863</v>
      </c>
      <c r="ED40" t="s">
        <v>1861</v>
      </c>
      <c r="EE40" t="s">
        <v>1868</v>
      </c>
      <c r="EF40" t="s">
        <v>442</v>
      </c>
      <c r="EG40" t="s">
        <v>443</v>
      </c>
      <c r="EH40" t="s">
        <v>1188</v>
      </c>
      <c r="EI40" s="11" t="s">
        <v>1187</v>
      </c>
      <c r="EJ40" t="s">
        <v>1229</v>
      </c>
      <c r="EK40" t="s">
        <v>1189</v>
      </c>
      <c r="EL40" s="11" t="s">
        <v>1190</v>
      </c>
      <c r="EM40" t="s">
        <v>867</v>
      </c>
      <c r="EN40" t="s">
        <v>1191</v>
      </c>
      <c r="EO40" s="11" t="s">
        <v>1192</v>
      </c>
      <c r="EP40" t="s">
        <v>873</v>
      </c>
      <c r="EQ40" t="s">
        <v>1193</v>
      </c>
      <c r="ER40" s="11" t="s">
        <v>1194</v>
      </c>
      <c r="ES40" t="s">
        <v>873</v>
      </c>
      <c r="ET40" t="s">
        <v>1195</v>
      </c>
      <c r="EU40" s="11" t="s">
        <v>1196</v>
      </c>
      <c r="EV40" t="s">
        <v>873</v>
      </c>
      <c r="EW40" t="s">
        <v>1197</v>
      </c>
      <c r="EX40" s="11" t="s">
        <v>1198</v>
      </c>
      <c r="EY40" t="s">
        <v>870</v>
      </c>
      <c r="EZ40" t="s">
        <v>1199</v>
      </c>
      <c r="FA40" s="11" t="s">
        <v>1200</v>
      </c>
      <c r="FB40" t="s">
        <v>883</v>
      </c>
      <c r="FC40" t="s">
        <v>1201</v>
      </c>
      <c r="FD40" s="11" t="s">
        <v>1202</v>
      </c>
      <c r="FG40" s="11" t="s">
        <v>1203</v>
      </c>
      <c r="FH40" t="s">
        <v>867</v>
      </c>
      <c r="FI40" t="s">
        <v>1204</v>
      </c>
      <c r="FK40">
        <v>0</v>
      </c>
      <c r="FL40" s="4">
        <f t="shared" si="14"/>
        <v>0</v>
      </c>
      <c r="FN40">
        <v>0</v>
      </c>
      <c r="FO40" s="4">
        <f t="shared" si="15"/>
        <v>0</v>
      </c>
      <c r="FQ40">
        <v>0</v>
      </c>
      <c r="FR40" s="4">
        <f t="shared" si="16"/>
        <v>0</v>
      </c>
      <c r="FS40" t="s">
        <v>455</v>
      </c>
      <c r="FT40">
        <v>600</v>
      </c>
      <c r="FU40" s="4">
        <f t="shared" si="17"/>
        <v>0.04</v>
      </c>
      <c r="FV40" s="4">
        <f t="shared" si="18"/>
        <v>0.04</v>
      </c>
      <c r="FW40" s="4" t="str">
        <f t="shared" si="19"/>
        <v>ORDINARIO</v>
      </c>
      <c r="GD40" s="7" t="s">
        <v>842</v>
      </c>
      <c r="GE40" s="7" t="s">
        <v>842</v>
      </c>
      <c r="GF40" s="7" t="s">
        <v>842</v>
      </c>
      <c r="GG40" s="7" t="s">
        <v>842</v>
      </c>
      <c r="GH40" s="7" t="s">
        <v>842</v>
      </c>
      <c r="GI40" s="7" t="s">
        <v>842</v>
      </c>
      <c r="GJ40" s="7" t="s">
        <v>842</v>
      </c>
      <c r="GK40" s="7" t="s">
        <v>842</v>
      </c>
      <c r="GX40" s="7" t="s">
        <v>842</v>
      </c>
      <c r="HB40" s="7" t="s">
        <v>842</v>
      </c>
      <c r="HC40" t="s">
        <v>842</v>
      </c>
      <c r="HD40" t="s">
        <v>842</v>
      </c>
      <c r="HE40" s="7" t="s">
        <v>842</v>
      </c>
      <c r="HG40" s="7" t="s">
        <v>842</v>
      </c>
      <c r="HH40" s="7" t="s">
        <v>842</v>
      </c>
      <c r="HI40" s="7" t="s">
        <v>842</v>
      </c>
      <c r="HJ40" s="7" t="s">
        <v>842</v>
      </c>
      <c r="HL40" s="7" t="s">
        <v>842</v>
      </c>
      <c r="HM40" s="7" t="s">
        <v>842</v>
      </c>
      <c r="HN40" s="7" t="s">
        <v>842</v>
      </c>
      <c r="HO40" s="7" t="s">
        <v>842</v>
      </c>
      <c r="HS40" s="7" t="s">
        <v>842</v>
      </c>
      <c r="HT40" s="7" t="s">
        <v>842</v>
      </c>
      <c r="HU40" s="7" t="s">
        <v>842</v>
      </c>
      <c r="HW40" s="7" t="s">
        <v>842</v>
      </c>
      <c r="HX40" s="7" t="s">
        <v>842</v>
      </c>
      <c r="HY40" s="7" t="s">
        <v>842</v>
      </c>
      <c r="HZ40" s="7" t="s">
        <v>842</v>
      </c>
      <c r="IA40" s="7" t="s">
        <v>842</v>
      </c>
      <c r="IB40" s="7" t="s">
        <v>842</v>
      </c>
      <c r="ID40" s="7" t="s">
        <v>842</v>
      </c>
      <c r="IF40" s="7" t="s">
        <v>842</v>
      </c>
      <c r="IG40" s="7" t="s">
        <v>842</v>
      </c>
      <c r="IK40" s="7" t="s">
        <v>842</v>
      </c>
      <c r="IM40" s="7" t="s">
        <v>842</v>
      </c>
      <c r="IN40" s="7" t="s">
        <v>842</v>
      </c>
      <c r="IO40" s="7" t="s">
        <v>842</v>
      </c>
      <c r="IP40" s="7" t="s">
        <v>842</v>
      </c>
      <c r="IQ40" s="7" t="s">
        <v>842</v>
      </c>
      <c r="IR40" s="7" t="s">
        <v>842</v>
      </c>
      <c r="IS40" s="7" t="s">
        <v>842</v>
      </c>
      <c r="IU40" s="7" t="s">
        <v>842</v>
      </c>
      <c r="IV40" s="7" t="s">
        <v>842</v>
      </c>
      <c r="JB40" s="7" t="s">
        <v>842</v>
      </c>
      <c r="JE40" s="7" t="s">
        <v>842</v>
      </c>
      <c r="JF40" s="7" t="s">
        <v>842</v>
      </c>
      <c r="JG40" t="s">
        <v>842</v>
      </c>
      <c r="JH40" s="7" t="s">
        <v>842</v>
      </c>
      <c r="JI40" s="7" t="s">
        <v>842</v>
      </c>
      <c r="JJ40" s="7" t="s">
        <v>842</v>
      </c>
      <c r="JM40" s="7" t="s">
        <v>842</v>
      </c>
      <c r="JN40" s="7" t="s">
        <v>842</v>
      </c>
      <c r="JO40" s="7" t="s">
        <v>842</v>
      </c>
      <c r="JP40" s="7" t="s">
        <v>842</v>
      </c>
      <c r="JQ40" s="7" t="s">
        <v>842</v>
      </c>
      <c r="JR40" s="7" t="s">
        <v>842</v>
      </c>
      <c r="JS40" s="7" t="s">
        <v>842</v>
      </c>
      <c r="JT40" s="7" t="s">
        <v>842</v>
      </c>
      <c r="JU40" s="7" t="s">
        <v>842</v>
      </c>
      <c r="JW40" s="7" t="s">
        <v>842</v>
      </c>
      <c r="JZ40" s="7" t="s">
        <v>842</v>
      </c>
      <c r="KB40" s="7" t="s">
        <v>842</v>
      </c>
      <c r="KC40" s="7" t="s">
        <v>842</v>
      </c>
    </row>
    <row r="41" spans="1:322" x14ac:dyDescent="0.3">
      <c r="A41">
        <v>39</v>
      </c>
      <c r="B41" t="s">
        <v>842</v>
      </c>
      <c r="C41" t="s">
        <v>947</v>
      </c>
      <c r="D41" s="1" t="s">
        <v>1397</v>
      </c>
      <c r="E41" t="s">
        <v>844</v>
      </c>
      <c r="G41" t="s">
        <v>1398</v>
      </c>
      <c r="H41" t="s">
        <v>846</v>
      </c>
      <c r="I41" t="s">
        <v>1399</v>
      </c>
      <c r="J41">
        <v>805</v>
      </c>
      <c r="K41" t="s">
        <v>1400</v>
      </c>
      <c r="L41" t="s">
        <v>1401</v>
      </c>
      <c r="M41" t="s">
        <v>1402</v>
      </c>
      <c r="N41" t="s">
        <v>424</v>
      </c>
      <c r="O41">
        <v>74270</v>
      </c>
      <c r="P41">
        <v>2444438152</v>
      </c>
      <c r="T41" t="s">
        <v>1791</v>
      </c>
      <c r="U41" t="s">
        <v>1792</v>
      </c>
      <c r="V41">
        <v>390</v>
      </c>
      <c r="W41">
        <v>390</v>
      </c>
      <c r="X41">
        <v>1</v>
      </c>
      <c r="Y41" t="s">
        <v>1783</v>
      </c>
      <c r="Z41">
        <v>1</v>
      </c>
      <c r="AA41">
        <v>1</v>
      </c>
      <c r="AB41">
        <v>1</v>
      </c>
      <c r="AC41">
        <v>0</v>
      </c>
      <c r="AD41" t="s">
        <v>912</v>
      </c>
      <c r="AE41" t="s">
        <v>850</v>
      </c>
      <c r="AF41" t="s">
        <v>1403</v>
      </c>
      <c r="AG41">
        <v>8</v>
      </c>
      <c r="AH41">
        <v>0</v>
      </c>
      <c r="AI41">
        <v>3</v>
      </c>
      <c r="AJ41">
        <v>5</v>
      </c>
      <c r="AK41">
        <v>0</v>
      </c>
      <c r="AL41">
        <v>0</v>
      </c>
      <c r="AM41">
        <v>1</v>
      </c>
      <c r="AN41">
        <v>300</v>
      </c>
      <c r="AO41">
        <v>6</v>
      </c>
      <c r="AP41" t="s">
        <v>534</v>
      </c>
      <c r="AQ41" t="s">
        <v>852</v>
      </c>
      <c r="AR41" s="4">
        <f t="shared" si="20"/>
        <v>23</v>
      </c>
      <c r="AS41">
        <v>1</v>
      </c>
      <c r="AT41" t="s">
        <v>1024</v>
      </c>
      <c r="AU41">
        <v>6</v>
      </c>
      <c r="AV41" t="s">
        <v>854</v>
      </c>
      <c r="AW41">
        <v>5</v>
      </c>
      <c r="AX41">
        <v>1</v>
      </c>
      <c r="BE41">
        <v>2</v>
      </c>
      <c r="BF41" t="s">
        <v>855</v>
      </c>
      <c r="BH41">
        <v>2</v>
      </c>
      <c r="BI41" t="s">
        <v>856</v>
      </c>
      <c r="BJ41">
        <v>9</v>
      </c>
      <c r="BK41">
        <v>7</v>
      </c>
      <c r="BL41">
        <v>16</v>
      </c>
      <c r="BM41" t="s">
        <v>857</v>
      </c>
      <c r="CD41">
        <v>4</v>
      </c>
      <c r="CF41">
        <v>1</v>
      </c>
      <c r="CG41">
        <v>3</v>
      </c>
      <c r="CH41">
        <v>1</v>
      </c>
      <c r="CI41">
        <v>5</v>
      </c>
      <c r="CJ41">
        <v>4</v>
      </c>
      <c r="CK41" s="4">
        <f t="shared" si="13"/>
        <v>5</v>
      </c>
      <c r="CL41">
        <v>3</v>
      </c>
      <c r="CM41">
        <v>1</v>
      </c>
      <c r="CO41">
        <v>1</v>
      </c>
      <c r="CP41">
        <v>1</v>
      </c>
      <c r="CR41">
        <v>2</v>
      </c>
      <c r="CS41">
        <v>5</v>
      </c>
      <c r="CT41" t="s">
        <v>856</v>
      </c>
      <c r="DC41">
        <v>4</v>
      </c>
      <c r="DD41" t="s">
        <v>858</v>
      </c>
      <c r="DG41">
        <v>2</v>
      </c>
      <c r="DH41" t="s">
        <v>859</v>
      </c>
      <c r="DO41" t="s">
        <v>1745</v>
      </c>
      <c r="DP41" t="s">
        <v>1746</v>
      </c>
      <c r="DQ41" t="s">
        <v>1747</v>
      </c>
      <c r="DR41" t="s">
        <v>1785</v>
      </c>
      <c r="DW41">
        <v>24</v>
      </c>
      <c r="DX41" t="s">
        <v>436</v>
      </c>
      <c r="DY41">
        <v>2024</v>
      </c>
      <c r="DZ41" t="s">
        <v>1495</v>
      </c>
      <c r="EA41" t="s">
        <v>1822</v>
      </c>
      <c r="EB41" t="s">
        <v>1888</v>
      </c>
      <c r="EC41" t="s">
        <v>1889</v>
      </c>
      <c r="ED41" t="s">
        <v>1890</v>
      </c>
      <c r="EE41" t="s">
        <v>1891</v>
      </c>
      <c r="EF41" t="s">
        <v>442</v>
      </c>
      <c r="EG41" t="s">
        <v>443</v>
      </c>
      <c r="EH41" t="s">
        <v>1404</v>
      </c>
      <c r="EI41" s="11" t="s">
        <v>1405</v>
      </c>
      <c r="EJ41" t="s">
        <v>1229</v>
      </c>
      <c r="EK41" t="s">
        <v>1406</v>
      </c>
      <c r="EL41" s="11" t="s">
        <v>1407</v>
      </c>
      <c r="EM41" t="s">
        <v>867</v>
      </c>
      <c r="EN41" t="s">
        <v>1408</v>
      </c>
      <c r="EO41" s="11" t="s">
        <v>1409</v>
      </c>
      <c r="EP41" t="s">
        <v>883</v>
      </c>
      <c r="EQ41" t="s">
        <v>1410</v>
      </c>
      <c r="ER41" s="11" t="s">
        <v>1411</v>
      </c>
      <c r="ES41" t="s">
        <v>867</v>
      </c>
      <c r="ET41" t="s">
        <v>1412</v>
      </c>
      <c r="EU41" s="11" t="s">
        <v>1413</v>
      </c>
      <c r="EV41" t="s">
        <v>873</v>
      </c>
      <c r="EW41" t="s">
        <v>1414</v>
      </c>
      <c r="EX41" s="11" t="s">
        <v>1415</v>
      </c>
      <c r="EY41" t="s">
        <v>867</v>
      </c>
      <c r="EZ41" t="s">
        <v>1416</v>
      </c>
      <c r="FA41" s="11" t="s">
        <v>1417</v>
      </c>
      <c r="FB41" t="s">
        <v>876</v>
      </c>
      <c r="FC41" t="s">
        <v>1418</v>
      </c>
      <c r="FK41">
        <v>0</v>
      </c>
      <c r="FL41" s="4">
        <f t="shared" si="14"/>
        <v>0</v>
      </c>
      <c r="FN41">
        <v>0</v>
      </c>
      <c r="FO41" s="4">
        <f t="shared" si="15"/>
        <v>0</v>
      </c>
      <c r="FQ41">
        <v>0</v>
      </c>
      <c r="FR41" s="4">
        <f t="shared" si="16"/>
        <v>0</v>
      </c>
      <c r="FS41" t="s">
        <v>455</v>
      </c>
      <c r="FT41">
        <v>540</v>
      </c>
      <c r="FU41" s="4">
        <f t="shared" si="17"/>
        <v>3.5999999999999997E-2</v>
      </c>
      <c r="FV41" s="4">
        <f t="shared" si="18"/>
        <v>3.5999999999999997E-2</v>
      </c>
      <c r="FW41" s="4" t="str">
        <f t="shared" si="19"/>
        <v>ORDINARIO</v>
      </c>
      <c r="GD41" s="7" t="s">
        <v>842</v>
      </c>
      <c r="GE41" s="7" t="s">
        <v>842</v>
      </c>
      <c r="GF41" s="7" t="s">
        <v>842</v>
      </c>
      <c r="GG41" s="7" t="s">
        <v>842</v>
      </c>
      <c r="GH41" t="s">
        <v>842</v>
      </c>
      <c r="GI41" s="7" t="s">
        <v>842</v>
      </c>
      <c r="GJ41" s="7" t="s">
        <v>842</v>
      </c>
      <c r="GK41" s="7" t="s">
        <v>842</v>
      </c>
      <c r="GX41" s="7" t="s">
        <v>842</v>
      </c>
      <c r="HB41" s="7" t="s">
        <v>842</v>
      </c>
      <c r="HC41" t="s">
        <v>842</v>
      </c>
      <c r="HD41" t="s">
        <v>842</v>
      </c>
      <c r="HE41" s="7" t="s">
        <v>842</v>
      </c>
      <c r="HG41" s="7" t="s">
        <v>842</v>
      </c>
      <c r="HH41" s="7" t="s">
        <v>842</v>
      </c>
      <c r="HI41" s="7" t="s">
        <v>842</v>
      </c>
      <c r="HJ41" s="7" t="s">
        <v>842</v>
      </c>
      <c r="HK41" s="7" t="s">
        <v>842</v>
      </c>
      <c r="HL41" s="7" t="s">
        <v>842</v>
      </c>
      <c r="HM41" s="7" t="s">
        <v>842</v>
      </c>
      <c r="HN41" s="7" t="s">
        <v>842</v>
      </c>
      <c r="HO41" s="7" t="s">
        <v>842</v>
      </c>
      <c r="HS41" s="7" t="s">
        <v>842</v>
      </c>
      <c r="HT41" s="7" t="s">
        <v>842</v>
      </c>
      <c r="HU41" s="7" t="s">
        <v>842</v>
      </c>
      <c r="HV41" s="7" t="s">
        <v>842</v>
      </c>
      <c r="HW41" s="7" t="s">
        <v>842</v>
      </c>
      <c r="HX41" s="7" t="s">
        <v>842</v>
      </c>
      <c r="HY41" s="7" t="s">
        <v>842</v>
      </c>
      <c r="HZ41" s="7" t="s">
        <v>842</v>
      </c>
      <c r="IA41" s="7" t="s">
        <v>842</v>
      </c>
      <c r="IB41" s="7" t="s">
        <v>842</v>
      </c>
      <c r="ID41" s="7" t="s">
        <v>842</v>
      </c>
      <c r="IF41" s="7" t="s">
        <v>842</v>
      </c>
      <c r="IG41" s="7" t="s">
        <v>842</v>
      </c>
      <c r="IK41" s="7" t="s">
        <v>842</v>
      </c>
      <c r="IM41" s="7" t="s">
        <v>842</v>
      </c>
      <c r="IN41" s="7" t="s">
        <v>842</v>
      </c>
      <c r="IO41" s="7" t="s">
        <v>842</v>
      </c>
      <c r="IP41" s="7" t="s">
        <v>842</v>
      </c>
      <c r="IQ41" s="7" t="s">
        <v>842</v>
      </c>
      <c r="IR41" s="7" t="s">
        <v>842</v>
      </c>
      <c r="IS41" s="7" t="s">
        <v>842</v>
      </c>
      <c r="IU41" s="7" t="s">
        <v>842</v>
      </c>
      <c r="IV41" s="7" t="s">
        <v>842</v>
      </c>
      <c r="JB41" s="7" t="s">
        <v>842</v>
      </c>
      <c r="JE41" s="7" t="s">
        <v>842</v>
      </c>
      <c r="JF41" s="7" t="s">
        <v>842</v>
      </c>
      <c r="JG41" t="s">
        <v>842</v>
      </c>
      <c r="JH41" s="7" t="s">
        <v>842</v>
      </c>
      <c r="JI41" s="7" t="s">
        <v>842</v>
      </c>
      <c r="JJ41" s="7" t="s">
        <v>842</v>
      </c>
      <c r="JM41" s="7" t="s">
        <v>842</v>
      </c>
      <c r="JN41" s="7" t="s">
        <v>842</v>
      </c>
      <c r="JO41" s="7" t="s">
        <v>842</v>
      </c>
      <c r="JP41" s="7" t="s">
        <v>842</v>
      </c>
      <c r="JQ41" s="7" t="s">
        <v>842</v>
      </c>
      <c r="JR41" s="7" t="s">
        <v>842</v>
      </c>
      <c r="JS41" s="7" t="s">
        <v>842</v>
      </c>
      <c r="JT41" s="7" t="s">
        <v>842</v>
      </c>
      <c r="JU41" s="7" t="s">
        <v>842</v>
      </c>
      <c r="JW41" s="7" t="s">
        <v>842</v>
      </c>
      <c r="JZ41" s="7" t="s">
        <v>842</v>
      </c>
      <c r="KB41" s="7" t="s">
        <v>842</v>
      </c>
      <c r="KC41" s="7" t="s">
        <v>842</v>
      </c>
    </row>
    <row r="42" spans="1:322" x14ac:dyDescent="0.3">
      <c r="A42">
        <v>40</v>
      </c>
      <c r="B42" t="s">
        <v>842</v>
      </c>
      <c r="C42" t="s">
        <v>947</v>
      </c>
      <c r="D42" s="1" t="s">
        <v>1489</v>
      </c>
      <c r="E42" t="s">
        <v>844</v>
      </c>
      <c r="G42" t="s">
        <v>845</v>
      </c>
      <c r="H42" t="s">
        <v>846</v>
      </c>
      <c r="I42" t="s">
        <v>1490</v>
      </c>
      <c r="J42">
        <v>1427</v>
      </c>
      <c r="K42" t="s">
        <v>1491</v>
      </c>
      <c r="L42" t="s">
        <v>422</v>
      </c>
      <c r="M42" t="s">
        <v>1492</v>
      </c>
      <c r="N42" t="s">
        <v>424</v>
      </c>
      <c r="O42">
        <v>72810</v>
      </c>
      <c r="P42">
        <v>2222616451</v>
      </c>
      <c r="Q42" s="3" t="s">
        <v>1493</v>
      </c>
      <c r="T42" t="s">
        <v>1729</v>
      </c>
      <c r="U42" t="s">
        <v>1730</v>
      </c>
      <c r="V42">
        <v>240.35</v>
      </c>
      <c r="W42">
        <v>240.35</v>
      </c>
      <c r="X42">
        <v>1</v>
      </c>
      <c r="Y42" t="s">
        <v>1783</v>
      </c>
      <c r="Z42">
        <v>1</v>
      </c>
      <c r="AA42">
        <v>1</v>
      </c>
      <c r="AB42">
        <v>0</v>
      </c>
      <c r="AC42">
        <v>0</v>
      </c>
      <c r="AD42" t="s">
        <v>912</v>
      </c>
      <c r="AE42" t="s">
        <v>850</v>
      </c>
      <c r="AF42" t="s">
        <v>1494</v>
      </c>
      <c r="AG42">
        <v>9</v>
      </c>
      <c r="AH42">
        <v>0</v>
      </c>
      <c r="AI42">
        <v>2</v>
      </c>
      <c r="AJ42">
        <v>7</v>
      </c>
      <c r="AK42">
        <v>0</v>
      </c>
      <c r="AL42">
        <v>0</v>
      </c>
      <c r="AM42">
        <v>1</v>
      </c>
      <c r="AN42">
        <v>150</v>
      </c>
      <c r="AO42">
        <v>6</v>
      </c>
      <c r="AP42" t="s">
        <v>534</v>
      </c>
      <c r="AQ42" t="s">
        <v>852</v>
      </c>
      <c r="AR42" s="4">
        <f t="shared" si="20"/>
        <v>21</v>
      </c>
      <c r="AS42">
        <v>1</v>
      </c>
      <c r="AT42" t="s">
        <v>1024</v>
      </c>
      <c r="AU42">
        <v>7</v>
      </c>
      <c r="AV42" t="s">
        <v>854</v>
      </c>
      <c r="AW42">
        <v>6</v>
      </c>
      <c r="AX42">
        <v>1</v>
      </c>
      <c r="BE42">
        <v>1</v>
      </c>
      <c r="BF42" t="s">
        <v>855</v>
      </c>
      <c r="BH42">
        <v>1</v>
      </c>
      <c r="BI42" t="s">
        <v>856</v>
      </c>
      <c r="BJ42">
        <v>5</v>
      </c>
      <c r="BK42">
        <v>8</v>
      </c>
      <c r="BL42">
        <v>13</v>
      </c>
      <c r="BM42" t="s">
        <v>857</v>
      </c>
      <c r="CD42">
        <v>6</v>
      </c>
      <c r="CF42">
        <v>2</v>
      </c>
      <c r="CH42">
        <v>1</v>
      </c>
      <c r="CI42">
        <v>3</v>
      </c>
      <c r="CJ42">
        <v>1</v>
      </c>
      <c r="CK42" s="4">
        <f t="shared" si="13"/>
        <v>6</v>
      </c>
      <c r="CL42">
        <v>4</v>
      </c>
      <c r="CM42">
        <v>1</v>
      </c>
      <c r="CO42">
        <v>1</v>
      </c>
      <c r="CP42">
        <v>1</v>
      </c>
      <c r="CR42">
        <v>1</v>
      </c>
      <c r="CS42">
        <v>8</v>
      </c>
      <c r="CT42" t="s">
        <v>856</v>
      </c>
      <c r="DC42">
        <v>4</v>
      </c>
      <c r="DD42" t="s">
        <v>858</v>
      </c>
      <c r="DG42">
        <v>2</v>
      </c>
      <c r="DH42" t="s">
        <v>859</v>
      </c>
      <c r="DO42" t="s">
        <v>1745</v>
      </c>
      <c r="DP42" t="s">
        <v>1746</v>
      </c>
      <c r="DQ42" t="s">
        <v>1747</v>
      </c>
      <c r="DR42" t="s">
        <v>1753</v>
      </c>
      <c r="DW42">
        <v>28</v>
      </c>
      <c r="DX42" t="s">
        <v>853</v>
      </c>
      <c r="DY42">
        <v>2024</v>
      </c>
      <c r="DZ42" t="s">
        <v>1502</v>
      </c>
      <c r="EA42" t="s">
        <v>1869</v>
      </c>
      <c r="EB42" t="s">
        <v>1808</v>
      </c>
      <c r="EC42" t="s">
        <v>1794</v>
      </c>
      <c r="ED42" t="s">
        <v>440</v>
      </c>
      <c r="EE42" t="s">
        <v>1870</v>
      </c>
      <c r="EF42" t="s">
        <v>442</v>
      </c>
      <c r="EG42" t="s">
        <v>443</v>
      </c>
      <c r="EH42" t="s">
        <v>1496</v>
      </c>
      <c r="EI42" s="11" t="s">
        <v>1497</v>
      </c>
      <c r="EJ42" s="1" t="s">
        <v>883</v>
      </c>
      <c r="EK42" t="s">
        <v>1498</v>
      </c>
      <c r="EL42" s="11" t="s">
        <v>1499</v>
      </c>
      <c r="EM42" t="s">
        <v>873</v>
      </c>
      <c r="EN42" t="s">
        <v>1500</v>
      </c>
      <c r="EO42" s="11" t="s">
        <v>1501</v>
      </c>
      <c r="EP42" t="s">
        <v>873</v>
      </c>
      <c r="EQ42" t="s">
        <v>1503</v>
      </c>
      <c r="ER42" s="11" t="s">
        <v>1511</v>
      </c>
      <c r="ES42" t="s">
        <v>870</v>
      </c>
      <c r="ET42" t="s">
        <v>1512</v>
      </c>
      <c r="EU42" s="11" t="s">
        <v>1504</v>
      </c>
      <c r="EV42" t="s">
        <v>870</v>
      </c>
      <c r="EW42" t="s">
        <v>1505</v>
      </c>
      <c r="EX42" s="11" t="s">
        <v>1506</v>
      </c>
      <c r="EY42" t="s">
        <v>867</v>
      </c>
      <c r="EZ42" t="s">
        <v>1507</v>
      </c>
      <c r="FA42" s="11" t="s">
        <v>1508</v>
      </c>
      <c r="FB42" t="s">
        <v>867</v>
      </c>
      <c r="FC42" t="s">
        <v>1509</v>
      </c>
      <c r="FD42" s="11" t="s">
        <v>1510</v>
      </c>
      <c r="FG42" s="11" t="s">
        <v>1513</v>
      </c>
      <c r="FH42" t="s">
        <v>1229</v>
      </c>
      <c r="FI42" t="s">
        <v>1514</v>
      </c>
      <c r="FK42">
        <v>0</v>
      </c>
      <c r="FL42" s="4">
        <f t="shared" si="14"/>
        <v>0</v>
      </c>
      <c r="FN42">
        <v>0</v>
      </c>
      <c r="FO42" s="4">
        <f t="shared" si="15"/>
        <v>0</v>
      </c>
      <c r="FQ42">
        <v>0</v>
      </c>
      <c r="FR42" s="4">
        <f t="shared" si="16"/>
        <v>0</v>
      </c>
      <c r="FS42" t="s">
        <v>455</v>
      </c>
      <c r="FT42">
        <v>660</v>
      </c>
      <c r="FU42" s="4">
        <f t="shared" si="17"/>
        <v>4.3999999999999997E-2</v>
      </c>
      <c r="FV42" s="4">
        <f t="shared" si="18"/>
        <v>4.3999999999999997E-2</v>
      </c>
      <c r="FW42" s="4" t="str">
        <f t="shared" si="19"/>
        <v>ORDINARIO</v>
      </c>
      <c r="GD42" s="7" t="s">
        <v>842</v>
      </c>
      <c r="GE42" s="7" t="s">
        <v>842</v>
      </c>
      <c r="GF42" s="7" t="s">
        <v>842</v>
      </c>
      <c r="GG42" s="7" t="s">
        <v>842</v>
      </c>
      <c r="GH42" s="7" t="s">
        <v>842</v>
      </c>
      <c r="GI42" s="7" t="s">
        <v>842</v>
      </c>
      <c r="GJ42" s="7" t="s">
        <v>842</v>
      </c>
      <c r="GK42" s="7" t="s">
        <v>842</v>
      </c>
      <c r="GX42" s="7" t="s">
        <v>842</v>
      </c>
      <c r="HB42" s="7" t="s">
        <v>842</v>
      </c>
      <c r="HC42" t="s">
        <v>842</v>
      </c>
      <c r="HD42" t="s">
        <v>842</v>
      </c>
      <c r="HE42" s="7" t="s">
        <v>842</v>
      </c>
      <c r="HG42" s="7" t="s">
        <v>842</v>
      </c>
      <c r="HH42" s="7" t="s">
        <v>842</v>
      </c>
      <c r="HI42" s="7" t="s">
        <v>842</v>
      </c>
      <c r="HJ42" s="7" t="s">
        <v>842</v>
      </c>
      <c r="HL42" s="7" t="s">
        <v>842</v>
      </c>
      <c r="HM42" s="7" t="s">
        <v>842</v>
      </c>
      <c r="HN42" s="7" t="s">
        <v>842</v>
      </c>
      <c r="HO42" s="7" t="s">
        <v>842</v>
      </c>
      <c r="HS42" s="7" t="s">
        <v>842</v>
      </c>
      <c r="HT42" s="7" t="s">
        <v>842</v>
      </c>
      <c r="HU42" s="7" t="s">
        <v>842</v>
      </c>
      <c r="HV42" s="7" t="s">
        <v>842</v>
      </c>
      <c r="HW42" s="7" t="s">
        <v>842</v>
      </c>
      <c r="HX42" s="7" t="s">
        <v>842</v>
      </c>
      <c r="HY42" s="7" t="s">
        <v>842</v>
      </c>
      <c r="HZ42" s="7" t="s">
        <v>842</v>
      </c>
      <c r="IA42" s="7" t="s">
        <v>842</v>
      </c>
      <c r="IB42" s="7" t="s">
        <v>842</v>
      </c>
      <c r="ID42" s="7" t="s">
        <v>842</v>
      </c>
      <c r="IF42" s="7" t="s">
        <v>842</v>
      </c>
      <c r="IG42" s="7" t="s">
        <v>842</v>
      </c>
      <c r="IK42" s="7" t="s">
        <v>842</v>
      </c>
      <c r="IM42" s="7" t="s">
        <v>842</v>
      </c>
      <c r="IN42" s="7" t="s">
        <v>842</v>
      </c>
      <c r="IO42" s="7" t="s">
        <v>842</v>
      </c>
      <c r="IP42" s="7" t="s">
        <v>842</v>
      </c>
      <c r="IQ42" s="7" t="s">
        <v>842</v>
      </c>
      <c r="IR42" s="7" t="s">
        <v>842</v>
      </c>
      <c r="IS42" s="7" t="s">
        <v>842</v>
      </c>
      <c r="IU42" s="7" t="s">
        <v>842</v>
      </c>
      <c r="IV42" s="7" t="s">
        <v>842</v>
      </c>
      <c r="JB42" s="7" t="s">
        <v>842</v>
      </c>
      <c r="JE42" s="7" t="s">
        <v>842</v>
      </c>
      <c r="JF42" s="7" t="s">
        <v>842</v>
      </c>
      <c r="JG42" t="s">
        <v>842</v>
      </c>
      <c r="JH42" s="7" t="s">
        <v>842</v>
      </c>
      <c r="JI42" s="7" t="s">
        <v>842</v>
      </c>
      <c r="JJ42" s="7" t="s">
        <v>842</v>
      </c>
      <c r="JM42" s="7" t="s">
        <v>842</v>
      </c>
      <c r="JN42" s="7" t="s">
        <v>842</v>
      </c>
      <c r="JO42" s="7" t="s">
        <v>842</v>
      </c>
      <c r="JP42" s="7" t="s">
        <v>842</v>
      </c>
      <c r="JQ42" s="7" t="s">
        <v>842</v>
      </c>
      <c r="JR42" s="7" t="s">
        <v>842</v>
      </c>
      <c r="JS42" s="7" t="s">
        <v>842</v>
      </c>
      <c r="JT42" s="7" t="s">
        <v>842</v>
      </c>
      <c r="JU42" s="7" t="s">
        <v>842</v>
      </c>
      <c r="JW42" s="7" t="s">
        <v>842</v>
      </c>
      <c r="JZ42" s="7" t="s">
        <v>842</v>
      </c>
      <c r="KB42" s="7" t="s">
        <v>842</v>
      </c>
      <c r="KC42" s="7" t="s">
        <v>842</v>
      </c>
    </row>
    <row r="43" spans="1:322" x14ac:dyDescent="0.3">
      <c r="A43">
        <v>41</v>
      </c>
      <c r="B43" t="s">
        <v>842</v>
      </c>
      <c r="C43" t="s">
        <v>947</v>
      </c>
      <c r="D43" s="1" t="s">
        <v>1277</v>
      </c>
      <c r="E43" t="s">
        <v>844</v>
      </c>
      <c r="G43" t="s">
        <v>845</v>
      </c>
      <c r="H43" t="s">
        <v>846</v>
      </c>
      <c r="I43" t="s">
        <v>1278</v>
      </c>
      <c r="J43">
        <v>300</v>
      </c>
      <c r="L43" t="s">
        <v>422</v>
      </c>
      <c r="M43" t="s">
        <v>529</v>
      </c>
      <c r="N43" t="s">
        <v>424</v>
      </c>
      <c r="O43">
        <v>75200</v>
      </c>
      <c r="P43">
        <v>2232752273</v>
      </c>
      <c r="Q43" s="3" t="s">
        <v>1279</v>
      </c>
      <c r="R43">
        <v>1</v>
      </c>
      <c r="S43" t="s">
        <v>1309</v>
      </c>
      <c r="T43" t="s">
        <v>1791</v>
      </c>
      <c r="U43" t="s">
        <v>1792</v>
      </c>
      <c r="V43">
        <v>230</v>
      </c>
      <c r="W43">
        <v>230</v>
      </c>
      <c r="X43">
        <v>1</v>
      </c>
      <c r="Y43" t="s">
        <v>1783</v>
      </c>
      <c r="Z43">
        <v>1</v>
      </c>
      <c r="AA43">
        <v>1</v>
      </c>
      <c r="AB43">
        <v>0</v>
      </c>
      <c r="AC43">
        <v>0</v>
      </c>
      <c r="AD43" t="s">
        <v>946</v>
      </c>
      <c r="AE43" t="s">
        <v>850</v>
      </c>
      <c r="AF43" t="s">
        <v>1280</v>
      </c>
      <c r="AG43">
        <v>14</v>
      </c>
      <c r="AH43">
        <v>0</v>
      </c>
      <c r="AI43">
        <v>7</v>
      </c>
      <c r="AJ43">
        <v>7</v>
      </c>
      <c r="AK43">
        <v>0</v>
      </c>
      <c r="AL43">
        <v>0</v>
      </c>
      <c r="AM43">
        <v>1</v>
      </c>
      <c r="AN43">
        <v>300</v>
      </c>
      <c r="AO43">
        <v>6</v>
      </c>
      <c r="AP43" t="s">
        <v>534</v>
      </c>
      <c r="AQ43" t="s">
        <v>852</v>
      </c>
      <c r="AR43" s="4">
        <f t="shared" si="20"/>
        <v>28</v>
      </c>
      <c r="AS43">
        <v>1</v>
      </c>
      <c r="AT43" t="s">
        <v>1024</v>
      </c>
      <c r="AU43">
        <v>7</v>
      </c>
      <c r="AV43" t="s">
        <v>854</v>
      </c>
      <c r="AW43">
        <v>6</v>
      </c>
      <c r="AX43">
        <v>1</v>
      </c>
      <c r="BE43">
        <v>2</v>
      </c>
      <c r="BF43" t="s">
        <v>855</v>
      </c>
      <c r="BH43">
        <v>2</v>
      </c>
      <c r="BI43" t="s">
        <v>856</v>
      </c>
      <c r="BJ43">
        <v>5</v>
      </c>
      <c r="BK43">
        <v>11</v>
      </c>
      <c r="BL43">
        <v>16</v>
      </c>
      <c r="BM43" t="s">
        <v>857</v>
      </c>
      <c r="CD43">
        <v>8</v>
      </c>
      <c r="CF43">
        <v>2</v>
      </c>
      <c r="CG43">
        <v>3</v>
      </c>
      <c r="CI43">
        <v>5</v>
      </c>
      <c r="CJ43">
        <v>5</v>
      </c>
      <c r="CK43" s="4">
        <f t="shared" si="13"/>
        <v>10</v>
      </c>
      <c r="CL43">
        <v>6</v>
      </c>
      <c r="CM43">
        <v>1</v>
      </c>
      <c r="CO43">
        <v>2</v>
      </c>
      <c r="CP43">
        <v>2</v>
      </c>
      <c r="CR43">
        <v>4</v>
      </c>
      <c r="CS43">
        <v>4</v>
      </c>
      <c r="CT43" t="s">
        <v>856</v>
      </c>
      <c r="DC43">
        <v>4</v>
      </c>
      <c r="DD43" t="s">
        <v>858</v>
      </c>
      <c r="DG43">
        <v>2</v>
      </c>
      <c r="DH43" t="s">
        <v>859</v>
      </c>
      <c r="DO43" t="s">
        <v>1745</v>
      </c>
      <c r="DP43" t="s">
        <v>1746</v>
      </c>
      <c r="DQ43" t="s">
        <v>1747</v>
      </c>
      <c r="DR43" t="s">
        <v>1753</v>
      </c>
      <c r="DW43">
        <v>22</v>
      </c>
      <c r="DX43" t="s">
        <v>853</v>
      </c>
      <c r="DY43">
        <v>2024</v>
      </c>
      <c r="DZ43" t="s">
        <v>1396</v>
      </c>
      <c r="EA43" t="s">
        <v>1871</v>
      </c>
      <c r="EB43" t="s">
        <v>1872</v>
      </c>
      <c r="EC43" t="s">
        <v>1873</v>
      </c>
      <c r="ED43" t="s">
        <v>1874</v>
      </c>
      <c r="EE43" t="s">
        <v>1873</v>
      </c>
      <c r="EF43" t="s">
        <v>442</v>
      </c>
      <c r="EG43" t="s">
        <v>443</v>
      </c>
      <c r="EH43" t="s">
        <v>1281</v>
      </c>
      <c r="EI43" s="11" t="s">
        <v>1283</v>
      </c>
      <c r="EJ43" t="s">
        <v>1229</v>
      </c>
      <c r="EK43" t="s">
        <v>1284</v>
      </c>
      <c r="EL43" s="11" t="s">
        <v>1285</v>
      </c>
      <c r="EM43" t="s">
        <v>867</v>
      </c>
      <c r="EN43" t="s">
        <v>1286</v>
      </c>
      <c r="EO43" s="11" t="s">
        <v>1287</v>
      </c>
      <c r="EP43" t="s">
        <v>867</v>
      </c>
      <c r="EQ43" t="s">
        <v>1288</v>
      </c>
      <c r="ER43" s="11" t="s">
        <v>1289</v>
      </c>
      <c r="ES43" t="s">
        <v>867</v>
      </c>
      <c r="ET43" t="s">
        <v>1290</v>
      </c>
      <c r="EU43" s="11" t="s">
        <v>1291</v>
      </c>
      <c r="EV43" t="s">
        <v>873</v>
      </c>
      <c r="EW43" t="s">
        <v>1292</v>
      </c>
      <c r="EX43" s="11" t="s">
        <v>1293</v>
      </c>
      <c r="EY43" t="s">
        <v>867</v>
      </c>
      <c r="EZ43" t="s">
        <v>1294</v>
      </c>
      <c r="FA43" s="11" t="s">
        <v>1295</v>
      </c>
      <c r="FB43" t="s">
        <v>870</v>
      </c>
      <c r="FC43" t="s">
        <v>1296</v>
      </c>
      <c r="FD43" s="11" t="s">
        <v>1297</v>
      </c>
      <c r="FE43" t="s">
        <v>867</v>
      </c>
      <c r="FF43" t="s">
        <v>1298</v>
      </c>
      <c r="FG43" s="11" t="s">
        <v>1299</v>
      </c>
      <c r="FH43" t="s">
        <v>870</v>
      </c>
      <c r="FI43" t="s">
        <v>1300</v>
      </c>
      <c r="FK43">
        <v>0</v>
      </c>
      <c r="FL43" s="4">
        <f t="shared" si="14"/>
        <v>0</v>
      </c>
      <c r="FN43">
        <v>0</v>
      </c>
      <c r="FO43" s="4">
        <f t="shared" si="15"/>
        <v>0</v>
      </c>
      <c r="FQ43">
        <v>0</v>
      </c>
      <c r="FR43" s="4">
        <f t="shared" si="16"/>
        <v>0</v>
      </c>
      <c r="FS43" t="s">
        <v>455</v>
      </c>
      <c r="FT43">
        <v>720</v>
      </c>
      <c r="FU43" s="4">
        <f t="shared" si="17"/>
        <v>4.8000000000000001E-2</v>
      </c>
      <c r="FV43" s="4">
        <f t="shared" si="18"/>
        <v>4.8000000000000001E-2</v>
      </c>
      <c r="FW43" s="4" t="str">
        <f t="shared" si="19"/>
        <v>ORDINARIO</v>
      </c>
      <c r="FX43" t="s">
        <v>1301</v>
      </c>
      <c r="FY43" t="s">
        <v>1302</v>
      </c>
      <c r="FZ43" t="s">
        <v>1303</v>
      </c>
      <c r="GA43" t="s">
        <v>1304</v>
      </c>
      <c r="GB43" t="s">
        <v>864</v>
      </c>
      <c r="GC43" t="s">
        <v>1305</v>
      </c>
      <c r="GD43" s="7" t="s">
        <v>842</v>
      </c>
      <c r="GE43" s="7" t="s">
        <v>842</v>
      </c>
      <c r="GF43" s="7" t="s">
        <v>842</v>
      </c>
      <c r="GG43" s="7" t="s">
        <v>842</v>
      </c>
      <c r="GH43" s="7" t="s">
        <v>842</v>
      </c>
      <c r="GI43" s="7" t="s">
        <v>842</v>
      </c>
      <c r="GJ43" s="7" t="s">
        <v>842</v>
      </c>
      <c r="GK43" s="7" t="s">
        <v>842</v>
      </c>
      <c r="GX43" s="7" t="s">
        <v>842</v>
      </c>
      <c r="HB43" s="7" t="s">
        <v>842</v>
      </c>
      <c r="HC43" t="s">
        <v>842</v>
      </c>
      <c r="HD43" t="s">
        <v>842</v>
      </c>
      <c r="HE43" s="7" t="s">
        <v>842</v>
      </c>
      <c r="HG43" s="7" t="s">
        <v>842</v>
      </c>
      <c r="HH43" s="7" t="s">
        <v>842</v>
      </c>
      <c r="HI43" s="7" t="s">
        <v>842</v>
      </c>
      <c r="HJ43" s="7" t="s">
        <v>842</v>
      </c>
      <c r="HL43" s="7" t="s">
        <v>842</v>
      </c>
      <c r="HM43" s="7" t="s">
        <v>842</v>
      </c>
      <c r="HN43" s="7" t="s">
        <v>842</v>
      </c>
      <c r="HO43" s="7" t="s">
        <v>842</v>
      </c>
      <c r="HS43" s="7" t="s">
        <v>842</v>
      </c>
      <c r="HT43" s="7" t="s">
        <v>842</v>
      </c>
      <c r="HU43" s="7" t="s">
        <v>842</v>
      </c>
      <c r="HV43" s="7" t="s">
        <v>842</v>
      </c>
      <c r="HW43" s="7" t="s">
        <v>842</v>
      </c>
      <c r="HX43" s="7" t="s">
        <v>842</v>
      </c>
      <c r="HY43" s="7" t="s">
        <v>842</v>
      </c>
      <c r="HZ43" s="7" t="s">
        <v>842</v>
      </c>
      <c r="IA43" s="7" t="s">
        <v>842</v>
      </c>
      <c r="IB43" s="7" t="s">
        <v>842</v>
      </c>
      <c r="ID43" s="7" t="s">
        <v>842</v>
      </c>
      <c r="IF43" s="7" t="s">
        <v>842</v>
      </c>
      <c r="IG43" s="7" t="s">
        <v>842</v>
      </c>
      <c r="IK43" s="7" t="s">
        <v>842</v>
      </c>
      <c r="IM43" s="7" t="s">
        <v>842</v>
      </c>
      <c r="IN43" s="7" t="s">
        <v>842</v>
      </c>
      <c r="IO43" s="7" t="s">
        <v>842</v>
      </c>
      <c r="IP43" s="7" t="s">
        <v>842</v>
      </c>
      <c r="IQ43" s="7" t="s">
        <v>842</v>
      </c>
      <c r="IR43" s="7" t="s">
        <v>842</v>
      </c>
      <c r="IS43" t="s">
        <v>842</v>
      </c>
      <c r="IU43" s="7" t="s">
        <v>842</v>
      </c>
      <c r="IV43" t="s">
        <v>842</v>
      </c>
      <c r="JB43" s="7" t="s">
        <v>842</v>
      </c>
      <c r="JE43" t="s">
        <v>842</v>
      </c>
      <c r="JF43" s="7" t="s">
        <v>842</v>
      </c>
      <c r="JG43" t="s">
        <v>842</v>
      </c>
      <c r="JH43" s="7" t="s">
        <v>842</v>
      </c>
      <c r="JI43" s="7" t="s">
        <v>842</v>
      </c>
      <c r="JJ43" s="7" t="s">
        <v>842</v>
      </c>
      <c r="JM43" s="7" t="s">
        <v>842</v>
      </c>
      <c r="JN43" s="7" t="s">
        <v>842</v>
      </c>
      <c r="JO43" s="7" t="s">
        <v>842</v>
      </c>
      <c r="JP43" s="7" t="s">
        <v>842</v>
      </c>
      <c r="JQ43" s="7" t="s">
        <v>842</v>
      </c>
      <c r="JR43" s="7" t="s">
        <v>842</v>
      </c>
      <c r="JS43" s="7" t="s">
        <v>842</v>
      </c>
      <c r="JT43" s="7" t="s">
        <v>842</v>
      </c>
      <c r="JU43" s="7" t="s">
        <v>842</v>
      </c>
      <c r="JW43" s="7" t="s">
        <v>842</v>
      </c>
      <c r="JZ43" s="7" t="s">
        <v>842</v>
      </c>
      <c r="KB43" s="7" t="s">
        <v>842</v>
      </c>
      <c r="KC43" t="s">
        <v>842</v>
      </c>
      <c r="KD43" t="s">
        <v>1306</v>
      </c>
      <c r="KE43" t="s">
        <v>873</v>
      </c>
      <c r="KG43" t="s">
        <v>1307</v>
      </c>
      <c r="KH43" t="s">
        <v>873</v>
      </c>
      <c r="KI43" t="s">
        <v>1308</v>
      </c>
    </row>
    <row r="44" spans="1:322" x14ac:dyDescent="0.3">
      <c r="A44">
        <v>42</v>
      </c>
      <c r="B44" t="s">
        <v>551</v>
      </c>
      <c r="C44" t="s">
        <v>1922</v>
      </c>
      <c r="D44" s="1" t="s">
        <v>1899</v>
      </c>
      <c r="E44" t="s">
        <v>1900</v>
      </c>
      <c r="G44" t="s">
        <v>1901</v>
      </c>
      <c r="H44" t="s">
        <v>1902</v>
      </c>
      <c r="I44" t="s">
        <v>1903</v>
      </c>
      <c r="J44">
        <v>2028</v>
      </c>
      <c r="K44" t="s">
        <v>995</v>
      </c>
      <c r="L44" t="s">
        <v>1904</v>
      </c>
      <c r="M44" t="s">
        <v>424</v>
      </c>
      <c r="N44" t="s">
        <v>424</v>
      </c>
      <c r="O44">
        <v>72590</v>
      </c>
      <c r="P44" t="s">
        <v>1905</v>
      </c>
      <c r="Q44" s="3" t="s">
        <v>1906</v>
      </c>
      <c r="R44">
        <v>10</v>
      </c>
      <c r="S44" t="s">
        <v>1907</v>
      </c>
      <c r="V44">
        <v>259</v>
      </c>
      <c r="W44">
        <v>259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 t="s">
        <v>1908</v>
      </c>
      <c r="AE44" t="s">
        <v>1922</v>
      </c>
      <c r="AF44" t="s">
        <v>1922</v>
      </c>
      <c r="AG44">
        <v>5</v>
      </c>
      <c r="AH44">
        <v>0</v>
      </c>
      <c r="AI44">
        <v>3</v>
      </c>
      <c r="AJ44">
        <v>2</v>
      </c>
      <c r="AK44">
        <v>0</v>
      </c>
      <c r="AL44">
        <v>0</v>
      </c>
      <c r="AM44">
        <v>1</v>
      </c>
      <c r="AN44">
        <v>7</v>
      </c>
      <c r="AO44">
        <v>4</v>
      </c>
      <c r="AP44" t="s">
        <v>1909</v>
      </c>
      <c r="AQ44" t="s">
        <v>1910</v>
      </c>
      <c r="AR44" s="4">
        <f t="shared" si="20"/>
        <v>10</v>
      </c>
      <c r="AS44">
        <v>1</v>
      </c>
      <c r="AT44" t="s">
        <v>1911</v>
      </c>
      <c r="AU44">
        <v>2</v>
      </c>
      <c r="AV44" t="s">
        <v>1912</v>
      </c>
      <c r="AW44">
        <v>2</v>
      </c>
      <c r="BE44">
        <v>1</v>
      </c>
      <c r="BF44" t="s">
        <v>1913</v>
      </c>
      <c r="BG44">
        <v>1</v>
      </c>
      <c r="BI44" t="s">
        <v>1911</v>
      </c>
      <c r="CD44">
        <v>3</v>
      </c>
      <c r="CF44">
        <v>1</v>
      </c>
      <c r="CH44">
        <v>1</v>
      </c>
      <c r="CI44">
        <v>1</v>
      </c>
      <c r="CJ44">
        <v>1</v>
      </c>
      <c r="CK44" s="4">
        <f t="shared" si="13"/>
        <v>1</v>
      </c>
      <c r="CL44">
        <v>1</v>
      </c>
      <c r="DW44">
        <v>10</v>
      </c>
      <c r="DX44" t="s">
        <v>1914</v>
      </c>
      <c r="DY44">
        <v>2024</v>
      </c>
      <c r="DZ44" t="s">
        <v>1915</v>
      </c>
      <c r="EA44" t="s">
        <v>438</v>
      </c>
      <c r="EB44" t="s">
        <v>1903</v>
      </c>
      <c r="EC44" t="s">
        <v>1916</v>
      </c>
      <c r="ED44" t="s">
        <v>554</v>
      </c>
      <c r="EF44" t="s">
        <v>442</v>
      </c>
      <c r="EG44" t="s">
        <v>443</v>
      </c>
      <c r="EI44" s="11" t="s">
        <v>1917</v>
      </c>
      <c r="EL44" s="11" t="s">
        <v>1918</v>
      </c>
      <c r="ER44" s="11" t="s">
        <v>1919</v>
      </c>
      <c r="EX44" s="11" t="s">
        <v>1920</v>
      </c>
      <c r="FK44">
        <v>0</v>
      </c>
      <c r="FL44" s="4">
        <f t="shared" si="14"/>
        <v>0</v>
      </c>
      <c r="FN44">
        <v>0</v>
      </c>
      <c r="FO44" s="4">
        <f t="shared" si="15"/>
        <v>0</v>
      </c>
      <c r="FQ44">
        <v>0</v>
      </c>
      <c r="FR44" s="4">
        <f t="shared" si="16"/>
        <v>0</v>
      </c>
      <c r="FS44" t="s">
        <v>1921</v>
      </c>
      <c r="FT44">
        <v>1000</v>
      </c>
      <c r="FU44" s="4">
        <f t="shared" si="17"/>
        <v>6.6666666666666666E-2</v>
      </c>
      <c r="FV44" s="4">
        <f t="shared" si="18"/>
        <v>6.6666666666666666E-2</v>
      </c>
      <c r="FW44" s="4" t="str">
        <f t="shared" si="19"/>
        <v>ORDINARIO</v>
      </c>
    </row>
    <row r="45" spans="1:322" x14ac:dyDescent="0.3">
      <c r="A45">
        <v>43</v>
      </c>
      <c r="B45" t="s">
        <v>551</v>
      </c>
      <c r="C45" t="s">
        <v>1923</v>
      </c>
      <c r="D45" s="1" t="s">
        <v>1924</v>
      </c>
      <c r="E45" t="s">
        <v>1925</v>
      </c>
      <c r="G45" t="s">
        <v>1926</v>
      </c>
      <c r="H45" t="s">
        <v>1927</v>
      </c>
      <c r="I45" t="s">
        <v>1928</v>
      </c>
      <c r="J45">
        <v>206</v>
      </c>
      <c r="K45" s="10"/>
      <c r="L45" t="s">
        <v>422</v>
      </c>
      <c r="M45" t="s">
        <v>1929</v>
      </c>
      <c r="N45" t="s">
        <v>424</v>
      </c>
      <c r="O45">
        <v>75200</v>
      </c>
      <c r="P45">
        <v>2231080462</v>
      </c>
      <c r="Q45" s="3" t="s">
        <v>1930</v>
      </c>
      <c r="R45">
        <v>45</v>
      </c>
      <c r="S45" t="s">
        <v>1931</v>
      </c>
      <c r="V45">
        <v>933</v>
      </c>
      <c r="W45">
        <v>933</v>
      </c>
      <c r="X45">
        <v>2</v>
      </c>
      <c r="Y45">
        <v>2</v>
      </c>
      <c r="Z45">
        <v>1</v>
      </c>
      <c r="AA45">
        <v>1</v>
      </c>
      <c r="AB45">
        <v>3</v>
      </c>
      <c r="AC45">
        <v>0</v>
      </c>
      <c r="AD45" t="s">
        <v>1932</v>
      </c>
      <c r="AE45" t="s">
        <v>1933</v>
      </c>
      <c r="AF45" t="s">
        <v>1933</v>
      </c>
      <c r="AG45">
        <v>6</v>
      </c>
      <c r="AH45">
        <v>0</v>
      </c>
      <c r="AI45">
        <v>4</v>
      </c>
      <c r="AJ45">
        <v>2</v>
      </c>
      <c r="AK45">
        <v>0</v>
      </c>
      <c r="AL45">
        <v>0</v>
      </c>
      <c r="AM45">
        <v>1</v>
      </c>
      <c r="AN45">
        <v>20</v>
      </c>
      <c r="AO45">
        <v>3</v>
      </c>
      <c r="AP45" t="s">
        <v>1909</v>
      </c>
      <c r="AQ45" t="s">
        <v>1934</v>
      </c>
      <c r="AR45" s="4">
        <f t="shared" si="20"/>
        <v>18</v>
      </c>
      <c r="AU45">
        <v>4</v>
      </c>
      <c r="AV45" t="s">
        <v>1935</v>
      </c>
      <c r="AW45">
        <v>4</v>
      </c>
      <c r="BE45">
        <v>1</v>
      </c>
      <c r="BF45" t="s">
        <v>753</v>
      </c>
      <c r="BI45" t="s">
        <v>754</v>
      </c>
      <c r="CD45">
        <v>10</v>
      </c>
      <c r="CF45">
        <v>1</v>
      </c>
      <c r="CH45">
        <v>1</v>
      </c>
      <c r="CI45">
        <v>1</v>
      </c>
      <c r="CJ45">
        <v>3</v>
      </c>
      <c r="CK45" s="4">
        <f t="shared" si="13"/>
        <v>1</v>
      </c>
      <c r="CL45">
        <v>1</v>
      </c>
      <c r="DW45">
        <v>8</v>
      </c>
      <c r="DX45" t="s">
        <v>1914</v>
      </c>
      <c r="DY45">
        <v>2024</v>
      </c>
      <c r="DZ45" t="s">
        <v>1936</v>
      </c>
      <c r="EA45" t="s">
        <v>438</v>
      </c>
      <c r="EB45" t="s">
        <v>1928</v>
      </c>
      <c r="EC45" t="s">
        <v>819</v>
      </c>
      <c r="ED45" t="s">
        <v>819</v>
      </c>
      <c r="EF45" t="s">
        <v>442</v>
      </c>
      <c r="EG45" t="s">
        <v>443</v>
      </c>
      <c r="EI45" s="11" t="s">
        <v>1937</v>
      </c>
      <c r="EL45" s="11" t="s">
        <v>1939</v>
      </c>
      <c r="ER45" s="11" t="s">
        <v>1940</v>
      </c>
      <c r="EX45" s="11" t="s">
        <v>1938</v>
      </c>
      <c r="FD45" s="11" t="s">
        <v>1941</v>
      </c>
      <c r="FJ45" t="s">
        <v>1942</v>
      </c>
      <c r="FK45">
        <v>30</v>
      </c>
      <c r="FL45" s="4">
        <f t="shared" si="14"/>
        <v>0.01</v>
      </c>
      <c r="FN45">
        <v>0</v>
      </c>
      <c r="FO45" s="4">
        <f t="shared" si="15"/>
        <v>0</v>
      </c>
      <c r="FQ45">
        <v>0</v>
      </c>
      <c r="FR45" s="4">
        <f t="shared" si="16"/>
        <v>0</v>
      </c>
      <c r="FS45" t="s">
        <v>455</v>
      </c>
      <c r="FT45">
        <v>7000</v>
      </c>
      <c r="FU45" s="4">
        <f t="shared" si="17"/>
        <v>0.46666666666666667</v>
      </c>
      <c r="FV45" s="4">
        <f t="shared" si="18"/>
        <v>0.47666666666666668</v>
      </c>
      <c r="FW45" s="4" t="str">
        <f t="shared" si="19"/>
        <v>ORDINARIO</v>
      </c>
    </row>
    <row r="46" spans="1:322" x14ac:dyDescent="0.3">
      <c r="A46">
        <v>44</v>
      </c>
      <c r="B46" t="s">
        <v>551</v>
      </c>
      <c r="C46" t="s">
        <v>1943</v>
      </c>
      <c r="D46" s="1" t="s">
        <v>1944</v>
      </c>
      <c r="E46" t="s">
        <v>1945</v>
      </c>
      <c r="G46" t="s">
        <v>1946</v>
      </c>
      <c r="H46" t="s">
        <v>1967</v>
      </c>
      <c r="I46" t="s">
        <v>1928</v>
      </c>
      <c r="J46">
        <v>150</v>
      </c>
      <c r="K46" t="s">
        <v>1947</v>
      </c>
      <c r="L46" t="s">
        <v>422</v>
      </c>
      <c r="M46" t="s">
        <v>1929</v>
      </c>
      <c r="N46" t="s">
        <v>424</v>
      </c>
      <c r="O46">
        <v>75700</v>
      </c>
      <c r="P46">
        <v>2223718725</v>
      </c>
      <c r="Q46" s="3" t="s">
        <v>1948</v>
      </c>
      <c r="R46">
        <v>31</v>
      </c>
      <c r="S46" t="s">
        <v>1949</v>
      </c>
      <c r="V46">
        <v>231.96</v>
      </c>
      <c r="W46">
        <v>231.96</v>
      </c>
      <c r="X46">
        <v>1</v>
      </c>
      <c r="Y46">
        <v>2</v>
      </c>
      <c r="Z46">
        <v>1</v>
      </c>
      <c r="AA46">
        <v>1</v>
      </c>
      <c r="AB46">
        <v>1</v>
      </c>
      <c r="AC46">
        <v>0</v>
      </c>
      <c r="AD46" t="s">
        <v>849</v>
      </c>
      <c r="AE46" t="s">
        <v>1950</v>
      </c>
      <c r="AF46" t="s">
        <v>1951</v>
      </c>
      <c r="AG46">
        <v>8</v>
      </c>
      <c r="AH46">
        <v>0</v>
      </c>
      <c r="AI46">
        <v>2</v>
      </c>
      <c r="AJ46">
        <v>6</v>
      </c>
      <c r="AK46">
        <v>0</v>
      </c>
      <c r="AL46">
        <v>0</v>
      </c>
      <c r="AM46">
        <v>2</v>
      </c>
      <c r="AN46">
        <v>200</v>
      </c>
      <c r="AO46">
        <v>4</v>
      </c>
      <c r="AP46" t="s">
        <v>430</v>
      </c>
      <c r="AQ46" t="s">
        <v>1968</v>
      </c>
      <c r="AR46" s="4">
        <f t="shared" si="20"/>
        <v>13</v>
      </c>
      <c r="AS46">
        <v>1</v>
      </c>
      <c r="AT46" t="s">
        <v>1953</v>
      </c>
      <c r="AU46">
        <v>2</v>
      </c>
      <c r="AV46" t="s">
        <v>1952</v>
      </c>
      <c r="AW46">
        <v>2</v>
      </c>
      <c r="BL46">
        <v>5</v>
      </c>
      <c r="BM46" t="s">
        <v>1954</v>
      </c>
      <c r="CD46">
        <v>6</v>
      </c>
      <c r="CF46">
        <v>1</v>
      </c>
      <c r="CG46">
        <v>1</v>
      </c>
      <c r="CI46">
        <v>2</v>
      </c>
      <c r="CJ46">
        <v>1</v>
      </c>
      <c r="CK46" s="4">
        <f t="shared" ref="CK46:CK77" si="21">+CL46+CN46+CO46+CP46+CQ46</f>
        <v>2</v>
      </c>
      <c r="CL46">
        <v>2</v>
      </c>
      <c r="DW46">
        <v>21</v>
      </c>
      <c r="DX46" t="s">
        <v>541</v>
      </c>
      <c r="DY46">
        <v>2024</v>
      </c>
      <c r="DZ46" t="s">
        <v>1955</v>
      </c>
      <c r="EA46" t="s">
        <v>1928</v>
      </c>
      <c r="EB46" t="s">
        <v>1956</v>
      </c>
      <c r="EC46" t="s">
        <v>1957</v>
      </c>
      <c r="ED46" t="s">
        <v>1958</v>
      </c>
      <c r="EF46" t="s">
        <v>442</v>
      </c>
      <c r="EG46" t="s">
        <v>443</v>
      </c>
      <c r="EI46" s="11" t="s">
        <v>1959</v>
      </c>
      <c r="EL46" s="11" t="s">
        <v>1960</v>
      </c>
      <c r="EO46" s="11" t="s">
        <v>1961</v>
      </c>
      <c r="ER46" s="11" t="s">
        <v>1962</v>
      </c>
      <c r="EU46" t="s">
        <v>1963</v>
      </c>
      <c r="EX46" t="s">
        <v>1964</v>
      </c>
      <c r="FA46" t="s">
        <v>1965</v>
      </c>
      <c r="FK46">
        <v>0</v>
      </c>
      <c r="FL46" s="4">
        <f t="shared" ref="FL46:FL77" si="22">+FK46/3000</f>
        <v>0</v>
      </c>
      <c r="FM46" t="s">
        <v>1966</v>
      </c>
      <c r="FN46">
        <v>272</v>
      </c>
      <c r="FO46" s="4">
        <f t="shared" ref="FO46:FO77" si="23">+FN46/1400</f>
        <v>0.19428571428571428</v>
      </c>
      <c r="FQ46">
        <v>0</v>
      </c>
      <c r="FR46" s="4">
        <f t="shared" ref="FR46:FR77" si="24">+FQ46/2000</f>
        <v>0</v>
      </c>
      <c r="FS46" t="s">
        <v>455</v>
      </c>
      <c r="FT46">
        <v>500</v>
      </c>
      <c r="FU46" s="4">
        <f t="shared" ref="FU46:FU77" si="25">+FT46/15000</f>
        <v>3.3333333333333333E-2</v>
      </c>
      <c r="FV46" s="4">
        <f t="shared" ref="FV46:FV77" si="26">+FL46+FO46+FR46+FU46</f>
        <v>0.22761904761904761</v>
      </c>
      <c r="FW46" s="4" t="str">
        <f t="shared" ref="FW46:FW77" si="27">+IF((FL46+FO46+FR46+FU46)&gt;=1,"ALTO","ORDINARIO")</f>
        <v>ORDINARIO</v>
      </c>
    </row>
    <row r="47" spans="1:322" x14ac:dyDescent="0.3">
      <c r="A47">
        <v>45</v>
      </c>
      <c r="B47" t="s">
        <v>1890</v>
      </c>
      <c r="C47" t="s">
        <v>1970</v>
      </c>
      <c r="D47" s="1" t="s">
        <v>1971</v>
      </c>
      <c r="E47" t="s">
        <v>1972</v>
      </c>
      <c r="G47" t="s">
        <v>1973</v>
      </c>
      <c r="I47" t="s">
        <v>1974</v>
      </c>
      <c r="J47">
        <v>22</v>
      </c>
      <c r="L47" t="s">
        <v>422</v>
      </c>
      <c r="M47" t="s">
        <v>1975</v>
      </c>
      <c r="N47" t="s">
        <v>1976</v>
      </c>
      <c r="O47">
        <v>70600</v>
      </c>
      <c r="P47" t="s">
        <v>1977</v>
      </c>
      <c r="R47">
        <v>33</v>
      </c>
      <c r="S47" s="12">
        <v>39264</v>
      </c>
      <c r="V47">
        <v>612.16999999999996</v>
      </c>
      <c r="W47">
        <v>194.03</v>
      </c>
      <c r="Y47">
        <v>2</v>
      </c>
      <c r="AE47" t="s">
        <v>1978</v>
      </c>
      <c r="AF47" t="s">
        <v>1979</v>
      </c>
      <c r="AG47">
        <v>28</v>
      </c>
      <c r="AN47">
        <v>20</v>
      </c>
      <c r="AQ47" t="s">
        <v>1980</v>
      </c>
      <c r="AR47" s="4">
        <f t="shared" si="20"/>
        <v>0</v>
      </c>
      <c r="CK47" s="4">
        <f t="shared" si="21"/>
        <v>0</v>
      </c>
      <c r="DS47" t="s">
        <v>1981</v>
      </c>
      <c r="DW47">
        <v>19</v>
      </c>
      <c r="DX47" t="s">
        <v>1914</v>
      </c>
      <c r="DY47">
        <v>2024</v>
      </c>
      <c r="DZ47" t="s">
        <v>1982</v>
      </c>
      <c r="EA47" t="s">
        <v>1983</v>
      </c>
      <c r="EB47" t="s">
        <v>1984</v>
      </c>
      <c r="EC47" t="s">
        <v>1985</v>
      </c>
      <c r="ED47" t="s">
        <v>1986</v>
      </c>
      <c r="EE47" t="s">
        <v>1987</v>
      </c>
      <c r="FL47" s="4">
        <f t="shared" si="22"/>
        <v>0</v>
      </c>
      <c r="FO47" s="4">
        <f t="shared" si="23"/>
        <v>0</v>
      </c>
      <c r="FR47" s="4">
        <f t="shared" si="24"/>
        <v>0</v>
      </c>
      <c r="FU47" s="4">
        <f t="shared" si="25"/>
        <v>0</v>
      </c>
      <c r="FV47" s="4">
        <f t="shared" si="26"/>
        <v>0</v>
      </c>
      <c r="FW47" s="4" t="str">
        <f t="shared" si="27"/>
        <v>ORDINARIO</v>
      </c>
    </row>
    <row r="48" spans="1:322" x14ac:dyDescent="0.3">
      <c r="A48">
        <v>46</v>
      </c>
      <c r="B48" t="s">
        <v>1890</v>
      </c>
      <c r="C48" t="s">
        <v>1970</v>
      </c>
      <c r="D48" s="1" t="s">
        <v>1988</v>
      </c>
      <c r="E48" t="s">
        <v>1972</v>
      </c>
      <c r="G48" t="s">
        <v>1973</v>
      </c>
      <c r="I48" t="s">
        <v>1989</v>
      </c>
      <c r="J48">
        <v>35</v>
      </c>
      <c r="K48" t="s">
        <v>848</v>
      </c>
      <c r="L48" t="s">
        <v>1990</v>
      </c>
      <c r="M48" t="s">
        <v>1991</v>
      </c>
      <c r="N48" t="s">
        <v>1976</v>
      </c>
      <c r="O48">
        <v>70760</v>
      </c>
      <c r="AG48">
        <v>25</v>
      </c>
      <c r="AN48">
        <v>15</v>
      </c>
      <c r="AR48" s="4">
        <f t="shared" si="20"/>
        <v>0</v>
      </c>
      <c r="CK48" s="4">
        <f t="shared" si="21"/>
        <v>0</v>
      </c>
      <c r="DW48">
        <v>18</v>
      </c>
      <c r="DX48" t="s">
        <v>1914</v>
      </c>
      <c r="DY48">
        <v>2024</v>
      </c>
      <c r="FL48" s="4">
        <f t="shared" si="22"/>
        <v>0</v>
      </c>
      <c r="FO48" s="4">
        <f t="shared" si="23"/>
        <v>0</v>
      </c>
      <c r="FR48" s="4">
        <f t="shared" si="24"/>
        <v>0</v>
      </c>
      <c r="FU48" s="4">
        <f t="shared" si="25"/>
        <v>0</v>
      </c>
      <c r="FV48" s="4">
        <f t="shared" si="26"/>
        <v>0</v>
      </c>
      <c r="FW48" s="4" t="str">
        <f t="shared" si="27"/>
        <v>ORDINARIO</v>
      </c>
    </row>
    <row r="49" spans="1:179" x14ac:dyDescent="0.3">
      <c r="A49">
        <v>47</v>
      </c>
      <c r="B49" t="s">
        <v>1890</v>
      </c>
      <c r="C49" t="s">
        <v>1970</v>
      </c>
      <c r="D49" s="1" t="s">
        <v>1992</v>
      </c>
      <c r="E49" t="s">
        <v>1972</v>
      </c>
      <c r="G49" t="s">
        <v>1973</v>
      </c>
      <c r="I49" t="s">
        <v>1993</v>
      </c>
      <c r="J49">
        <v>75</v>
      </c>
      <c r="L49" t="s">
        <v>1994</v>
      </c>
      <c r="M49" t="s">
        <v>1995</v>
      </c>
      <c r="N49" t="s">
        <v>1976</v>
      </c>
      <c r="O49">
        <v>70000</v>
      </c>
      <c r="AG49">
        <v>27</v>
      </c>
      <c r="AN49">
        <v>100</v>
      </c>
      <c r="AR49" s="4">
        <f t="shared" si="20"/>
        <v>0</v>
      </c>
      <c r="CK49" s="4">
        <f t="shared" si="21"/>
        <v>0</v>
      </c>
      <c r="DW49">
        <v>17</v>
      </c>
      <c r="DX49" t="s">
        <v>1914</v>
      </c>
      <c r="DY49">
        <v>2024</v>
      </c>
      <c r="FL49" s="4">
        <f t="shared" si="22"/>
        <v>0</v>
      </c>
      <c r="FO49" s="4">
        <f t="shared" si="23"/>
        <v>0</v>
      </c>
      <c r="FR49" s="4">
        <f t="shared" si="24"/>
        <v>0</v>
      </c>
      <c r="FU49" s="4">
        <f t="shared" si="25"/>
        <v>0</v>
      </c>
      <c r="FV49" s="4">
        <f t="shared" si="26"/>
        <v>0</v>
      </c>
      <c r="FW49" s="4" t="str">
        <f t="shared" si="27"/>
        <v>ORDINARIO</v>
      </c>
    </row>
    <row r="50" spans="1:179" x14ac:dyDescent="0.3">
      <c r="A50">
        <v>48</v>
      </c>
      <c r="B50" t="s">
        <v>1890</v>
      </c>
      <c r="C50" t="s">
        <v>1970</v>
      </c>
      <c r="D50" s="1" t="s">
        <v>1996</v>
      </c>
      <c r="E50" t="s">
        <v>1972</v>
      </c>
      <c r="G50" t="s">
        <v>1973</v>
      </c>
      <c r="I50" t="s">
        <v>1997</v>
      </c>
      <c r="J50">
        <v>302</v>
      </c>
      <c r="L50" t="s">
        <v>422</v>
      </c>
      <c r="M50" t="s">
        <v>1998</v>
      </c>
      <c r="N50" t="s">
        <v>1976</v>
      </c>
      <c r="O50">
        <v>70300</v>
      </c>
      <c r="AG50">
        <v>31</v>
      </c>
      <c r="AN50">
        <v>10</v>
      </c>
      <c r="AR50" s="4">
        <f t="shared" si="20"/>
        <v>0</v>
      </c>
      <c r="CK50" s="4">
        <f t="shared" si="21"/>
        <v>0</v>
      </c>
      <c r="DW50">
        <v>16</v>
      </c>
      <c r="DX50" t="s">
        <v>1914</v>
      </c>
      <c r="DY50">
        <v>2024</v>
      </c>
      <c r="FL50" s="4">
        <f t="shared" si="22"/>
        <v>0</v>
      </c>
      <c r="FO50" s="4">
        <f t="shared" si="23"/>
        <v>0</v>
      </c>
      <c r="FR50" s="4">
        <f t="shared" si="24"/>
        <v>0</v>
      </c>
      <c r="FU50" s="4">
        <f t="shared" si="25"/>
        <v>0</v>
      </c>
      <c r="FV50" s="4">
        <f t="shared" si="26"/>
        <v>0</v>
      </c>
      <c r="FW50" s="4" t="str">
        <f t="shared" si="27"/>
        <v>ORDINARIO</v>
      </c>
    </row>
    <row r="51" spans="1:179" x14ac:dyDescent="0.3">
      <c r="A51">
        <v>49</v>
      </c>
      <c r="B51" t="s">
        <v>578</v>
      </c>
      <c r="C51" t="s">
        <v>804</v>
      </c>
      <c r="D51" s="1" t="s">
        <v>1999</v>
      </c>
      <c r="E51" t="s">
        <v>807</v>
      </c>
      <c r="F51" t="s">
        <v>2000</v>
      </c>
      <c r="G51" t="s">
        <v>578</v>
      </c>
      <c r="H51" t="s">
        <v>2001</v>
      </c>
      <c r="I51" t="s">
        <v>2002</v>
      </c>
      <c r="J51">
        <v>134</v>
      </c>
      <c r="L51" t="s">
        <v>2003</v>
      </c>
      <c r="M51" t="s">
        <v>2004</v>
      </c>
      <c r="N51" t="s">
        <v>424</v>
      </c>
      <c r="O51">
        <v>73560</v>
      </c>
      <c r="P51">
        <v>2333310437</v>
      </c>
      <c r="Q51" s="3" t="s">
        <v>2005</v>
      </c>
      <c r="R51">
        <v>29</v>
      </c>
      <c r="S51" t="s">
        <v>2006</v>
      </c>
      <c r="V51">
        <v>968.74</v>
      </c>
      <c r="W51">
        <v>968.74</v>
      </c>
      <c r="X51">
        <v>1</v>
      </c>
      <c r="Y51">
        <v>1</v>
      </c>
      <c r="Z51">
        <v>2</v>
      </c>
      <c r="AA51">
        <v>2</v>
      </c>
      <c r="AB51">
        <v>0</v>
      </c>
      <c r="AC51">
        <v>0</v>
      </c>
      <c r="AD51" t="s">
        <v>1235</v>
      </c>
      <c r="AE51" t="s">
        <v>751</v>
      </c>
      <c r="AF51" t="s">
        <v>2007</v>
      </c>
      <c r="AG51">
        <v>9</v>
      </c>
      <c r="AH51">
        <v>0</v>
      </c>
      <c r="AI51">
        <v>5</v>
      </c>
      <c r="AJ51">
        <v>4</v>
      </c>
      <c r="AK51">
        <v>0</v>
      </c>
      <c r="AL51">
        <v>0</v>
      </c>
      <c r="AM51">
        <v>3</v>
      </c>
      <c r="AN51">
        <v>100</v>
      </c>
      <c r="AO51">
        <v>4</v>
      </c>
      <c r="AP51" t="s">
        <v>430</v>
      </c>
      <c r="AQ51" t="s">
        <v>431</v>
      </c>
      <c r="AR51" s="4">
        <f t="shared" si="20"/>
        <v>13</v>
      </c>
      <c r="AS51">
        <v>1</v>
      </c>
      <c r="AT51" t="s">
        <v>754</v>
      </c>
      <c r="AU51">
        <v>5</v>
      </c>
      <c r="AV51" t="s">
        <v>752</v>
      </c>
      <c r="AW51">
        <v>5</v>
      </c>
      <c r="AY51">
        <v>3</v>
      </c>
      <c r="AZ51" t="s">
        <v>792</v>
      </c>
      <c r="BA51">
        <v>3</v>
      </c>
      <c r="BB51" t="s">
        <v>1696</v>
      </c>
      <c r="BC51">
        <v>1</v>
      </c>
      <c r="BD51" t="s">
        <v>2025</v>
      </c>
      <c r="BE51">
        <v>1</v>
      </c>
      <c r="BF51" t="s">
        <v>1913</v>
      </c>
      <c r="BG51">
        <v>1</v>
      </c>
      <c r="BI51" t="s">
        <v>754</v>
      </c>
      <c r="CD51">
        <v>6</v>
      </c>
      <c r="CJ51">
        <v>2</v>
      </c>
      <c r="CK51" s="4">
        <f t="shared" si="21"/>
        <v>6</v>
      </c>
      <c r="CL51">
        <v>2</v>
      </c>
      <c r="CN51">
        <v>2</v>
      </c>
      <c r="CO51">
        <v>2</v>
      </c>
      <c r="DI51">
        <v>2</v>
      </c>
      <c r="DJ51" t="s">
        <v>2008</v>
      </c>
      <c r="DK51">
        <v>3</v>
      </c>
      <c r="DL51">
        <v>40000</v>
      </c>
      <c r="DM51">
        <v>60000</v>
      </c>
      <c r="DN51">
        <v>60000</v>
      </c>
      <c r="DW51">
        <v>2</v>
      </c>
      <c r="DX51" t="s">
        <v>1914</v>
      </c>
      <c r="DY51">
        <v>2024</v>
      </c>
      <c r="DZ51" t="s">
        <v>2009</v>
      </c>
      <c r="EA51" t="s">
        <v>2010</v>
      </c>
      <c r="EB51" t="s">
        <v>2011</v>
      </c>
      <c r="EC51" t="s">
        <v>2012</v>
      </c>
      <c r="ED51" t="s">
        <v>2013</v>
      </c>
      <c r="EF51" t="s">
        <v>442</v>
      </c>
      <c r="EG51" t="s">
        <v>443</v>
      </c>
      <c r="EI51" s="11" t="s">
        <v>2014</v>
      </c>
      <c r="EJ51" t="s">
        <v>2015</v>
      </c>
      <c r="EL51" s="11" t="s">
        <v>2016</v>
      </c>
      <c r="EM51" t="s">
        <v>2017</v>
      </c>
      <c r="EO51" s="11" t="s">
        <v>2018</v>
      </c>
      <c r="EP51" t="s">
        <v>2019</v>
      </c>
      <c r="ER51" s="11" t="s">
        <v>2020</v>
      </c>
      <c r="ES51" t="s">
        <v>2019</v>
      </c>
      <c r="EU51" s="11" t="s">
        <v>2021</v>
      </c>
      <c r="EV51" t="s">
        <v>2019</v>
      </c>
      <c r="EX51" s="11" t="s">
        <v>2022</v>
      </c>
      <c r="EY51" t="s">
        <v>2019</v>
      </c>
      <c r="FA51" s="11" t="s">
        <v>2023</v>
      </c>
      <c r="FB51" t="s">
        <v>2019</v>
      </c>
      <c r="FD51" s="11" t="s">
        <v>2024</v>
      </c>
      <c r="FE51" t="s">
        <v>2019</v>
      </c>
      <c r="FK51">
        <v>0</v>
      </c>
      <c r="FL51" s="4">
        <f t="shared" si="22"/>
        <v>0</v>
      </c>
      <c r="FM51" t="s">
        <v>454</v>
      </c>
      <c r="FN51">
        <v>100000</v>
      </c>
      <c r="FO51" s="4">
        <f t="shared" si="23"/>
        <v>71.428571428571431</v>
      </c>
      <c r="FP51" t="s">
        <v>760</v>
      </c>
      <c r="FQ51">
        <v>60100</v>
      </c>
      <c r="FR51" s="4">
        <f t="shared" si="24"/>
        <v>30.05</v>
      </c>
      <c r="FS51" t="s">
        <v>455</v>
      </c>
      <c r="FT51">
        <v>540</v>
      </c>
      <c r="FU51" s="4">
        <f t="shared" si="25"/>
        <v>3.5999999999999997E-2</v>
      </c>
      <c r="FV51" s="4">
        <f t="shared" si="26"/>
        <v>101.51457142857143</v>
      </c>
      <c r="FW51" s="4" t="str">
        <f t="shared" si="27"/>
        <v>ALTO</v>
      </c>
    </row>
    <row r="52" spans="1:179" x14ac:dyDescent="0.3">
      <c r="A52">
        <v>50</v>
      </c>
      <c r="B52" t="s">
        <v>1890</v>
      </c>
      <c r="C52" t="s">
        <v>1970</v>
      </c>
      <c r="D52" s="1" t="s">
        <v>2026</v>
      </c>
      <c r="E52" t="s">
        <v>1972</v>
      </c>
      <c r="G52" t="s">
        <v>1973</v>
      </c>
      <c r="I52" t="s">
        <v>2027</v>
      </c>
      <c r="J52">
        <v>94</v>
      </c>
      <c r="L52" t="s">
        <v>2028</v>
      </c>
      <c r="M52" t="s">
        <v>2030</v>
      </c>
      <c r="N52" t="s">
        <v>1976</v>
      </c>
      <c r="O52">
        <v>68405</v>
      </c>
      <c r="AG52">
        <v>18</v>
      </c>
      <c r="AN52">
        <v>133</v>
      </c>
      <c r="AR52" s="4">
        <f t="shared" si="20"/>
        <v>0</v>
      </c>
      <c r="CK52" s="4">
        <f t="shared" si="21"/>
        <v>0</v>
      </c>
      <c r="DW52">
        <v>15</v>
      </c>
      <c r="DX52" t="s">
        <v>1914</v>
      </c>
      <c r="DY52">
        <v>2024</v>
      </c>
      <c r="FL52" s="4">
        <f t="shared" si="22"/>
        <v>0</v>
      </c>
      <c r="FO52" s="4">
        <f t="shared" si="23"/>
        <v>0</v>
      </c>
      <c r="FR52" s="4">
        <f t="shared" si="24"/>
        <v>0</v>
      </c>
      <c r="FU52" s="4">
        <f t="shared" si="25"/>
        <v>0</v>
      </c>
      <c r="FV52" s="4">
        <f t="shared" si="26"/>
        <v>0</v>
      </c>
      <c r="FW52" s="4" t="str">
        <f t="shared" si="27"/>
        <v>ORDINARIO</v>
      </c>
    </row>
    <row r="53" spans="1:179" x14ac:dyDescent="0.3">
      <c r="A53">
        <v>51</v>
      </c>
      <c r="B53" t="s">
        <v>1890</v>
      </c>
      <c r="C53" t="s">
        <v>1970</v>
      </c>
      <c r="D53" s="1" t="s">
        <v>2029</v>
      </c>
      <c r="E53" t="s">
        <v>1972</v>
      </c>
      <c r="G53" t="s">
        <v>1973</v>
      </c>
      <c r="I53" t="s">
        <v>757</v>
      </c>
      <c r="J53">
        <v>8</v>
      </c>
      <c r="L53" t="s">
        <v>422</v>
      </c>
      <c r="M53" t="s">
        <v>2030</v>
      </c>
      <c r="N53" t="s">
        <v>1976</v>
      </c>
      <c r="O53">
        <v>68400</v>
      </c>
      <c r="AG53">
        <v>4</v>
      </c>
      <c r="AN53">
        <v>100</v>
      </c>
      <c r="AR53" s="4">
        <f t="shared" si="20"/>
        <v>0</v>
      </c>
      <c r="CK53" s="4">
        <f t="shared" si="21"/>
        <v>0</v>
      </c>
      <c r="DW53">
        <v>15</v>
      </c>
      <c r="DX53" t="s">
        <v>1914</v>
      </c>
      <c r="DY53">
        <v>2024</v>
      </c>
      <c r="FL53" s="4">
        <f t="shared" si="22"/>
        <v>0</v>
      </c>
      <c r="FO53" s="4">
        <f t="shared" si="23"/>
        <v>0</v>
      </c>
      <c r="FR53" s="4">
        <f t="shared" si="24"/>
        <v>0</v>
      </c>
      <c r="FU53" s="4">
        <f t="shared" si="25"/>
        <v>0</v>
      </c>
      <c r="FV53" s="4">
        <f t="shared" si="26"/>
        <v>0</v>
      </c>
      <c r="FW53" s="4" t="str">
        <f t="shared" si="27"/>
        <v>ORDINARIO</v>
      </c>
    </row>
    <row r="54" spans="1:179" x14ac:dyDescent="0.3">
      <c r="A54">
        <v>52</v>
      </c>
      <c r="B54" t="s">
        <v>1890</v>
      </c>
      <c r="C54" t="s">
        <v>2031</v>
      </c>
      <c r="D54" s="1" t="s">
        <v>2032</v>
      </c>
      <c r="E54" t="s">
        <v>2033</v>
      </c>
      <c r="G54" t="s">
        <v>845</v>
      </c>
      <c r="I54" t="s">
        <v>2034</v>
      </c>
      <c r="J54">
        <v>1011</v>
      </c>
      <c r="L54" t="s">
        <v>2035</v>
      </c>
      <c r="M54" t="s">
        <v>2036</v>
      </c>
      <c r="N54" t="s">
        <v>1976</v>
      </c>
      <c r="O54">
        <v>68310</v>
      </c>
      <c r="AG54">
        <v>14</v>
      </c>
      <c r="AN54">
        <v>15</v>
      </c>
      <c r="AR54" s="4">
        <f t="shared" si="20"/>
        <v>0</v>
      </c>
      <c r="CK54" s="4">
        <f t="shared" si="21"/>
        <v>0</v>
      </c>
      <c r="DW54">
        <v>18</v>
      </c>
      <c r="DX54" t="s">
        <v>1914</v>
      </c>
      <c r="DY54">
        <v>2024</v>
      </c>
      <c r="FL54" s="4">
        <f t="shared" si="22"/>
        <v>0</v>
      </c>
      <c r="FO54" s="4">
        <f t="shared" si="23"/>
        <v>0</v>
      </c>
      <c r="FR54" s="4">
        <f t="shared" si="24"/>
        <v>0</v>
      </c>
      <c r="FU54" s="4">
        <f t="shared" si="25"/>
        <v>0</v>
      </c>
      <c r="FV54" s="4">
        <f t="shared" si="26"/>
        <v>0</v>
      </c>
      <c r="FW54" s="4" t="str">
        <f t="shared" si="27"/>
        <v>ORDINARIO</v>
      </c>
    </row>
    <row r="55" spans="1:179" x14ac:dyDescent="0.3">
      <c r="A55">
        <v>53</v>
      </c>
      <c r="B55" t="s">
        <v>551</v>
      </c>
      <c r="C55" t="s">
        <v>2037</v>
      </c>
      <c r="D55" t="s">
        <v>2055</v>
      </c>
      <c r="E55" t="s">
        <v>2038</v>
      </c>
      <c r="F55" t="s">
        <v>2055</v>
      </c>
      <c r="G55" t="s">
        <v>2046</v>
      </c>
      <c r="H55" t="s">
        <v>2131</v>
      </c>
      <c r="I55" t="s">
        <v>2047</v>
      </c>
      <c r="J55">
        <v>5906</v>
      </c>
      <c r="K55" s="10" t="s">
        <v>2132</v>
      </c>
      <c r="L55" t="s">
        <v>2048</v>
      </c>
      <c r="M55" t="s">
        <v>424</v>
      </c>
      <c r="N55" t="s">
        <v>424</v>
      </c>
      <c r="O55">
        <v>72440</v>
      </c>
      <c r="P55" t="s">
        <v>2063</v>
      </c>
      <c r="Q55" s="3" t="s">
        <v>2064</v>
      </c>
      <c r="R55">
        <v>13</v>
      </c>
      <c r="S55" t="s">
        <v>2065</v>
      </c>
      <c r="T55" t="str">
        <f>+IF(V55&gt;1000,"JORGE MANUEL ISLAS GOWER", "NOE MORA RAMIREZ")</f>
        <v>JORGE MANUEL ISLAS GOWER</v>
      </c>
      <c r="V55">
        <v>2485</v>
      </c>
      <c r="W55">
        <v>4639.5200000000004</v>
      </c>
      <c r="X55">
        <v>4</v>
      </c>
      <c r="Y55">
        <v>4</v>
      </c>
      <c r="Z55">
        <v>2</v>
      </c>
      <c r="AA55">
        <v>2</v>
      </c>
      <c r="AB55">
        <v>1</v>
      </c>
      <c r="AC55">
        <v>0</v>
      </c>
      <c r="AD55" t="s">
        <v>427</v>
      </c>
      <c r="AE55" t="s">
        <v>2049</v>
      </c>
      <c r="AF55" t="s">
        <v>2066</v>
      </c>
      <c r="AG55">
        <v>70</v>
      </c>
      <c r="AH55">
        <v>0</v>
      </c>
      <c r="AI55">
        <v>30</v>
      </c>
      <c r="AJ55">
        <v>40</v>
      </c>
      <c r="AK55">
        <v>0</v>
      </c>
      <c r="AL55">
        <v>0</v>
      </c>
      <c r="AM55">
        <v>1</v>
      </c>
      <c r="AN55">
        <v>500</v>
      </c>
      <c r="AO55">
        <v>40</v>
      </c>
      <c r="AP55" t="s">
        <v>1909</v>
      </c>
      <c r="AQ55" t="s">
        <v>2067</v>
      </c>
      <c r="AR55" s="4">
        <f t="shared" si="20"/>
        <v>92</v>
      </c>
      <c r="AS55">
        <v>4</v>
      </c>
      <c r="AT55" t="s">
        <v>2074</v>
      </c>
      <c r="AU55">
        <v>39</v>
      </c>
      <c r="AV55" t="s">
        <v>2068</v>
      </c>
      <c r="AW55">
        <v>27</v>
      </c>
      <c r="AX55">
        <v>11</v>
      </c>
      <c r="BE55">
        <v>2</v>
      </c>
      <c r="BF55" t="s">
        <v>2069</v>
      </c>
      <c r="BI55" t="s">
        <v>2098</v>
      </c>
      <c r="BL55">
        <v>5</v>
      </c>
      <c r="BM55" t="s">
        <v>2071</v>
      </c>
      <c r="BN55">
        <v>1</v>
      </c>
      <c r="BO55" t="s">
        <v>2070</v>
      </c>
      <c r="BP55">
        <v>5</v>
      </c>
      <c r="BQ55" t="s">
        <v>2070</v>
      </c>
      <c r="BR55">
        <v>4</v>
      </c>
      <c r="BS55" t="s">
        <v>2070</v>
      </c>
      <c r="BT55">
        <v>2</v>
      </c>
      <c r="BU55" t="s">
        <v>2070</v>
      </c>
      <c r="BV55">
        <v>1</v>
      </c>
      <c r="BW55" t="s">
        <v>2091</v>
      </c>
      <c r="BZ55">
        <v>1</v>
      </c>
      <c r="CA55" t="s">
        <v>2070</v>
      </c>
      <c r="CB55">
        <v>2</v>
      </c>
      <c r="CC55" t="s">
        <v>2070</v>
      </c>
      <c r="CD55">
        <v>33</v>
      </c>
      <c r="CE55">
        <v>1</v>
      </c>
      <c r="CF55">
        <v>7</v>
      </c>
      <c r="CH55">
        <v>1</v>
      </c>
      <c r="CI55">
        <v>5</v>
      </c>
      <c r="CJ55">
        <v>15</v>
      </c>
      <c r="CK55" s="4">
        <f t="shared" si="21"/>
        <v>12</v>
      </c>
      <c r="CL55">
        <v>12</v>
      </c>
      <c r="CM55">
        <v>6</v>
      </c>
      <c r="CS55">
        <v>9</v>
      </c>
      <c r="CT55" t="s">
        <v>2072</v>
      </c>
      <c r="DC55">
        <v>20</v>
      </c>
      <c r="DD55" t="s">
        <v>2099</v>
      </c>
      <c r="DE55">
        <v>11</v>
      </c>
      <c r="DF55" t="s">
        <v>2072</v>
      </c>
      <c r="DW55">
        <v>9</v>
      </c>
      <c r="DX55" t="s">
        <v>2054</v>
      </c>
      <c r="DY55">
        <v>2024</v>
      </c>
      <c r="DZ55" t="s">
        <v>2073</v>
      </c>
      <c r="EA55" t="s">
        <v>2092</v>
      </c>
      <c r="EB55" t="s">
        <v>2093</v>
      </c>
      <c r="EC55" t="s">
        <v>819</v>
      </c>
      <c r="ED55" t="s">
        <v>2094</v>
      </c>
      <c r="EF55" t="s">
        <v>442</v>
      </c>
      <c r="EG55" t="s">
        <v>443</v>
      </c>
      <c r="FJ55" t="s">
        <v>2095</v>
      </c>
      <c r="FK55">
        <f>480+(20*1000)</f>
        <v>20480</v>
      </c>
      <c r="FL55" s="4">
        <f t="shared" si="22"/>
        <v>6.8266666666666671</v>
      </c>
      <c r="FN55">
        <v>0</v>
      </c>
      <c r="FO55" s="4">
        <f t="shared" si="23"/>
        <v>0</v>
      </c>
      <c r="FQ55">
        <v>0</v>
      </c>
      <c r="FR55" s="4">
        <f t="shared" si="24"/>
        <v>0</v>
      </c>
      <c r="FS55" t="s">
        <v>455</v>
      </c>
      <c r="FT55">
        <f t="shared" ref="FT55:FT62" si="28">60*AG55</f>
        <v>4200</v>
      </c>
      <c r="FU55" s="4">
        <f t="shared" si="25"/>
        <v>0.28000000000000003</v>
      </c>
      <c r="FV55" s="4">
        <f t="shared" si="26"/>
        <v>7.1066666666666674</v>
      </c>
      <c r="FW55" s="4" t="str">
        <f t="shared" si="27"/>
        <v>ALTO</v>
      </c>
    </row>
    <row r="56" spans="1:179" x14ac:dyDescent="0.3">
      <c r="A56">
        <v>54</v>
      </c>
      <c r="B56" t="s">
        <v>551</v>
      </c>
      <c r="C56" t="s">
        <v>2037</v>
      </c>
      <c r="D56" t="s">
        <v>2056</v>
      </c>
      <c r="E56" t="s">
        <v>2039</v>
      </c>
      <c r="F56" t="s">
        <v>2056</v>
      </c>
      <c r="G56" t="s">
        <v>2046</v>
      </c>
      <c r="H56" t="s">
        <v>2131</v>
      </c>
      <c r="I56" t="s">
        <v>2050</v>
      </c>
      <c r="J56">
        <v>5758</v>
      </c>
      <c r="K56" s="10" t="s">
        <v>2132</v>
      </c>
      <c r="L56" t="s">
        <v>2048</v>
      </c>
      <c r="M56" t="s">
        <v>424</v>
      </c>
      <c r="N56" t="s">
        <v>424</v>
      </c>
      <c r="O56">
        <v>72440</v>
      </c>
      <c r="P56" t="s">
        <v>2063</v>
      </c>
      <c r="Q56" s="3" t="s">
        <v>2064</v>
      </c>
      <c r="R56">
        <v>14</v>
      </c>
      <c r="S56" t="s">
        <v>2096</v>
      </c>
      <c r="T56" t="str">
        <f t="shared" ref="T56:T62" si="29">+IF(V56&gt;1000,"JORGE MANUEL ISLAS GOWER", "NOE MORA RAMIREZ")</f>
        <v>NOE MORA RAMIREZ</v>
      </c>
      <c r="V56">
        <v>608</v>
      </c>
      <c r="W56">
        <v>2530.0100000000002</v>
      </c>
      <c r="X56">
        <v>2</v>
      </c>
      <c r="Y56">
        <v>3</v>
      </c>
      <c r="Z56">
        <v>2</v>
      </c>
      <c r="AA56">
        <v>2</v>
      </c>
      <c r="AB56">
        <v>2</v>
      </c>
      <c r="AC56">
        <v>0</v>
      </c>
      <c r="AD56" t="s">
        <v>849</v>
      </c>
      <c r="AE56" t="s">
        <v>2049</v>
      </c>
      <c r="AF56" t="s">
        <v>2104</v>
      </c>
      <c r="AG56">
        <v>41</v>
      </c>
      <c r="AH56">
        <v>0</v>
      </c>
      <c r="AI56">
        <v>17</v>
      </c>
      <c r="AJ56">
        <v>24</v>
      </c>
      <c r="AK56">
        <v>0</v>
      </c>
      <c r="AL56">
        <v>0</v>
      </c>
      <c r="AM56">
        <v>1</v>
      </c>
      <c r="AN56">
        <v>320</v>
      </c>
      <c r="AO56">
        <v>10</v>
      </c>
      <c r="AP56" t="s">
        <v>1909</v>
      </c>
      <c r="AQ56" t="s">
        <v>2067</v>
      </c>
      <c r="AR56" s="4">
        <f t="shared" si="20"/>
        <v>68</v>
      </c>
      <c r="AS56">
        <v>3</v>
      </c>
      <c r="AT56" t="s">
        <v>2097</v>
      </c>
      <c r="AU56">
        <v>26</v>
      </c>
      <c r="AV56" t="s">
        <v>2068</v>
      </c>
      <c r="AW56">
        <v>17</v>
      </c>
      <c r="AX56">
        <v>8</v>
      </c>
      <c r="BE56">
        <v>5</v>
      </c>
      <c r="BF56" t="s">
        <v>2069</v>
      </c>
      <c r="BG56">
        <v>10</v>
      </c>
      <c r="BI56" t="s">
        <v>2098</v>
      </c>
      <c r="BN56">
        <v>1</v>
      </c>
      <c r="BO56" t="s">
        <v>2070</v>
      </c>
      <c r="BP56">
        <v>4</v>
      </c>
      <c r="BQ56" t="s">
        <v>2070</v>
      </c>
      <c r="BR56">
        <v>5</v>
      </c>
      <c r="BS56" t="s">
        <v>2070</v>
      </c>
      <c r="BV56">
        <v>1</v>
      </c>
      <c r="BW56" t="s">
        <v>2070</v>
      </c>
      <c r="BX56">
        <v>2</v>
      </c>
      <c r="BY56" t="s">
        <v>2070</v>
      </c>
      <c r="BZ56">
        <v>1</v>
      </c>
      <c r="CA56" t="s">
        <v>2070</v>
      </c>
      <c r="CB56">
        <v>2</v>
      </c>
      <c r="CC56" t="s">
        <v>2070</v>
      </c>
      <c r="CD56">
        <v>21</v>
      </c>
      <c r="CF56">
        <v>4</v>
      </c>
      <c r="CI56">
        <v>9</v>
      </c>
      <c r="CJ56">
        <v>8</v>
      </c>
      <c r="CK56" s="4">
        <f t="shared" si="21"/>
        <v>0</v>
      </c>
      <c r="CS56">
        <v>10</v>
      </c>
      <c r="CT56" t="s">
        <v>2072</v>
      </c>
      <c r="DC56">
        <v>30</v>
      </c>
      <c r="DD56" t="s">
        <v>2099</v>
      </c>
      <c r="DE56">
        <v>7</v>
      </c>
      <c r="DF56" t="s">
        <v>2072</v>
      </c>
      <c r="DW56">
        <v>9</v>
      </c>
      <c r="DX56" t="s">
        <v>2054</v>
      </c>
      <c r="DY56">
        <v>2024</v>
      </c>
      <c r="DZ56" t="s">
        <v>2100</v>
      </c>
      <c r="EA56" t="s">
        <v>438</v>
      </c>
      <c r="EB56" t="s">
        <v>2101</v>
      </c>
      <c r="EC56" t="s">
        <v>819</v>
      </c>
      <c r="ED56" t="s">
        <v>2102</v>
      </c>
      <c r="EF56" t="s">
        <v>442</v>
      </c>
      <c r="EG56" t="s">
        <v>443</v>
      </c>
      <c r="FJ56" t="s">
        <v>820</v>
      </c>
      <c r="FK56">
        <v>97000</v>
      </c>
      <c r="FL56" s="4">
        <f t="shared" si="22"/>
        <v>32.333333333333336</v>
      </c>
      <c r="FN56">
        <v>0</v>
      </c>
      <c r="FO56" s="4">
        <f t="shared" si="23"/>
        <v>0</v>
      </c>
      <c r="FQ56">
        <v>0</v>
      </c>
      <c r="FR56" s="4">
        <f t="shared" si="24"/>
        <v>0</v>
      </c>
      <c r="FS56" t="s">
        <v>455</v>
      </c>
      <c r="FT56">
        <f t="shared" si="28"/>
        <v>2460</v>
      </c>
      <c r="FU56" s="4">
        <f t="shared" si="25"/>
        <v>0.16400000000000001</v>
      </c>
      <c r="FV56" s="4">
        <f t="shared" si="26"/>
        <v>32.497333333333337</v>
      </c>
      <c r="FW56" s="4" t="str">
        <f t="shared" si="27"/>
        <v>ALTO</v>
      </c>
    </row>
    <row r="57" spans="1:179" x14ac:dyDescent="0.3">
      <c r="A57">
        <v>55</v>
      </c>
      <c r="B57" t="s">
        <v>551</v>
      </c>
      <c r="C57" t="s">
        <v>2037</v>
      </c>
      <c r="D57" t="s">
        <v>2057</v>
      </c>
      <c r="E57" t="s">
        <v>2040</v>
      </c>
      <c r="F57" t="s">
        <v>2057</v>
      </c>
      <c r="G57" t="s">
        <v>2046</v>
      </c>
      <c r="H57" t="s">
        <v>2131</v>
      </c>
      <c r="I57" t="s">
        <v>2050</v>
      </c>
      <c r="J57">
        <v>5720</v>
      </c>
      <c r="K57" s="10" t="s">
        <v>2132</v>
      </c>
      <c r="L57" t="s">
        <v>2048</v>
      </c>
      <c r="M57" t="s">
        <v>424</v>
      </c>
      <c r="N57" t="s">
        <v>424</v>
      </c>
      <c r="O57">
        <v>72440</v>
      </c>
      <c r="P57" t="s">
        <v>2063</v>
      </c>
      <c r="Q57" s="3" t="s">
        <v>2064</v>
      </c>
      <c r="R57">
        <v>18</v>
      </c>
      <c r="S57" t="s">
        <v>2103</v>
      </c>
      <c r="T57" t="str">
        <f t="shared" si="29"/>
        <v>NOE MORA RAMIREZ</v>
      </c>
      <c r="V57">
        <v>585</v>
      </c>
      <c r="W57">
        <v>661.53</v>
      </c>
      <c r="X57">
        <v>2</v>
      </c>
      <c r="Y57">
        <v>2</v>
      </c>
      <c r="Z57">
        <v>1</v>
      </c>
      <c r="AA57">
        <v>1</v>
      </c>
      <c r="AB57">
        <v>1</v>
      </c>
      <c r="AC57">
        <v>0</v>
      </c>
      <c r="AD57" t="s">
        <v>849</v>
      </c>
      <c r="AE57" t="s">
        <v>2049</v>
      </c>
      <c r="AF57" t="s">
        <v>2105</v>
      </c>
      <c r="AG57">
        <v>6</v>
      </c>
      <c r="AH57">
        <v>0</v>
      </c>
      <c r="AI57">
        <v>3</v>
      </c>
      <c r="AJ57">
        <v>3</v>
      </c>
      <c r="AK57">
        <v>0</v>
      </c>
      <c r="AL57">
        <v>0</v>
      </c>
      <c r="AM57">
        <v>1</v>
      </c>
      <c r="AN57">
        <v>210</v>
      </c>
      <c r="AO57">
        <v>3</v>
      </c>
      <c r="AP57" t="s">
        <v>1909</v>
      </c>
      <c r="AQ57" t="s">
        <v>2067</v>
      </c>
      <c r="AR57" s="4">
        <f t="shared" si="20"/>
        <v>32</v>
      </c>
      <c r="AS57">
        <v>2</v>
      </c>
      <c r="AT57" t="s">
        <v>2106</v>
      </c>
      <c r="AU57">
        <v>12</v>
      </c>
      <c r="AV57" t="s">
        <v>2068</v>
      </c>
      <c r="AW57">
        <v>7</v>
      </c>
      <c r="AX57">
        <v>5</v>
      </c>
      <c r="BE57">
        <v>4</v>
      </c>
      <c r="BF57" t="s">
        <v>2069</v>
      </c>
      <c r="BI57" t="s">
        <v>2098</v>
      </c>
      <c r="BN57">
        <v>1</v>
      </c>
      <c r="BO57" t="s">
        <v>2070</v>
      </c>
      <c r="BP57">
        <v>2</v>
      </c>
      <c r="BQ57" t="s">
        <v>2070</v>
      </c>
      <c r="BR57">
        <v>5</v>
      </c>
      <c r="BS57" t="s">
        <v>2070</v>
      </c>
      <c r="BV57">
        <v>1</v>
      </c>
      <c r="BW57" t="s">
        <v>2106</v>
      </c>
      <c r="BX57">
        <v>4</v>
      </c>
      <c r="BY57" t="s">
        <v>2070</v>
      </c>
      <c r="BZ57">
        <v>1</v>
      </c>
      <c r="CA57" t="s">
        <v>2070</v>
      </c>
      <c r="CB57">
        <v>2</v>
      </c>
      <c r="CC57" t="s">
        <v>2070</v>
      </c>
      <c r="CD57">
        <v>11</v>
      </c>
      <c r="CG57">
        <v>1</v>
      </c>
      <c r="CI57">
        <v>2</v>
      </c>
      <c r="CJ57">
        <v>4</v>
      </c>
      <c r="CK57" s="4">
        <f t="shared" si="21"/>
        <v>1</v>
      </c>
      <c r="CL57">
        <v>1</v>
      </c>
      <c r="DC57">
        <v>5</v>
      </c>
      <c r="DD57" t="s">
        <v>2099</v>
      </c>
      <c r="DE57">
        <v>1</v>
      </c>
      <c r="DF57" t="s">
        <v>2072</v>
      </c>
      <c r="DW57">
        <v>9</v>
      </c>
      <c r="DX57" t="s">
        <v>2054</v>
      </c>
      <c r="DY57">
        <v>2024</v>
      </c>
      <c r="DZ57" t="s">
        <v>2107</v>
      </c>
      <c r="EA57" t="s">
        <v>2108</v>
      </c>
      <c r="EB57" t="s">
        <v>2109</v>
      </c>
      <c r="EC57" t="s">
        <v>819</v>
      </c>
      <c r="ED57" t="s">
        <v>819</v>
      </c>
      <c r="EF57" t="s">
        <v>442</v>
      </c>
      <c r="EG57" t="s">
        <v>443</v>
      </c>
      <c r="FJ57" t="s">
        <v>2110</v>
      </c>
      <c r="FK57">
        <v>60</v>
      </c>
      <c r="FL57" s="4">
        <f t="shared" si="22"/>
        <v>0.02</v>
      </c>
      <c r="FN57">
        <v>0</v>
      </c>
      <c r="FO57" s="4">
        <f t="shared" si="23"/>
        <v>0</v>
      </c>
      <c r="FQ57">
        <v>0</v>
      </c>
      <c r="FR57" s="4">
        <f t="shared" si="24"/>
        <v>0</v>
      </c>
      <c r="FS57" t="s">
        <v>455</v>
      </c>
      <c r="FT57">
        <f t="shared" si="28"/>
        <v>360</v>
      </c>
      <c r="FU57" s="4">
        <f t="shared" si="25"/>
        <v>2.4E-2</v>
      </c>
      <c r="FV57" s="4">
        <f t="shared" si="26"/>
        <v>4.3999999999999997E-2</v>
      </c>
      <c r="FW57" s="4" t="str">
        <f t="shared" si="27"/>
        <v>ORDINARIO</v>
      </c>
    </row>
    <row r="58" spans="1:179" x14ac:dyDescent="0.3">
      <c r="A58">
        <v>56</v>
      </c>
      <c r="B58" t="s">
        <v>551</v>
      </c>
      <c r="C58" t="s">
        <v>2037</v>
      </c>
      <c r="D58" t="s">
        <v>2058</v>
      </c>
      <c r="E58" t="s">
        <v>2041</v>
      </c>
      <c r="F58" t="s">
        <v>2058</v>
      </c>
      <c r="G58" t="s">
        <v>2046</v>
      </c>
      <c r="H58" t="s">
        <v>2131</v>
      </c>
      <c r="I58" t="s">
        <v>2050</v>
      </c>
      <c r="J58">
        <v>5759</v>
      </c>
      <c r="K58" s="10" t="s">
        <v>2132</v>
      </c>
      <c r="L58" t="s">
        <v>2048</v>
      </c>
      <c r="M58" t="s">
        <v>424</v>
      </c>
      <c r="N58" t="s">
        <v>424</v>
      </c>
      <c r="O58">
        <v>72440</v>
      </c>
      <c r="P58" t="s">
        <v>2063</v>
      </c>
      <c r="Q58" s="3" t="s">
        <v>2064</v>
      </c>
      <c r="R58">
        <v>43</v>
      </c>
      <c r="S58" t="s">
        <v>2111</v>
      </c>
      <c r="T58" t="str">
        <f t="shared" si="29"/>
        <v>JORGE MANUEL ISLAS GOWER</v>
      </c>
      <c r="V58">
        <v>1272</v>
      </c>
      <c r="W58">
        <v>4473.59</v>
      </c>
      <c r="X58">
        <v>3</v>
      </c>
      <c r="Y58">
        <v>5</v>
      </c>
      <c r="Z58">
        <v>1</v>
      </c>
      <c r="AA58">
        <v>1</v>
      </c>
      <c r="AB58">
        <v>2</v>
      </c>
      <c r="AC58">
        <v>0</v>
      </c>
      <c r="AD58" t="s">
        <v>849</v>
      </c>
      <c r="AE58" t="s">
        <v>2049</v>
      </c>
      <c r="AF58" t="s">
        <v>2112</v>
      </c>
      <c r="AG58">
        <v>64</v>
      </c>
      <c r="AH58">
        <v>0</v>
      </c>
      <c r="AI58">
        <v>30</v>
      </c>
      <c r="AJ58">
        <v>34</v>
      </c>
      <c r="AK58">
        <v>0</v>
      </c>
      <c r="AL58">
        <v>0</v>
      </c>
      <c r="AM58">
        <v>1</v>
      </c>
      <c r="AN58">
        <v>1029</v>
      </c>
      <c r="AO58">
        <v>20</v>
      </c>
      <c r="AP58" t="s">
        <v>1909</v>
      </c>
      <c r="AQ58" t="s">
        <v>2067</v>
      </c>
      <c r="AR58" s="4">
        <f t="shared" si="20"/>
        <v>164</v>
      </c>
      <c r="AS58">
        <v>2</v>
      </c>
      <c r="AT58" t="s">
        <v>2113</v>
      </c>
      <c r="AU58">
        <v>30</v>
      </c>
      <c r="AV58" t="s">
        <v>2068</v>
      </c>
      <c r="AW58">
        <v>18</v>
      </c>
      <c r="AX58">
        <v>12</v>
      </c>
      <c r="BE58">
        <v>6</v>
      </c>
      <c r="BF58" t="s">
        <v>2069</v>
      </c>
      <c r="BI58" t="s">
        <v>2098</v>
      </c>
      <c r="BL58">
        <v>1</v>
      </c>
      <c r="BM58" t="s">
        <v>2114</v>
      </c>
      <c r="BR58">
        <v>5</v>
      </c>
      <c r="BS58" t="s">
        <v>2070</v>
      </c>
      <c r="BT58">
        <v>1</v>
      </c>
      <c r="BU58" t="s">
        <v>2070</v>
      </c>
      <c r="BV58">
        <v>2</v>
      </c>
      <c r="BW58" t="s">
        <v>2091</v>
      </c>
      <c r="BX58">
        <v>1</v>
      </c>
      <c r="BY58" t="s">
        <v>2070</v>
      </c>
      <c r="CB58">
        <v>2</v>
      </c>
      <c r="CC58" t="s">
        <v>2070</v>
      </c>
      <c r="CD58">
        <v>94</v>
      </c>
      <c r="CE58">
        <v>2</v>
      </c>
      <c r="CF58">
        <v>9</v>
      </c>
      <c r="CG58">
        <v>7</v>
      </c>
      <c r="CH58">
        <v>4</v>
      </c>
      <c r="CI58">
        <v>10</v>
      </c>
      <c r="CJ58">
        <v>11</v>
      </c>
      <c r="CK58" s="4">
        <f t="shared" si="21"/>
        <v>5</v>
      </c>
      <c r="CL58">
        <v>5</v>
      </c>
      <c r="CS58">
        <v>17</v>
      </c>
      <c r="CT58" t="s">
        <v>2072</v>
      </c>
      <c r="DC58">
        <v>47</v>
      </c>
      <c r="DD58" t="s">
        <v>2099</v>
      </c>
      <c r="DE58">
        <v>9</v>
      </c>
      <c r="DF58" t="s">
        <v>2072</v>
      </c>
      <c r="DW58">
        <v>9</v>
      </c>
      <c r="DX58" t="s">
        <v>2054</v>
      </c>
      <c r="DY58">
        <v>2024</v>
      </c>
      <c r="DZ58" t="s">
        <v>2115</v>
      </c>
      <c r="EA58" t="s">
        <v>2116</v>
      </c>
      <c r="EB58" t="s">
        <v>1822</v>
      </c>
      <c r="EC58" t="s">
        <v>2117</v>
      </c>
      <c r="ED58" t="s">
        <v>819</v>
      </c>
      <c r="EF58" t="s">
        <v>442</v>
      </c>
      <c r="EG58" t="s">
        <v>443</v>
      </c>
      <c r="FK58">
        <v>0</v>
      </c>
      <c r="FL58" s="4">
        <f t="shared" si="22"/>
        <v>0</v>
      </c>
      <c r="FN58">
        <v>0</v>
      </c>
      <c r="FO58" s="4">
        <f t="shared" si="23"/>
        <v>0</v>
      </c>
      <c r="FQ58">
        <v>0</v>
      </c>
      <c r="FR58" s="4">
        <f t="shared" si="24"/>
        <v>0</v>
      </c>
      <c r="FS58" t="s">
        <v>455</v>
      </c>
      <c r="FT58">
        <f t="shared" si="28"/>
        <v>3840</v>
      </c>
      <c r="FU58" s="4">
        <f t="shared" si="25"/>
        <v>0.25600000000000001</v>
      </c>
      <c r="FV58" s="4">
        <f t="shared" si="26"/>
        <v>0.25600000000000001</v>
      </c>
      <c r="FW58" s="4" t="str">
        <f t="shared" si="27"/>
        <v>ORDINARIO</v>
      </c>
    </row>
    <row r="59" spans="1:179" x14ac:dyDescent="0.3">
      <c r="A59">
        <v>57</v>
      </c>
      <c r="B59" t="s">
        <v>551</v>
      </c>
      <c r="C59" t="s">
        <v>2037</v>
      </c>
      <c r="D59" t="s">
        <v>2059</v>
      </c>
      <c r="E59" t="s">
        <v>2042</v>
      </c>
      <c r="F59" t="s">
        <v>2059</v>
      </c>
      <c r="G59" t="s">
        <v>2046</v>
      </c>
      <c r="H59" t="s">
        <v>2131</v>
      </c>
      <c r="I59" t="s">
        <v>2051</v>
      </c>
      <c r="J59">
        <v>327</v>
      </c>
      <c r="K59" s="10" t="s">
        <v>2132</v>
      </c>
      <c r="L59" t="s">
        <v>2048</v>
      </c>
      <c r="M59" t="s">
        <v>424</v>
      </c>
      <c r="N59" t="s">
        <v>424</v>
      </c>
      <c r="O59">
        <v>72440</v>
      </c>
      <c r="P59" t="s">
        <v>2063</v>
      </c>
      <c r="Q59" s="3" t="s">
        <v>2064</v>
      </c>
      <c r="R59">
        <v>3</v>
      </c>
      <c r="S59" t="s">
        <v>2118</v>
      </c>
      <c r="T59" t="str">
        <f t="shared" si="29"/>
        <v>NOE MORA RAMIREZ</v>
      </c>
      <c r="V59">
        <v>496</v>
      </c>
      <c r="W59">
        <v>298.74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 t="s">
        <v>849</v>
      </c>
      <c r="AE59" t="s">
        <v>2049</v>
      </c>
      <c r="AF59" t="s">
        <v>2119</v>
      </c>
      <c r="AG59">
        <v>6</v>
      </c>
      <c r="AH59">
        <v>0</v>
      </c>
      <c r="AI59">
        <v>2</v>
      </c>
      <c r="AJ59">
        <v>4</v>
      </c>
      <c r="AK59">
        <v>0</v>
      </c>
      <c r="AL59">
        <v>0</v>
      </c>
      <c r="AM59">
        <v>1</v>
      </c>
      <c r="AN59">
        <v>55</v>
      </c>
      <c r="AO59">
        <v>2</v>
      </c>
      <c r="AP59" t="s">
        <v>1909</v>
      </c>
      <c r="AQ59" t="s">
        <v>2067</v>
      </c>
      <c r="AR59" s="4">
        <f t="shared" si="20"/>
        <v>23</v>
      </c>
      <c r="AS59">
        <v>2</v>
      </c>
      <c r="AT59" t="s">
        <v>2113</v>
      </c>
      <c r="AU59">
        <v>9</v>
      </c>
      <c r="AV59" t="s">
        <v>2068</v>
      </c>
      <c r="AW59">
        <v>6</v>
      </c>
      <c r="AX59">
        <v>3</v>
      </c>
      <c r="BE59">
        <v>2</v>
      </c>
      <c r="BF59" t="s">
        <v>2069</v>
      </c>
      <c r="BG59">
        <v>2</v>
      </c>
      <c r="BI59" t="s">
        <v>538</v>
      </c>
      <c r="BP59">
        <v>3</v>
      </c>
      <c r="BQ59" t="s">
        <v>2070</v>
      </c>
      <c r="BR59">
        <v>6</v>
      </c>
      <c r="BS59" t="s">
        <v>2070</v>
      </c>
      <c r="BV59">
        <v>1</v>
      </c>
      <c r="BW59" t="s">
        <v>2070</v>
      </c>
      <c r="BX59">
        <v>3</v>
      </c>
      <c r="BY59" t="s">
        <v>2070</v>
      </c>
      <c r="CB59">
        <v>2</v>
      </c>
      <c r="CC59" t="s">
        <v>2070</v>
      </c>
      <c r="CD59">
        <v>6</v>
      </c>
      <c r="CF59">
        <v>4</v>
      </c>
      <c r="CJ59">
        <v>1</v>
      </c>
      <c r="CK59" s="4">
        <f t="shared" si="21"/>
        <v>0</v>
      </c>
      <c r="DC59">
        <v>1</v>
      </c>
      <c r="DD59" t="s">
        <v>2099</v>
      </c>
      <c r="DW59">
        <v>9</v>
      </c>
      <c r="DX59" t="s">
        <v>2054</v>
      </c>
      <c r="DY59">
        <v>2024</v>
      </c>
      <c r="DZ59" t="s">
        <v>2120</v>
      </c>
      <c r="EA59" t="s">
        <v>438</v>
      </c>
      <c r="EB59" t="s">
        <v>1822</v>
      </c>
      <c r="EC59" t="s">
        <v>819</v>
      </c>
      <c r="ED59" t="s">
        <v>819</v>
      </c>
      <c r="EF59" t="s">
        <v>442</v>
      </c>
      <c r="EG59" t="s">
        <v>443</v>
      </c>
      <c r="FJ59" t="s">
        <v>2110</v>
      </c>
      <c r="FK59">
        <v>20</v>
      </c>
      <c r="FL59" s="4">
        <f t="shared" si="22"/>
        <v>6.6666666666666671E-3</v>
      </c>
      <c r="FN59">
        <v>0</v>
      </c>
      <c r="FO59" s="4">
        <f t="shared" si="23"/>
        <v>0</v>
      </c>
      <c r="FQ59">
        <v>0</v>
      </c>
      <c r="FR59" s="4">
        <f t="shared" si="24"/>
        <v>0</v>
      </c>
      <c r="FS59" t="s">
        <v>455</v>
      </c>
      <c r="FT59">
        <f t="shared" si="28"/>
        <v>360</v>
      </c>
      <c r="FU59" s="4">
        <f t="shared" si="25"/>
        <v>2.4E-2</v>
      </c>
      <c r="FV59" s="4">
        <f t="shared" si="26"/>
        <v>3.0666666666666668E-2</v>
      </c>
      <c r="FW59" s="4" t="str">
        <f t="shared" si="27"/>
        <v>ORDINARIO</v>
      </c>
    </row>
    <row r="60" spans="1:179" x14ac:dyDescent="0.3">
      <c r="A60">
        <v>58</v>
      </c>
      <c r="B60" t="s">
        <v>551</v>
      </c>
      <c r="C60" t="s">
        <v>2037</v>
      </c>
      <c r="D60" t="s">
        <v>2060</v>
      </c>
      <c r="E60" t="s">
        <v>2043</v>
      </c>
      <c r="F60" t="s">
        <v>2060</v>
      </c>
      <c r="G60" t="s">
        <v>2046</v>
      </c>
      <c r="H60" t="s">
        <v>2131</v>
      </c>
      <c r="I60" t="s">
        <v>2052</v>
      </c>
      <c r="J60">
        <v>5720</v>
      </c>
      <c r="K60" s="10" t="s">
        <v>2132</v>
      </c>
      <c r="L60" t="s">
        <v>2048</v>
      </c>
      <c r="M60" t="s">
        <v>424</v>
      </c>
      <c r="N60" t="s">
        <v>424</v>
      </c>
      <c r="O60">
        <v>72440</v>
      </c>
      <c r="P60" t="s">
        <v>2063</v>
      </c>
      <c r="Q60" s="3" t="s">
        <v>2064</v>
      </c>
      <c r="R60">
        <v>8</v>
      </c>
      <c r="S60" t="s">
        <v>2121</v>
      </c>
      <c r="T60" t="str">
        <f t="shared" si="29"/>
        <v>JORGE MANUEL ISLAS GOWER</v>
      </c>
      <c r="V60">
        <v>2225</v>
      </c>
      <c r="W60">
        <v>2206.85</v>
      </c>
      <c r="X60">
        <v>2</v>
      </c>
      <c r="Y60">
        <v>3</v>
      </c>
      <c r="Z60">
        <v>2</v>
      </c>
      <c r="AA60">
        <v>1</v>
      </c>
      <c r="AB60">
        <v>2</v>
      </c>
      <c r="AC60">
        <v>0</v>
      </c>
      <c r="AD60" t="s">
        <v>849</v>
      </c>
      <c r="AE60" t="s">
        <v>2049</v>
      </c>
      <c r="AF60" t="s">
        <v>2119</v>
      </c>
      <c r="AG60">
        <v>16</v>
      </c>
      <c r="AH60">
        <v>0</v>
      </c>
      <c r="AI60">
        <v>7</v>
      </c>
      <c r="AJ60">
        <v>9</v>
      </c>
      <c r="AK60">
        <v>0</v>
      </c>
      <c r="AL60">
        <v>0</v>
      </c>
      <c r="AM60">
        <v>1</v>
      </c>
      <c r="AN60">
        <v>515</v>
      </c>
      <c r="AO60">
        <v>10</v>
      </c>
      <c r="AP60" t="s">
        <v>1909</v>
      </c>
      <c r="AQ60" t="s">
        <v>2067</v>
      </c>
      <c r="AR60" s="4">
        <f t="shared" si="20"/>
        <v>77</v>
      </c>
      <c r="AS60">
        <v>2</v>
      </c>
      <c r="AT60" t="s">
        <v>2113</v>
      </c>
      <c r="AU60">
        <v>26</v>
      </c>
      <c r="AV60" t="s">
        <v>2068</v>
      </c>
      <c r="AW60">
        <v>22</v>
      </c>
      <c r="AX60">
        <v>4</v>
      </c>
      <c r="BE60">
        <v>2</v>
      </c>
      <c r="BF60" t="s">
        <v>2069</v>
      </c>
      <c r="BG60">
        <v>2</v>
      </c>
      <c r="BI60" t="s">
        <v>538</v>
      </c>
      <c r="BP60">
        <v>3</v>
      </c>
      <c r="BQ60" t="s">
        <v>2070</v>
      </c>
      <c r="BR60">
        <v>6</v>
      </c>
      <c r="BS60" t="s">
        <v>2070</v>
      </c>
      <c r="BV60">
        <v>1</v>
      </c>
      <c r="BW60" t="s">
        <v>2070</v>
      </c>
      <c r="BX60">
        <v>3</v>
      </c>
      <c r="BY60" t="s">
        <v>2070</v>
      </c>
      <c r="CB60">
        <v>2</v>
      </c>
      <c r="CC60" t="s">
        <v>2070</v>
      </c>
      <c r="CD60">
        <v>35</v>
      </c>
      <c r="CF60">
        <v>7</v>
      </c>
      <c r="CI60">
        <v>5</v>
      </c>
      <c r="CJ60">
        <v>3</v>
      </c>
      <c r="CK60" s="4">
        <f t="shared" si="21"/>
        <v>1</v>
      </c>
      <c r="CL60">
        <v>1</v>
      </c>
      <c r="CS60">
        <v>6</v>
      </c>
      <c r="CT60" t="s">
        <v>2072</v>
      </c>
      <c r="DC60">
        <v>20</v>
      </c>
      <c r="DD60" t="s">
        <v>2099</v>
      </c>
      <c r="DE60">
        <v>3</v>
      </c>
      <c r="DF60" t="s">
        <v>2072</v>
      </c>
      <c r="DW60">
        <v>9</v>
      </c>
      <c r="DX60" t="s">
        <v>2054</v>
      </c>
      <c r="DY60">
        <v>2024</v>
      </c>
      <c r="DZ60" t="s">
        <v>2122</v>
      </c>
      <c r="EA60" t="s">
        <v>438</v>
      </c>
      <c r="EB60" t="s">
        <v>1822</v>
      </c>
      <c r="EC60" t="s">
        <v>819</v>
      </c>
      <c r="ED60" t="s">
        <v>819</v>
      </c>
      <c r="EF60" t="s">
        <v>442</v>
      </c>
      <c r="EG60" t="s">
        <v>443</v>
      </c>
      <c r="FJ60" t="s">
        <v>820</v>
      </c>
      <c r="FK60">
        <v>128000</v>
      </c>
      <c r="FL60" s="4">
        <f t="shared" si="22"/>
        <v>42.666666666666664</v>
      </c>
      <c r="FN60">
        <v>0</v>
      </c>
      <c r="FO60" s="4">
        <f t="shared" si="23"/>
        <v>0</v>
      </c>
      <c r="FQ60">
        <v>0</v>
      </c>
      <c r="FR60" s="4">
        <f t="shared" si="24"/>
        <v>0</v>
      </c>
      <c r="FS60" t="s">
        <v>455</v>
      </c>
      <c r="FT60">
        <f t="shared" si="28"/>
        <v>960</v>
      </c>
      <c r="FU60" s="4">
        <f t="shared" si="25"/>
        <v>6.4000000000000001E-2</v>
      </c>
      <c r="FV60" s="4">
        <f t="shared" si="26"/>
        <v>42.730666666666664</v>
      </c>
      <c r="FW60" s="4" t="str">
        <f t="shared" si="27"/>
        <v>ALTO</v>
      </c>
    </row>
    <row r="61" spans="1:179" x14ac:dyDescent="0.3">
      <c r="A61">
        <v>59</v>
      </c>
      <c r="B61" t="s">
        <v>551</v>
      </c>
      <c r="C61" t="s">
        <v>2037</v>
      </c>
      <c r="D61" t="s">
        <v>2061</v>
      </c>
      <c r="E61" t="s">
        <v>2044</v>
      </c>
      <c r="F61" t="s">
        <v>2061</v>
      </c>
      <c r="G61" t="s">
        <v>2046</v>
      </c>
      <c r="H61" t="s">
        <v>2131</v>
      </c>
      <c r="I61" t="s">
        <v>2053</v>
      </c>
      <c r="J61">
        <v>329</v>
      </c>
      <c r="K61" s="10" t="s">
        <v>2132</v>
      </c>
      <c r="L61" t="s">
        <v>2048</v>
      </c>
      <c r="M61" t="s">
        <v>424</v>
      </c>
      <c r="N61" t="s">
        <v>424</v>
      </c>
      <c r="O61">
        <v>72440</v>
      </c>
      <c r="P61" t="s">
        <v>2063</v>
      </c>
      <c r="Q61" s="3" t="s">
        <v>2064</v>
      </c>
      <c r="R61">
        <v>3</v>
      </c>
      <c r="S61" t="s">
        <v>2118</v>
      </c>
      <c r="T61" t="str">
        <f t="shared" si="29"/>
        <v>JORGE MANUEL ISLAS GOWER</v>
      </c>
      <c r="V61">
        <v>1995</v>
      </c>
      <c r="W61">
        <v>4052.67</v>
      </c>
      <c r="X61">
        <v>1</v>
      </c>
      <c r="Y61">
        <v>5</v>
      </c>
      <c r="Z61">
        <v>2</v>
      </c>
      <c r="AA61">
        <v>1</v>
      </c>
      <c r="AB61">
        <v>1</v>
      </c>
      <c r="AC61">
        <v>0</v>
      </c>
      <c r="AD61" t="s">
        <v>506</v>
      </c>
      <c r="AE61" t="s">
        <v>2049</v>
      </c>
      <c r="AF61" t="s">
        <v>2123</v>
      </c>
      <c r="AG61">
        <v>11</v>
      </c>
      <c r="AH61">
        <v>0</v>
      </c>
      <c r="AI61">
        <v>5</v>
      </c>
      <c r="AJ61">
        <v>6</v>
      </c>
      <c r="AK61">
        <v>0</v>
      </c>
      <c r="AL61">
        <v>0</v>
      </c>
      <c r="AM61">
        <v>1</v>
      </c>
      <c r="AN61">
        <v>810</v>
      </c>
      <c r="AO61">
        <v>10</v>
      </c>
      <c r="AP61" t="s">
        <v>1909</v>
      </c>
      <c r="AQ61" t="s">
        <v>2067</v>
      </c>
      <c r="AR61" s="4">
        <f t="shared" si="20"/>
        <v>89</v>
      </c>
      <c r="AS61">
        <v>1</v>
      </c>
      <c r="AT61" t="s">
        <v>2124</v>
      </c>
      <c r="AU61">
        <v>15</v>
      </c>
      <c r="AV61" t="s">
        <v>2068</v>
      </c>
      <c r="AW61">
        <v>7</v>
      </c>
      <c r="AX61">
        <v>8</v>
      </c>
      <c r="BE61">
        <v>1</v>
      </c>
      <c r="BF61" t="s">
        <v>2069</v>
      </c>
      <c r="BI61" t="s">
        <v>2098</v>
      </c>
      <c r="BN61">
        <v>2</v>
      </c>
      <c r="BO61" t="s">
        <v>2070</v>
      </c>
      <c r="BR61">
        <v>3</v>
      </c>
      <c r="BS61" t="s">
        <v>2070</v>
      </c>
      <c r="BV61">
        <v>1</v>
      </c>
      <c r="BW61" t="s">
        <v>2070</v>
      </c>
      <c r="BX61">
        <v>3</v>
      </c>
      <c r="BY61" t="s">
        <v>2070</v>
      </c>
      <c r="BZ61">
        <v>3</v>
      </c>
      <c r="CA61" t="s">
        <v>2070</v>
      </c>
      <c r="CD61">
        <v>26</v>
      </c>
      <c r="CE61">
        <v>14</v>
      </c>
      <c r="CF61">
        <v>25</v>
      </c>
      <c r="CI61">
        <v>7</v>
      </c>
      <c r="CJ61">
        <v>6</v>
      </c>
      <c r="CK61" s="4">
        <f t="shared" si="21"/>
        <v>7</v>
      </c>
      <c r="CL61">
        <v>7</v>
      </c>
      <c r="CS61">
        <v>27</v>
      </c>
      <c r="CT61" t="s">
        <v>2072</v>
      </c>
      <c r="DC61">
        <v>20</v>
      </c>
      <c r="DD61" t="s">
        <v>2099</v>
      </c>
      <c r="DE61">
        <v>25</v>
      </c>
      <c r="DF61" t="s">
        <v>2072</v>
      </c>
      <c r="DW61">
        <v>9</v>
      </c>
      <c r="DX61" t="s">
        <v>2054</v>
      </c>
      <c r="DY61">
        <v>2024</v>
      </c>
      <c r="DZ61" t="s">
        <v>2125</v>
      </c>
      <c r="EA61" t="s">
        <v>2126</v>
      </c>
      <c r="EB61" t="s">
        <v>1822</v>
      </c>
      <c r="EC61" t="s">
        <v>819</v>
      </c>
      <c r="ED61" t="s">
        <v>2094</v>
      </c>
      <c r="EF61" t="s">
        <v>442</v>
      </c>
      <c r="EG61" t="s">
        <v>443</v>
      </c>
      <c r="FK61">
        <v>0</v>
      </c>
      <c r="FL61" s="4">
        <f t="shared" si="22"/>
        <v>0</v>
      </c>
      <c r="FN61">
        <v>0</v>
      </c>
      <c r="FO61" s="4">
        <f t="shared" si="23"/>
        <v>0</v>
      </c>
      <c r="FQ61">
        <v>0</v>
      </c>
      <c r="FR61" s="4">
        <f t="shared" si="24"/>
        <v>0</v>
      </c>
      <c r="FS61" t="s">
        <v>455</v>
      </c>
      <c r="FT61">
        <f t="shared" si="28"/>
        <v>660</v>
      </c>
      <c r="FU61" s="4">
        <f t="shared" si="25"/>
        <v>4.3999999999999997E-2</v>
      </c>
      <c r="FV61" s="4">
        <f t="shared" si="26"/>
        <v>4.3999999999999997E-2</v>
      </c>
      <c r="FW61" s="4" t="str">
        <f t="shared" si="27"/>
        <v>ORDINARIO</v>
      </c>
    </row>
    <row r="62" spans="1:179" x14ac:dyDescent="0.3">
      <c r="A62">
        <v>60</v>
      </c>
      <c r="B62" t="s">
        <v>551</v>
      </c>
      <c r="C62" t="s">
        <v>2037</v>
      </c>
      <c r="D62" t="s">
        <v>2062</v>
      </c>
      <c r="E62" t="s">
        <v>2045</v>
      </c>
      <c r="F62" t="s">
        <v>2062</v>
      </c>
      <c r="G62" t="s">
        <v>2046</v>
      </c>
      <c r="H62" t="s">
        <v>2131</v>
      </c>
      <c r="I62" t="s">
        <v>2050</v>
      </c>
      <c r="J62">
        <v>5904</v>
      </c>
      <c r="K62" s="10" t="s">
        <v>2132</v>
      </c>
      <c r="L62" t="s">
        <v>2048</v>
      </c>
      <c r="M62" t="s">
        <v>424</v>
      </c>
      <c r="N62" t="s">
        <v>424</v>
      </c>
      <c r="O62">
        <v>72440</v>
      </c>
      <c r="P62" t="s">
        <v>2063</v>
      </c>
      <c r="Q62" s="3" t="s">
        <v>2064</v>
      </c>
      <c r="R62">
        <v>9</v>
      </c>
      <c r="S62" t="s">
        <v>2127</v>
      </c>
      <c r="T62" t="str">
        <f t="shared" si="29"/>
        <v>NOE MORA RAMIREZ</v>
      </c>
      <c r="V62">
        <v>954</v>
      </c>
      <c r="W62">
        <v>858.66</v>
      </c>
      <c r="X62">
        <v>2</v>
      </c>
      <c r="Y62">
        <v>2</v>
      </c>
      <c r="Z62">
        <v>1</v>
      </c>
      <c r="AA62">
        <v>1</v>
      </c>
      <c r="AB62">
        <v>2</v>
      </c>
      <c r="AC62">
        <v>0</v>
      </c>
      <c r="AD62" t="s">
        <v>849</v>
      </c>
      <c r="AE62" t="s">
        <v>2049</v>
      </c>
      <c r="AF62" t="s">
        <v>2128</v>
      </c>
      <c r="AG62">
        <v>42</v>
      </c>
      <c r="AH62">
        <v>0</v>
      </c>
      <c r="AI62">
        <v>18</v>
      </c>
      <c r="AJ62">
        <v>24</v>
      </c>
      <c r="AK62">
        <v>0</v>
      </c>
      <c r="AL62">
        <v>0</v>
      </c>
      <c r="AM62">
        <v>1</v>
      </c>
      <c r="AN62">
        <v>130</v>
      </c>
      <c r="AO62">
        <v>10</v>
      </c>
      <c r="AP62" t="s">
        <v>1909</v>
      </c>
      <c r="AQ62" t="s">
        <v>2067</v>
      </c>
      <c r="AR62" s="4">
        <f t="shared" si="20"/>
        <v>38</v>
      </c>
      <c r="AS62">
        <v>2</v>
      </c>
      <c r="AT62" t="s">
        <v>2129</v>
      </c>
      <c r="AU62">
        <v>12</v>
      </c>
      <c r="AV62" t="s">
        <v>2068</v>
      </c>
      <c r="AW62">
        <v>11</v>
      </c>
      <c r="AX62">
        <v>1</v>
      </c>
      <c r="BE62">
        <v>1</v>
      </c>
      <c r="BF62" t="s">
        <v>2069</v>
      </c>
      <c r="BI62" t="s">
        <v>538</v>
      </c>
      <c r="BL62">
        <v>1</v>
      </c>
      <c r="BM62" t="s">
        <v>754</v>
      </c>
      <c r="BN62">
        <v>2</v>
      </c>
      <c r="BO62" t="s">
        <v>2070</v>
      </c>
      <c r="BR62">
        <v>5</v>
      </c>
      <c r="BS62" t="s">
        <v>2070</v>
      </c>
      <c r="BT62">
        <v>2</v>
      </c>
      <c r="BU62" t="s">
        <v>2070</v>
      </c>
      <c r="BX62">
        <v>1</v>
      </c>
      <c r="BY62" t="s">
        <v>2070</v>
      </c>
      <c r="CB62">
        <v>2</v>
      </c>
      <c r="CC62" t="s">
        <v>2070</v>
      </c>
      <c r="CD62">
        <v>18</v>
      </c>
      <c r="CF62">
        <v>2</v>
      </c>
      <c r="CG62">
        <v>1</v>
      </c>
      <c r="CH62">
        <v>1</v>
      </c>
      <c r="CI62">
        <v>1</v>
      </c>
      <c r="CJ62">
        <v>3</v>
      </c>
      <c r="CK62" s="4">
        <f t="shared" si="21"/>
        <v>0</v>
      </c>
      <c r="CM62">
        <v>2</v>
      </c>
      <c r="DC62">
        <v>20</v>
      </c>
      <c r="DD62" t="s">
        <v>2099</v>
      </c>
      <c r="DE62">
        <v>2</v>
      </c>
      <c r="DF62" t="s">
        <v>2072</v>
      </c>
      <c r="DW62">
        <v>9</v>
      </c>
      <c r="DX62" t="s">
        <v>2054</v>
      </c>
      <c r="DY62">
        <v>2024</v>
      </c>
      <c r="DZ62" t="s">
        <v>2130</v>
      </c>
      <c r="EA62" t="s">
        <v>438</v>
      </c>
      <c r="EB62" t="s">
        <v>1822</v>
      </c>
      <c r="EC62" t="s">
        <v>819</v>
      </c>
      <c r="ED62" t="s">
        <v>819</v>
      </c>
      <c r="EF62" t="s">
        <v>442</v>
      </c>
      <c r="EG62" t="s">
        <v>443</v>
      </c>
      <c r="FJ62" t="s">
        <v>820</v>
      </c>
      <c r="FK62">
        <v>1000</v>
      </c>
      <c r="FL62" s="4">
        <f t="shared" si="22"/>
        <v>0.33333333333333331</v>
      </c>
      <c r="FN62">
        <v>0</v>
      </c>
      <c r="FO62" s="4">
        <f t="shared" si="23"/>
        <v>0</v>
      </c>
      <c r="FQ62">
        <v>0</v>
      </c>
      <c r="FR62" s="4">
        <f t="shared" si="24"/>
        <v>0</v>
      </c>
      <c r="FS62" t="s">
        <v>455</v>
      </c>
      <c r="FT62">
        <f t="shared" si="28"/>
        <v>2520</v>
      </c>
      <c r="FU62" s="4">
        <f t="shared" si="25"/>
        <v>0.16800000000000001</v>
      </c>
      <c r="FV62" s="4">
        <f t="shared" si="26"/>
        <v>0.5013333333333333</v>
      </c>
      <c r="FW62" s="4" t="str">
        <f t="shared" si="27"/>
        <v>ORDINARIO</v>
      </c>
    </row>
    <row r="63" spans="1:179" x14ac:dyDescent="0.3">
      <c r="A63">
        <v>61</v>
      </c>
      <c r="AR63" s="4">
        <f t="shared" si="20"/>
        <v>0</v>
      </c>
      <c r="CK63" s="4">
        <f t="shared" si="21"/>
        <v>0</v>
      </c>
      <c r="FL63" s="4">
        <f t="shared" si="22"/>
        <v>0</v>
      </c>
      <c r="FO63" s="4">
        <f t="shared" si="23"/>
        <v>0</v>
      </c>
      <c r="FR63" s="4">
        <f t="shared" si="24"/>
        <v>0</v>
      </c>
      <c r="FU63" s="4">
        <f t="shared" si="25"/>
        <v>0</v>
      </c>
      <c r="FV63" s="4">
        <f t="shared" si="26"/>
        <v>0</v>
      </c>
      <c r="FW63" s="4" t="str">
        <f t="shared" si="27"/>
        <v>ORDINARIO</v>
      </c>
    </row>
    <row r="64" spans="1:179" x14ac:dyDescent="0.3">
      <c r="A64">
        <v>62</v>
      </c>
      <c r="AR64" s="4">
        <f t="shared" si="20"/>
        <v>0</v>
      </c>
      <c r="CK64" s="4">
        <f t="shared" si="21"/>
        <v>0</v>
      </c>
      <c r="FL64" s="4">
        <f t="shared" si="22"/>
        <v>0</v>
      </c>
      <c r="FO64" s="4">
        <f t="shared" si="23"/>
        <v>0</v>
      </c>
      <c r="FR64" s="4">
        <f t="shared" si="24"/>
        <v>0</v>
      </c>
      <c r="FU64" s="4">
        <f t="shared" si="25"/>
        <v>0</v>
      </c>
      <c r="FV64" s="4">
        <f t="shared" si="26"/>
        <v>0</v>
      </c>
      <c r="FW64" s="4" t="str">
        <f t="shared" si="27"/>
        <v>ORDINARIO</v>
      </c>
    </row>
    <row r="65" spans="1:179" x14ac:dyDescent="0.3">
      <c r="A65">
        <v>63</v>
      </c>
      <c r="AR65" s="4">
        <f t="shared" si="20"/>
        <v>0</v>
      </c>
      <c r="CK65" s="4">
        <f t="shared" si="21"/>
        <v>0</v>
      </c>
      <c r="FL65" s="4">
        <f t="shared" si="22"/>
        <v>0</v>
      </c>
      <c r="FO65" s="4">
        <f t="shared" si="23"/>
        <v>0</v>
      </c>
      <c r="FR65" s="4">
        <f t="shared" si="24"/>
        <v>0</v>
      </c>
      <c r="FU65" s="4">
        <f t="shared" si="25"/>
        <v>0</v>
      </c>
      <c r="FV65" s="4">
        <f t="shared" si="26"/>
        <v>0</v>
      </c>
      <c r="FW65" s="4" t="str">
        <f t="shared" si="27"/>
        <v>ORDINARIO</v>
      </c>
    </row>
    <row r="66" spans="1:179" x14ac:dyDescent="0.3">
      <c r="A66">
        <v>64</v>
      </c>
      <c r="AR66" s="4">
        <f t="shared" si="20"/>
        <v>0</v>
      </c>
      <c r="CK66" s="4">
        <f t="shared" si="21"/>
        <v>0</v>
      </c>
      <c r="FL66" s="4">
        <f t="shared" si="22"/>
        <v>0</v>
      </c>
      <c r="FO66" s="4">
        <f t="shared" si="23"/>
        <v>0</v>
      </c>
      <c r="FR66" s="4">
        <f t="shared" si="24"/>
        <v>0</v>
      </c>
      <c r="FU66" s="4">
        <f t="shared" si="25"/>
        <v>0</v>
      </c>
      <c r="FV66" s="4">
        <f t="shared" si="26"/>
        <v>0</v>
      </c>
      <c r="FW66" s="4" t="str">
        <f t="shared" si="27"/>
        <v>ORDINARIO</v>
      </c>
    </row>
    <row r="67" spans="1:179" x14ac:dyDescent="0.3">
      <c r="A67">
        <v>65</v>
      </c>
      <c r="AR67" s="4">
        <f t="shared" ref="AR67:AR98" si="30">+AS67+AU67+BE67+CD67+CE67+CF67+CG67+CH67+CI67+CW67</f>
        <v>0</v>
      </c>
      <c r="CK67" s="4">
        <f t="shared" si="21"/>
        <v>0</v>
      </c>
      <c r="FL67" s="4">
        <f t="shared" si="22"/>
        <v>0</v>
      </c>
      <c r="FO67" s="4">
        <f t="shared" si="23"/>
        <v>0</v>
      </c>
      <c r="FR67" s="4">
        <f t="shared" si="24"/>
        <v>0</v>
      </c>
      <c r="FU67" s="4">
        <f t="shared" si="25"/>
        <v>0</v>
      </c>
      <c r="FV67" s="4">
        <f t="shared" si="26"/>
        <v>0</v>
      </c>
      <c r="FW67" s="4" t="str">
        <f t="shared" si="27"/>
        <v>ORDINARIO</v>
      </c>
    </row>
    <row r="68" spans="1:179" x14ac:dyDescent="0.3">
      <c r="A68">
        <v>66</v>
      </c>
      <c r="AR68" s="4">
        <f t="shared" si="30"/>
        <v>0</v>
      </c>
      <c r="CK68" s="4">
        <f t="shared" si="21"/>
        <v>0</v>
      </c>
      <c r="FL68" s="4">
        <f t="shared" si="22"/>
        <v>0</v>
      </c>
      <c r="FO68" s="4">
        <f t="shared" si="23"/>
        <v>0</v>
      </c>
      <c r="FR68" s="4">
        <f t="shared" si="24"/>
        <v>0</v>
      </c>
      <c r="FU68" s="4">
        <f t="shared" si="25"/>
        <v>0</v>
      </c>
      <c r="FV68" s="4">
        <f t="shared" si="26"/>
        <v>0</v>
      </c>
      <c r="FW68" s="4" t="str">
        <f t="shared" si="27"/>
        <v>ORDINARIO</v>
      </c>
    </row>
    <row r="69" spans="1:179" x14ac:dyDescent="0.3">
      <c r="A69">
        <v>67</v>
      </c>
      <c r="AR69" s="4">
        <f t="shared" si="30"/>
        <v>0</v>
      </c>
      <c r="CK69" s="4">
        <f t="shared" si="21"/>
        <v>0</v>
      </c>
      <c r="FL69" s="4">
        <f t="shared" si="22"/>
        <v>0</v>
      </c>
      <c r="FO69" s="4">
        <f t="shared" si="23"/>
        <v>0</v>
      </c>
      <c r="FR69" s="4">
        <f t="shared" si="24"/>
        <v>0</v>
      </c>
      <c r="FU69" s="4">
        <f t="shared" si="25"/>
        <v>0</v>
      </c>
      <c r="FV69" s="4">
        <f t="shared" si="26"/>
        <v>0</v>
      </c>
      <c r="FW69" s="4" t="str">
        <f t="shared" si="27"/>
        <v>ORDINARIO</v>
      </c>
    </row>
    <row r="70" spans="1:179" x14ac:dyDescent="0.3">
      <c r="A70">
        <v>68</v>
      </c>
      <c r="AR70" s="4">
        <f t="shared" si="30"/>
        <v>0</v>
      </c>
      <c r="CK70" s="4">
        <f t="shared" si="21"/>
        <v>0</v>
      </c>
      <c r="FL70" s="4">
        <f t="shared" si="22"/>
        <v>0</v>
      </c>
      <c r="FO70" s="4">
        <f t="shared" si="23"/>
        <v>0</v>
      </c>
      <c r="FR70" s="4">
        <f t="shared" si="24"/>
        <v>0</v>
      </c>
      <c r="FU70" s="4">
        <f t="shared" si="25"/>
        <v>0</v>
      </c>
      <c r="FV70" s="4">
        <f t="shared" si="26"/>
        <v>0</v>
      </c>
      <c r="FW70" s="4" t="str">
        <f t="shared" si="27"/>
        <v>ORDINARIO</v>
      </c>
    </row>
    <row r="71" spans="1:179" x14ac:dyDescent="0.3">
      <c r="A71">
        <v>69</v>
      </c>
      <c r="AR71" s="4">
        <f t="shared" si="30"/>
        <v>0</v>
      </c>
      <c r="CK71" s="4">
        <f t="shared" si="21"/>
        <v>0</v>
      </c>
      <c r="FL71" s="4">
        <f t="shared" si="22"/>
        <v>0</v>
      </c>
      <c r="FO71" s="4">
        <f t="shared" si="23"/>
        <v>0</v>
      </c>
      <c r="FR71" s="4">
        <f t="shared" si="24"/>
        <v>0</v>
      </c>
      <c r="FU71" s="4">
        <f t="shared" si="25"/>
        <v>0</v>
      </c>
      <c r="FV71" s="4">
        <f t="shared" si="26"/>
        <v>0</v>
      </c>
      <c r="FW71" s="4" t="str">
        <f t="shared" si="27"/>
        <v>ORDINARIO</v>
      </c>
    </row>
    <row r="72" spans="1:179" x14ac:dyDescent="0.3">
      <c r="A72">
        <v>70</v>
      </c>
      <c r="AR72" s="4">
        <f t="shared" si="30"/>
        <v>0</v>
      </c>
      <c r="CK72" s="4">
        <f t="shared" si="21"/>
        <v>0</v>
      </c>
      <c r="FL72" s="4">
        <f t="shared" si="22"/>
        <v>0</v>
      </c>
      <c r="FO72" s="4">
        <f t="shared" si="23"/>
        <v>0</v>
      </c>
      <c r="FR72" s="4">
        <f t="shared" si="24"/>
        <v>0</v>
      </c>
      <c r="FU72" s="4">
        <f t="shared" si="25"/>
        <v>0</v>
      </c>
      <c r="FV72" s="4">
        <f t="shared" si="26"/>
        <v>0</v>
      </c>
      <c r="FW72" s="4" t="str">
        <f t="shared" si="27"/>
        <v>ORDINARIO</v>
      </c>
    </row>
    <row r="73" spans="1:179" x14ac:dyDescent="0.3">
      <c r="A73">
        <v>71</v>
      </c>
      <c r="AR73" s="4">
        <f t="shared" si="30"/>
        <v>0</v>
      </c>
      <c r="CK73" s="4">
        <f t="shared" si="21"/>
        <v>0</v>
      </c>
      <c r="FL73" s="4">
        <f t="shared" si="22"/>
        <v>0</v>
      </c>
      <c r="FO73" s="4">
        <f t="shared" si="23"/>
        <v>0</v>
      </c>
      <c r="FR73" s="4">
        <f t="shared" si="24"/>
        <v>0</v>
      </c>
      <c r="FU73" s="4">
        <f t="shared" si="25"/>
        <v>0</v>
      </c>
      <c r="FV73" s="4">
        <f t="shared" si="26"/>
        <v>0</v>
      </c>
      <c r="FW73" s="4" t="str">
        <f t="shared" si="27"/>
        <v>ORDINARIO</v>
      </c>
    </row>
    <row r="74" spans="1:179" x14ac:dyDescent="0.3">
      <c r="A74">
        <v>72</v>
      </c>
      <c r="AR74" s="4">
        <f t="shared" si="30"/>
        <v>0</v>
      </c>
      <c r="CK74" s="4">
        <f t="shared" si="21"/>
        <v>0</v>
      </c>
      <c r="FL74" s="4">
        <f t="shared" si="22"/>
        <v>0</v>
      </c>
      <c r="FO74" s="4">
        <f t="shared" si="23"/>
        <v>0</v>
      </c>
      <c r="FR74" s="4">
        <f t="shared" si="24"/>
        <v>0</v>
      </c>
      <c r="FU74" s="4">
        <f t="shared" si="25"/>
        <v>0</v>
      </c>
      <c r="FV74" s="4">
        <f t="shared" si="26"/>
        <v>0</v>
      </c>
      <c r="FW74" s="4" t="str">
        <f t="shared" si="27"/>
        <v>ORDINARIO</v>
      </c>
    </row>
    <row r="75" spans="1:179" x14ac:dyDescent="0.3">
      <c r="A75">
        <v>73</v>
      </c>
      <c r="AR75" s="4">
        <f t="shared" si="30"/>
        <v>0</v>
      </c>
      <c r="CK75" s="4">
        <f t="shared" si="21"/>
        <v>0</v>
      </c>
      <c r="FL75" s="4">
        <f t="shared" si="22"/>
        <v>0</v>
      </c>
      <c r="FO75" s="4">
        <f t="shared" si="23"/>
        <v>0</v>
      </c>
      <c r="FR75" s="4">
        <f t="shared" si="24"/>
        <v>0</v>
      </c>
      <c r="FU75" s="4">
        <f t="shared" si="25"/>
        <v>0</v>
      </c>
      <c r="FV75" s="4">
        <f t="shared" si="26"/>
        <v>0</v>
      </c>
      <c r="FW75" s="4" t="str">
        <f t="shared" si="27"/>
        <v>ORDINARIO</v>
      </c>
    </row>
    <row r="76" spans="1:179" x14ac:dyDescent="0.3">
      <c r="A76">
        <v>74</v>
      </c>
      <c r="AR76" s="4">
        <f t="shared" si="30"/>
        <v>0</v>
      </c>
      <c r="CK76" s="4">
        <f t="shared" si="21"/>
        <v>0</v>
      </c>
      <c r="FL76" s="4">
        <f t="shared" si="22"/>
        <v>0</v>
      </c>
      <c r="FO76" s="4">
        <f t="shared" si="23"/>
        <v>0</v>
      </c>
      <c r="FR76" s="4">
        <f t="shared" si="24"/>
        <v>0</v>
      </c>
      <c r="FU76" s="4">
        <f t="shared" si="25"/>
        <v>0</v>
      </c>
      <c r="FV76" s="4">
        <f t="shared" si="26"/>
        <v>0</v>
      </c>
      <c r="FW76" s="4" t="str">
        <f t="shared" si="27"/>
        <v>ORDINARIO</v>
      </c>
    </row>
    <row r="77" spans="1:179" x14ac:dyDescent="0.3">
      <c r="A77">
        <v>75</v>
      </c>
      <c r="AR77" s="4">
        <f t="shared" si="30"/>
        <v>0</v>
      </c>
      <c r="CK77" s="4">
        <f t="shared" si="21"/>
        <v>0</v>
      </c>
      <c r="FL77" s="4">
        <f t="shared" si="22"/>
        <v>0</v>
      </c>
      <c r="FO77" s="4">
        <f t="shared" si="23"/>
        <v>0</v>
      </c>
      <c r="FR77" s="4">
        <f t="shared" si="24"/>
        <v>0</v>
      </c>
      <c r="FU77" s="4">
        <f t="shared" si="25"/>
        <v>0</v>
      </c>
      <c r="FV77" s="4">
        <f t="shared" si="26"/>
        <v>0</v>
      </c>
      <c r="FW77" s="4" t="str">
        <f t="shared" si="27"/>
        <v>ORDINARIO</v>
      </c>
    </row>
    <row r="78" spans="1:179" x14ac:dyDescent="0.3">
      <c r="A78">
        <v>76</v>
      </c>
      <c r="AR78" s="4">
        <f t="shared" si="30"/>
        <v>0</v>
      </c>
      <c r="CK78" s="4">
        <f t="shared" ref="CK78:CK109" si="31">+CL78+CN78+CO78+CP78+CQ78</f>
        <v>0</v>
      </c>
      <c r="FL78" s="4">
        <f t="shared" ref="FL78:FL109" si="32">+FK78/3000</f>
        <v>0</v>
      </c>
      <c r="FO78" s="4">
        <f t="shared" ref="FO78:FO109" si="33">+FN78/1400</f>
        <v>0</v>
      </c>
      <c r="FR78" s="4">
        <f t="shared" ref="FR78:FR109" si="34">+FQ78/2000</f>
        <v>0</v>
      </c>
      <c r="FU78" s="4">
        <f t="shared" ref="FU78:FU109" si="35">+FT78/15000</f>
        <v>0</v>
      </c>
      <c r="FV78" s="4">
        <f t="shared" ref="FV78:FV109" si="36">+FL78+FO78+FR78+FU78</f>
        <v>0</v>
      </c>
      <c r="FW78" s="4" t="str">
        <f t="shared" ref="FW78:FW109" si="37">+IF((FL78+FO78+FR78+FU78)&gt;=1,"ALTO","ORDINARIO")</f>
        <v>ORDINARIO</v>
      </c>
    </row>
    <row r="79" spans="1:179" x14ac:dyDescent="0.3">
      <c r="A79">
        <v>77</v>
      </c>
      <c r="AR79" s="4">
        <f t="shared" si="30"/>
        <v>0</v>
      </c>
      <c r="CK79" s="4">
        <f t="shared" si="31"/>
        <v>0</v>
      </c>
      <c r="FL79" s="4">
        <f t="shared" si="32"/>
        <v>0</v>
      </c>
      <c r="FO79" s="4">
        <f t="shared" si="33"/>
        <v>0</v>
      </c>
      <c r="FR79" s="4">
        <f t="shared" si="34"/>
        <v>0</v>
      </c>
      <c r="FU79" s="4">
        <f t="shared" si="35"/>
        <v>0</v>
      </c>
      <c r="FV79" s="4">
        <f t="shared" si="36"/>
        <v>0</v>
      </c>
      <c r="FW79" s="4" t="str">
        <f t="shared" si="37"/>
        <v>ORDINARIO</v>
      </c>
    </row>
    <row r="80" spans="1:179" x14ac:dyDescent="0.3">
      <c r="A80">
        <v>78</v>
      </c>
      <c r="AR80" s="4">
        <f t="shared" si="30"/>
        <v>0</v>
      </c>
      <c r="CK80" s="4">
        <f t="shared" si="31"/>
        <v>0</v>
      </c>
      <c r="FL80" s="4">
        <f t="shared" si="32"/>
        <v>0</v>
      </c>
      <c r="FO80" s="4">
        <f t="shared" si="33"/>
        <v>0</v>
      </c>
      <c r="FR80" s="4">
        <f t="shared" si="34"/>
        <v>0</v>
      </c>
      <c r="FU80" s="4">
        <f t="shared" si="35"/>
        <v>0</v>
      </c>
      <c r="FV80" s="4">
        <f t="shared" si="36"/>
        <v>0</v>
      </c>
      <c r="FW80" s="4" t="str">
        <f t="shared" si="37"/>
        <v>ORDINARIO</v>
      </c>
    </row>
    <row r="81" spans="1:179" x14ac:dyDescent="0.3">
      <c r="A81">
        <v>79</v>
      </c>
      <c r="AR81" s="4">
        <f t="shared" si="30"/>
        <v>0</v>
      </c>
      <c r="CK81" s="4">
        <f t="shared" si="31"/>
        <v>0</v>
      </c>
      <c r="FL81" s="4">
        <f t="shared" si="32"/>
        <v>0</v>
      </c>
      <c r="FO81" s="4">
        <f t="shared" si="33"/>
        <v>0</v>
      </c>
      <c r="FR81" s="4">
        <f t="shared" si="34"/>
        <v>0</v>
      </c>
      <c r="FU81" s="4">
        <f t="shared" si="35"/>
        <v>0</v>
      </c>
      <c r="FV81" s="4">
        <f t="shared" si="36"/>
        <v>0</v>
      </c>
      <c r="FW81" s="4" t="str">
        <f t="shared" si="37"/>
        <v>ORDINARIO</v>
      </c>
    </row>
    <row r="82" spans="1:179" x14ac:dyDescent="0.3">
      <c r="A82">
        <v>80</v>
      </c>
      <c r="AR82" s="4">
        <f t="shared" si="30"/>
        <v>0</v>
      </c>
      <c r="CK82" s="4">
        <f t="shared" si="31"/>
        <v>0</v>
      </c>
      <c r="FL82" s="4">
        <f t="shared" si="32"/>
        <v>0</v>
      </c>
      <c r="FO82" s="4">
        <f t="shared" si="33"/>
        <v>0</v>
      </c>
      <c r="FR82" s="4">
        <f t="shared" si="34"/>
        <v>0</v>
      </c>
      <c r="FU82" s="4">
        <f t="shared" si="35"/>
        <v>0</v>
      </c>
      <c r="FV82" s="4">
        <f t="shared" si="36"/>
        <v>0</v>
      </c>
      <c r="FW82" s="4" t="str">
        <f t="shared" si="37"/>
        <v>ORDINARIO</v>
      </c>
    </row>
    <row r="83" spans="1:179" x14ac:dyDescent="0.3">
      <c r="A83">
        <v>81</v>
      </c>
      <c r="AR83" s="4">
        <f t="shared" si="30"/>
        <v>0</v>
      </c>
      <c r="CK83" s="4">
        <f t="shared" si="31"/>
        <v>0</v>
      </c>
      <c r="FL83" s="4">
        <f t="shared" si="32"/>
        <v>0</v>
      </c>
      <c r="FO83" s="4">
        <f t="shared" si="33"/>
        <v>0</v>
      </c>
      <c r="FR83" s="4">
        <f t="shared" si="34"/>
        <v>0</v>
      </c>
      <c r="FU83" s="4">
        <f t="shared" si="35"/>
        <v>0</v>
      </c>
      <c r="FV83" s="4">
        <f t="shared" si="36"/>
        <v>0</v>
      </c>
      <c r="FW83" s="4" t="str">
        <f t="shared" si="37"/>
        <v>ORDINARIO</v>
      </c>
    </row>
    <row r="84" spans="1:179" x14ac:dyDescent="0.3">
      <c r="A84">
        <v>82</v>
      </c>
      <c r="AR84" s="4">
        <f t="shared" si="30"/>
        <v>0</v>
      </c>
      <c r="CK84" s="4">
        <f t="shared" si="31"/>
        <v>0</v>
      </c>
      <c r="FL84" s="4">
        <f t="shared" si="32"/>
        <v>0</v>
      </c>
      <c r="FO84" s="4">
        <f t="shared" si="33"/>
        <v>0</v>
      </c>
      <c r="FR84" s="4">
        <f t="shared" si="34"/>
        <v>0</v>
      </c>
      <c r="FU84" s="4">
        <f t="shared" si="35"/>
        <v>0</v>
      </c>
      <c r="FV84" s="4">
        <f t="shared" si="36"/>
        <v>0</v>
      </c>
      <c r="FW84" s="4" t="str">
        <f t="shared" si="37"/>
        <v>ORDINARIO</v>
      </c>
    </row>
    <row r="85" spans="1:179" x14ac:dyDescent="0.3">
      <c r="A85">
        <v>83</v>
      </c>
      <c r="AR85" s="4">
        <f t="shared" si="30"/>
        <v>0</v>
      </c>
      <c r="CK85" s="4">
        <f t="shared" si="31"/>
        <v>0</v>
      </c>
      <c r="FL85" s="4">
        <f t="shared" si="32"/>
        <v>0</v>
      </c>
      <c r="FO85" s="4">
        <f t="shared" si="33"/>
        <v>0</v>
      </c>
      <c r="FR85" s="4">
        <f t="shared" si="34"/>
        <v>0</v>
      </c>
      <c r="FU85" s="4">
        <f t="shared" si="35"/>
        <v>0</v>
      </c>
      <c r="FV85" s="4">
        <f t="shared" si="36"/>
        <v>0</v>
      </c>
      <c r="FW85" s="4" t="str">
        <f t="shared" si="37"/>
        <v>ORDINARIO</v>
      </c>
    </row>
    <row r="86" spans="1:179" x14ac:dyDescent="0.3">
      <c r="A86">
        <v>84</v>
      </c>
      <c r="AR86" s="4">
        <f t="shared" si="30"/>
        <v>0</v>
      </c>
      <c r="CK86" s="4">
        <f t="shared" si="31"/>
        <v>0</v>
      </c>
      <c r="FL86" s="4">
        <f t="shared" si="32"/>
        <v>0</v>
      </c>
      <c r="FO86" s="4">
        <f t="shared" si="33"/>
        <v>0</v>
      </c>
      <c r="FR86" s="4">
        <f t="shared" si="34"/>
        <v>0</v>
      </c>
      <c r="FU86" s="4">
        <f t="shared" si="35"/>
        <v>0</v>
      </c>
      <c r="FV86" s="4">
        <f t="shared" si="36"/>
        <v>0</v>
      </c>
      <c r="FW86" s="4" t="str">
        <f t="shared" si="37"/>
        <v>ORDINARIO</v>
      </c>
    </row>
    <row r="87" spans="1:179" x14ac:dyDescent="0.3">
      <c r="A87">
        <v>85</v>
      </c>
      <c r="AR87" s="4">
        <f t="shared" si="30"/>
        <v>0</v>
      </c>
      <c r="CK87" s="4">
        <f t="shared" si="31"/>
        <v>0</v>
      </c>
      <c r="FL87" s="4">
        <f t="shared" si="32"/>
        <v>0</v>
      </c>
      <c r="FO87" s="4">
        <f t="shared" si="33"/>
        <v>0</v>
      </c>
      <c r="FR87" s="4">
        <f t="shared" si="34"/>
        <v>0</v>
      </c>
      <c r="FU87" s="4">
        <f t="shared" si="35"/>
        <v>0</v>
      </c>
      <c r="FV87" s="4">
        <f t="shared" si="36"/>
        <v>0</v>
      </c>
      <c r="FW87" s="4" t="str">
        <f t="shared" si="37"/>
        <v>ORDINARIO</v>
      </c>
    </row>
    <row r="88" spans="1:179" x14ac:dyDescent="0.3">
      <c r="A88">
        <v>86</v>
      </c>
      <c r="AR88" s="4">
        <f t="shared" si="30"/>
        <v>0</v>
      </c>
      <c r="CK88" s="4">
        <f t="shared" si="31"/>
        <v>0</v>
      </c>
      <c r="FL88" s="4">
        <f t="shared" si="32"/>
        <v>0</v>
      </c>
      <c r="FO88" s="4">
        <f t="shared" si="33"/>
        <v>0</v>
      </c>
      <c r="FR88" s="4">
        <f t="shared" si="34"/>
        <v>0</v>
      </c>
      <c r="FU88" s="4">
        <f t="shared" si="35"/>
        <v>0</v>
      </c>
      <c r="FV88" s="4">
        <f t="shared" si="36"/>
        <v>0</v>
      </c>
      <c r="FW88" s="4" t="str">
        <f t="shared" si="37"/>
        <v>ORDINARIO</v>
      </c>
    </row>
    <row r="89" spans="1:179" x14ac:dyDescent="0.3">
      <c r="A89">
        <v>87</v>
      </c>
      <c r="AR89" s="4">
        <f t="shared" si="30"/>
        <v>0</v>
      </c>
      <c r="CK89" s="4">
        <f t="shared" si="31"/>
        <v>0</v>
      </c>
      <c r="FL89" s="4">
        <f t="shared" si="32"/>
        <v>0</v>
      </c>
      <c r="FO89" s="4">
        <f t="shared" si="33"/>
        <v>0</v>
      </c>
      <c r="FR89" s="4">
        <f t="shared" si="34"/>
        <v>0</v>
      </c>
      <c r="FU89" s="4">
        <f t="shared" si="35"/>
        <v>0</v>
      </c>
      <c r="FV89" s="4">
        <f t="shared" si="36"/>
        <v>0</v>
      </c>
      <c r="FW89" s="4" t="str">
        <f t="shared" si="37"/>
        <v>ORDINARIO</v>
      </c>
    </row>
    <row r="90" spans="1:179" x14ac:dyDescent="0.3">
      <c r="A90">
        <v>88</v>
      </c>
      <c r="AR90" s="4">
        <f t="shared" si="30"/>
        <v>0</v>
      </c>
      <c r="CK90" s="4">
        <f t="shared" si="31"/>
        <v>0</v>
      </c>
      <c r="FL90" s="4">
        <f t="shared" si="32"/>
        <v>0</v>
      </c>
      <c r="FO90" s="4">
        <f t="shared" si="33"/>
        <v>0</v>
      </c>
      <c r="FR90" s="4">
        <f t="shared" si="34"/>
        <v>0</v>
      </c>
      <c r="FU90" s="4">
        <f t="shared" si="35"/>
        <v>0</v>
      </c>
      <c r="FV90" s="4">
        <f t="shared" si="36"/>
        <v>0</v>
      </c>
      <c r="FW90" s="4" t="str">
        <f t="shared" si="37"/>
        <v>ORDINARIO</v>
      </c>
    </row>
    <row r="91" spans="1:179" x14ac:dyDescent="0.3">
      <c r="A91">
        <v>89</v>
      </c>
      <c r="AR91" s="4">
        <f t="shared" si="30"/>
        <v>0</v>
      </c>
      <c r="CK91" s="4">
        <f t="shared" si="31"/>
        <v>0</v>
      </c>
      <c r="FL91" s="4">
        <f t="shared" si="32"/>
        <v>0</v>
      </c>
      <c r="FO91" s="4">
        <f t="shared" si="33"/>
        <v>0</v>
      </c>
      <c r="FR91" s="4">
        <f t="shared" si="34"/>
        <v>0</v>
      </c>
      <c r="FU91" s="4">
        <f t="shared" si="35"/>
        <v>0</v>
      </c>
      <c r="FV91" s="4">
        <f t="shared" si="36"/>
        <v>0</v>
      </c>
      <c r="FW91" s="4" t="str">
        <f t="shared" si="37"/>
        <v>ORDINARIO</v>
      </c>
    </row>
    <row r="92" spans="1:179" x14ac:dyDescent="0.3">
      <c r="A92">
        <v>90</v>
      </c>
      <c r="AR92" s="4">
        <f t="shared" si="30"/>
        <v>0</v>
      </c>
      <c r="CK92" s="4">
        <f t="shared" si="31"/>
        <v>0</v>
      </c>
      <c r="FL92" s="4">
        <f t="shared" si="32"/>
        <v>0</v>
      </c>
      <c r="FO92" s="4">
        <f t="shared" si="33"/>
        <v>0</v>
      </c>
      <c r="FR92" s="4">
        <f t="shared" si="34"/>
        <v>0</v>
      </c>
      <c r="FU92" s="4">
        <f t="shared" si="35"/>
        <v>0</v>
      </c>
      <c r="FV92" s="4">
        <f t="shared" si="36"/>
        <v>0</v>
      </c>
      <c r="FW92" s="4" t="str">
        <f t="shared" si="37"/>
        <v>ORDINARIO</v>
      </c>
    </row>
    <row r="93" spans="1:179" x14ac:dyDescent="0.3">
      <c r="A93">
        <v>91</v>
      </c>
      <c r="AR93" s="4">
        <f t="shared" si="30"/>
        <v>0</v>
      </c>
      <c r="CK93" s="4">
        <f t="shared" si="31"/>
        <v>0</v>
      </c>
      <c r="FL93" s="4">
        <f t="shared" si="32"/>
        <v>0</v>
      </c>
      <c r="FO93" s="4">
        <f t="shared" si="33"/>
        <v>0</v>
      </c>
      <c r="FR93" s="4">
        <f t="shared" si="34"/>
        <v>0</v>
      </c>
      <c r="FU93" s="4">
        <f t="shared" si="35"/>
        <v>0</v>
      </c>
      <c r="FV93" s="4">
        <f t="shared" si="36"/>
        <v>0</v>
      </c>
      <c r="FW93" s="4" t="str">
        <f t="shared" si="37"/>
        <v>ORDINARIO</v>
      </c>
    </row>
    <row r="94" spans="1:179" x14ac:dyDescent="0.3">
      <c r="A94">
        <v>92</v>
      </c>
      <c r="AR94" s="4">
        <f t="shared" si="30"/>
        <v>0</v>
      </c>
      <c r="CK94" s="4">
        <f t="shared" si="31"/>
        <v>0</v>
      </c>
      <c r="FL94" s="4">
        <f t="shared" si="32"/>
        <v>0</v>
      </c>
      <c r="FO94" s="4">
        <f t="shared" si="33"/>
        <v>0</v>
      </c>
      <c r="FR94" s="4">
        <f t="shared" si="34"/>
        <v>0</v>
      </c>
      <c r="FU94" s="4">
        <f t="shared" si="35"/>
        <v>0</v>
      </c>
      <c r="FV94" s="4">
        <f t="shared" si="36"/>
        <v>0</v>
      </c>
      <c r="FW94" s="4" t="str">
        <f t="shared" si="37"/>
        <v>ORDINARIO</v>
      </c>
    </row>
    <row r="95" spans="1:179" x14ac:dyDescent="0.3">
      <c r="A95">
        <v>93</v>
      </c>
      <c r="AR95" s="4">
        <f t="shared" si="30"/>
        <v>0</v>
      </c>
      <c r="CK95" s="4">
        <f t="shared" si="31"/>
        <v>0</v>
      </c>
      <c r="FL95" s="4">
        <f t="shared" si="32"/>
        <v>0</v>
      </c>
      <c r="FO95" s="4">
        <f t="shared" si="33"/>
        <v>0</v>
      </c>
      <c r="FR95" s="4">
        <f t="shared" si="34"/>
        <v>0</v>
      </c>
      <c r="FU95" s="4">
        <f t="shared" si="35"/>
        <v>0</v>
      </c>
      <c r="FV95" s="4">
        <f t="shared" si="36"/>
        <v>0</v>
      </c>
      <c r="FW95" s="4" t="str">
        <f t="shared" si="37"/>
        <v>ORDINARIO</v>
      </c>
    </row>
    <row r="96" spans="1:179" x14ac:dyDescent="0.3">
      <c r="A96">
        <v>94</v>
      </c>
      <c r="AR96" s="4">
        <f t="shared" si="30"/>
        <v>0</v>
      </c>
      <c r="CK96" s="4">
        <f t="shared" si="31"/>
        <v>0</v>
      </c>
      <c r="FL96" s="4">
        <f t="shared" si="32"/>
        <v>0</v>
      </c>
      <c r="FO96" s="4">
        <f t="shared" si="33"/>
        <v>0</v>
      </c>
      <c r="FR96" s="4">
        <f t="shared" si="34"/>
        <v>0</v>
      </c>
      <c r="FU96" s="4">
        <f t="shared" si="35"/>
        <v>0</v>
      </c>
      <c r="FV96" s="4">
        <f t="shared" si="36"/>
        <v>0</v>
      </c>
      <c r="FW96" s="4" t="str">
        <f t="shared" si="37"/>
        <v>ORDINARIO</v>
      </c>
    </row>
    <row r="97" spans="1:179" x14ac:dyDescent="0.3">
      <c r="A97">
        <v>95</v>
      </c>
      <c r="AR97" s="4">
        <f t="shared" si="30"/>
        <v>0</v>
      </c>
      <c r="CK97" s="4">
        <f t="shared" si="31"/>
        <v>0</v>
      </c>
      <c r="FL97" s="4">
        <f t="shared" si="32"/>
        <v>0</v>
      </c>
      <c r="FO97" s="4">
        <f t="shared" si="33"/>
        <v>0</v>
      </c>
      <c r="FR97" s="4">
        <f t="shared" si="34"/>
        <v>0</v>
      </c>
      <c r="FU97" s="4">
        <f t="shared" si="35"/>
        <v>0</v>
      </c>
      <c r="FV97" s="4">
        <f t="shared" si="36"/>
        <v>0</v>
      </c>
      <c r="FW97" s="4" t="str">
        <f t="shared" si="37"/>
        <v>ORDINARIO</v>
      </c>
    </row>
    <row r="98" spans="1:179" x14ac:dyDescent="0.3">
      <c r="A98">
        <v>96</v>
      </c>
      <c r="AR98" s="4">
        <f t="shared" si="30"/>
        <v>0</v>
      </c>
      <c r="CK98" s="4">
        <f t="shared" si="31"/>
        <v>0</v>
      </c>
      <c r="FL98" s="4">
        <f t="shared" si="32"/>
        <v>0</v>
      </c>
      <c r="FO98" s="4">
        <f t="shared" si="33"/>
        <v>0</v>
      </c>
      <c r="FR98" s="4">
        <f t="shared" si="34"/>
        <v>0</v>
      </c>
      <c r="FU98" s="4">
        <f t="shared" si="35"/>
        <v>0</v>
      </c>
      <c r="FV98" s="4">
        <f t="shared" si="36"/>
        <v>0</v>
      </c>
      <c r="FW98" s="4" t="str">
        <f t="shared" si="37"/>
        <v>ORDINARIO</v>
      </c>
    </row>
    <row r="99" spans="1:179" x14ac:dyDescent="0.3">
      <c r="A99">
        <v>97</v>
      </c>
      <c r="AR99" s="4">
        <f t="shared" ref="AR99:AR130" si="38">+AS99+AU99+BE99+CD99+CE99+CF99+CG99+CH99+CI99+CW99</f>
        <v>0</v>
      </c>
      <c r="CK99" s="4">
        <f t="shared" si="31"/>
        <v>0</v>
      </c>
      <c r="FL99" s="4">
        <f t="shared" si="32"/>
        <v>0</v>
      </c>
      <c r="FO99" s="4">
        <f t="shared" si="33"/>
        <v>0</v>
      </c>
      <c r="FR99" s="4">
        <f t="shared" si="34"/>
        <v>0</v>
      </c>
      <c r="FU99" s="4">
        <f t="shared" si="35"/>
        <v>0</v>
      </c>
      <c r="FV99" s="4">
        <f t="shared" si="36"/>
        <v>0</v>
      </c>
      <c r="FW99" s="4" t="str">
        <f t="shared" si="37"/>
        <v>ORDINARIO</v>
      </c>
    </row>
    <row r="100" spans="1:179" x14ac:dyDescent="0.3">
      <c r="A100">
        <v>98</v>
      </c>
      <c r="AR100" s="4">
        <f t="shared" si="38"/>
        <v>0</v>
      </c>
      <c r="CK100" s="4">
        <f t="shared" si="31"/>
        <v>0</v>
      </c>
      <c r="FL100" s="4">
        <f t="shared" si="32"/>
        <v>0</v>
      </c>
      <c r="FO100" s="4">
        <f t="shared" si="33"/>
        <v>0</v>
      </c>
      <c r="FR100" s="4">
        <f t="shared" si="34"/>
        <v>0</v>
      </c>
      <c r="FU100" s="4">
        <f t="shared" si="35"/>
        <v>0</v>
      </c>
      <c r="FV100" s="4">
        <f t="shared" si="36"/>
        <v>0</v>
      </c>
      <c r="FW100" s="4" t="str">
        <f t="shared" si="37"/>
        <v>ORDINARIO</v>
      </c>
    </row>
    <row r="101" spans="1:179" x14ac:dyDescent="0.3">
      <c r="A101">
        <v>99</v>
      </c>
      <c r="AR101" s="4">
        <f t="shared" si="38"/>
        <v>0</v>
      </c>
      <c r="CK101" s="4">
        <f t="shared" si="31"/>
        <v>0</v>
      </c>
      <c r="FL101" s="4">
        <f t="shared" si="32"/>
        <v>0</v>
      </c>
      <c r="FO101" s="4">
        <f t="shared" si="33"/>
        <v>0</v>
      </c>
      <c r="FR101" s="4">
        <f t="shared" si="34"/>
        <v>0</v>
      </c>
      <c r="FU101" s="4">
        <f t="shared" si="35"/>
        <v>0</v>
      </c>
      <c r="FV101" s="4">
        <f t="shared" si="36"/>
        <v>0</v>
      </c>
      <c r="FW101" s="4" t="str">
        <f t="shared" si="37"/>
        <v>ORDINARIO</v>
      </c>
    </row>
    <row r="102" spans="1:179" x14ac:dyDescent="0.3">
      <c r="A102">
        <v>100</v>
      </c>
      <c r="AR102" s="4">
        <f t="shared" si="38"/>
        <v>0</v>
      </c>
      <c r="CK102" s="4">
        <f t="shared" si="31"/>
        <v>0</v>
      </c>
      <c r="FL102" s="4">
        <f t="shared" si="32"/>
        <v>0</v>
      </c>
      <c r="FO102" s="4">
        <f t="shared" si="33"/>
        <v>0</v>
      </c>
      <c r="FR102" s="4">
        <f t="shared" si="34"/>
        <v>0</v>
      </c>
      <c r="FU102" s="4">
        <f t="shared" si="35"/>
        <v>0</v>
      </c>
      <c r="FV102" s="4">
        <f t="shared" si="36"/>
        <v>0</v>
      </c>
      <c r="FW102" s="4" t="str">
        <f t="shared" si="37"/>
        <v>ORDINARIO</v>
      </c>
    </row>
    <row r="103" spans="1:179" x14ac:dyDescent="0.3">
      <c r="A103">
        <v>101</v>
      </c>
      <c r="AR103" s="4">
        <f t="shared" si="38"/>
        <v>0</v>
      </c>
      <c r="CK103" s="4">
        <f t="shared" si="31"/>
        <v>0</v>
      </c>
      <c r="FL103" s="4">
        <f t="shared" si="32"/>
        <v>0</v>
      </c>
      <c r="FO103" s="4">
        <f t="shared" si="33"/>
        <v>0</v>
      </c>
      <c r="FR103" s="4">
        <f t="shared" si="34"/>
        <v>0</v>
      </c>
      <c r="FU103" s="4">
        <f t="shared" si="35"/>
        <v>0</v>
      </c>
      <c r="FV103" s="4">
        <f t="shared" si="36"/>
        <v>0</v>
      </c>
      <c r="FW103" s="4" t="str">
        <f t="shared" si="37"/>
        <v>ORDINARIO</v>
      </c>
    </row>
    <row r="104" spans="1:179" x14ac:dyDescent="0.3">
      <c r="A104">
        <v>102</v>
      </c>
      <c r="AR104" s="4">
        <f t="shared" si="38"/>
        <v>0</v>
      </c>
      <c r="CK104" s="4">
        <f t="shared" si="31"/>
        <v>0</v>
      </c>
      <c r="FL104" s="4">
        <f t="shared" si="32"/>
        <v>0</v>
      </c>
      <c r="FO104" s="4">
        <f t="shared" si="33"/>
        <v>0</v>
      </c>
      <c r="FR104" s="4">
        <f t="shared" si="34"/>
        <v>0</v>
      </c>
      <c r="FU104" s="4">
        <f t="shared" si="35"/>
        <v>0</v>
      </c>
      <c r="FV104" s="4">
        <f t="shared" si="36"/>
        <v>0</v>
      </c>
      <c r="FW104" s="4" t="str">
        <f t="shared" si="37"/>
        <v>ORDINARIO</v>
      </c>
    </row>
    <row r="105" spans="1:179" x14ac:dyDescent="0.3">
      <c r="A105">
        <v>103</v>
      </c>
      <c r="AR105" s="4">
        <f t="shared" si="38"/>
        <v>0</v>
      </c>
      <c r="CK105" s="4">
        <f t="shared" si="31"/>
        <v>0</v>
      </c>
      <c r="FL105" s="4">
        <f t="shared" si="32"/>
        <v>0</v>
      </c>
      <c r="FO105" s="4">
        <f t="shared" si="33"/>
        <v>0</v>
      </c>
      <c r="FR105" s="4">
        <f t="shared" si="34"/>
        <v>0</v>
      </c>
      <c r="FU105" s="4">
        <f t="shared" si="35"/>
        <v>0</v>
      </c>
      <c r="FV105" s="4">
        <f t="shared" si="36"/>
        <v>0</v>
      </c>
      <c r="FW105" s="4" t="str">
        <f t="shared" si="37"/>
        <v>ORDINARIO</v>
      </c>
    </row>
    <row r="106" spans="1:179" x14ac:dyDescent="0.3">
      <c r="A106">
        <v>104</v>
      </c>
      <c r="AR106" s="4">
        <f t="shared" si="38"/>
        <v>0</v>
      </c>
      <c r="CK106" s="4">
        <f t="shared" si="31"/>
        <v>0</v>
      </c>
      <c r="FL106" s="4">
        <f t="shared" si="32"/>
        <v>0</v>
      </c>
      <c r="FO106" s="4">
        <f t="shared" si="33"/>
        <v>0</v>
      </c>
      <c r="FR106" s="4">
        <f t="shared" si="34"/>
        <v>0</v>
      </c>
      <c r="FU106" s="4">
        <f t="shared" si="35"/>
        <v>0</v>
      </c>
      <c r="FV106" s="4">
        <f t="shared" si="36"/>
        <v>0</v>
      </c>
      <c r="FW106" s="4" t="str">
        <f t="shared" si="37"/>
        <v>ORDINARIO</v>
      </c>
    </row>
    <row r="107" spans="1:179" x14ac:dyDescent="0.3">
      <c r="A107">
        <v>105</v>
      </c>
      <c r="AR107" s="4">
        <f t="shared" si="38"/>
        <v>0</v>
      </c>
      <c r="CK107" s="4">
        <f t="shared" si="31"/>
        <v>0</v>
      </c>
      <c r="FL107" s="4">
        <f t="shared" si="32"/>
        <v>0</v>
      </c>
      <c r="FO107" s="4">
        <f t="shared" si="33"/>
        <v>0</v>
      </c>
      <c r="FR107" s="4">
        <f t="shared" si="34"/>
        <v>0</v>
      </c>
      <c r="FU107" s="4">
        <f t="shared" si="35"/>
        <v>0</v>
      </c>
      <c r="FV107" s="4">
        <f t="shared" si="36"/>
        <v>0</v>
      </c>
      <c r="FW107" s="4" t="str">
        <f t="shared" si="37"/>
        <v>ORDINARIO</v>
      </c>
    </row>
    <row r="108" spans="1:179" x14ac:dyDescent="0.3">
      <c r="A108">
        <v>106</v>
      </c>
      <c r="AR108" s="4">
        <f t="shared" si="38"/>
        <v>0</v>
      </c>
      <c r="CK108" s="4">
        <f t="shared" si="31"/>
        <v>0</v>
      </c>
      <c r="FL108" s="4">
        <f t="shared" si="32"/>
        <v>0</v>
      </c>
      <c r="FO108" s="4">
        <f t="shared" si="33"/>
        <v>0</v>
      </c>
      <c r="FR108" s="4">
        <f t="shared" si="34"/>
        <v>0</v>
      </c>
      <c r="FU108" s="4">
        <f t="shared" si="35"/>
        <v>0</v>
      </c>
      <c r="FV108" s="4">
        <f t="shared" si="36"/>
        <v>0</v>
      </c>
      <c r="FW108" s="4" t="str">
        <f t="shared" si="37"/>
        <v>ORDINARIO</v>
      </c>
    </row>
    <row r="109" spans="1:179" x14ac:dyDescent="0.3">
      <c r="A109">
        <v>107</v>
      </c>
      <c r="AR109" s="4">
        <f t="shared" si="38"/>
        <v>0</v>
      </c>
      <c r="CK109" s="4">
        <f t="shared" si="31"/>
        <v>0</v>
      </c>
      <c r="FL109" s="4">
        <f t="shared" si="32"/>
        <v>0</v>
      </c>
      <c r="FO109" s="4">
        <f t="shared" si="33"/>
        <v>0</v>
      </c>
      <c r="FR109" s="4">
        <f t="shared" si="34"/>
        <v>0</v>
      </c>
      <c r="FU109" s="4">
        <f t="shared" si="35"/>
        <v>0</v>
      </c>
      <c r="FV109" s="4">
        <f t="shared" si="36"/>
        <v>0</v>
      </c>
      <c r="FW109" s="4" t="str">
        <f t="shared" si="37"/>
        <v>ORDINARIO</v>
      </c>
    </row>
    <row r="110" spans="1:179" x14ac:dyDescent="0.3">
      <c r="A110">
        <v>108</v>
      </c>
      <c r="AR110" s="4">
        <f t="shared" si="38"/>
        <v>0</v>
      </c>
      <c r="CK110" s="4">
        <f t="shared" ref="CK110:CK141" si="39">+CL110+CN110+CO110+CP110+CQ110</f>
        <v>0</v>
      </c>
      <c r="FL110" s="4">
        <f t="shared" ref="FL110:FL141" si="40">+FK110/3000</f>
        <v>0</v>
      </c>
      <c r="FO110" s="4">
        <f t="shared" ref="FO110:FO141" si="41">+FN110/1400</f>
        <v>0</v>
      </c>
      <c r="FR110" s="4">
        <f t="shared" ref="FR110:FR141" si="42">+FQ110/2000</f>
        <v>0</v>
      </c>
      <c r="FU110" s="4">
        <f t="shared" ref="FU110:FU141" si="43">+FT110/15000</f>
        <v>0</v>
      </c>
      <c r="FV110" s="4">
        <f t="shared" ref="FV110:FV141" si="44">+FL110+FO110+FR110+FU110</f>
        <v>0</v>
      </c>
      <c r="FW110" s="4" t="str">
        <f t="shared" ref="FW110:FW141" si="45">+IF((FL110+FO110+FR110+FU110)&gt;=1,"ALTO","ORDINARIO")</f>
        <v>ORDINARIO</v>
      </c>
    </row>
    <row r="111" spans="1:179" x14ac:dyDescent="0.3">
      <c r="A111">
        <v>109</v>
      </c>
      <c r="AR111" s="4">
        <f t="shared" si="38"/>
        <v>0</v>
      </c>
      <c r="CK111" s="4">
        <f t="shared" si="39"/>
        <v>0</v>
      </c>
      <c r="FL111" s="4">
        <f t="shared" si="40"/>
        <v>0</v>
      </c>
      <c r="FO111" s="4">
        <f t="shared" si="41"/>
        <v>0</v>
      </c>
      <c r="FR111" s="4">
        <f t="shared" si="42"/>
        <v>0</v>
      </c>
      <c r="FU111" s="4">
        <f t="shared" si="43"/>
        <v>0</v>
      </c>
      <c r="FV111" s="4">
        <f t="shared" si="44"/>
        <v>0</v>
      </c>
      <c r="FW111" s="4" t="str">
        <f t="shared" si="45"/>
        <v>ORDINARIO</v>
      </c>
    </row>
    <row r="112" spans="1:179" x14ac:dyDescent="0.3">
      <c r="A112">
        <v>110</v>
      </c>
      <c r="AR112" s="4">
        <f t="shared" si="38"/>
        <v>0</v>
      </c>
      <c r="CK112" s="4">
        <f t="shared" si="39"/>
        <v>0</v>
      </c>
      <c r="FL112" s="4">
        <f t="shared" si="40"/>
        <v>0</v>
      </c>
      <c r="FO112" s="4">
        <f t="shared" si="41"/>
        <v>0</v>
      </c>
      <c r="FR112" s="4">
        <f t="shared" si="42"/>
        <v>0</v>
      </c>
      <c r="FU112" s="4">
        <f t="shared" si="43"/>
        <v>0</v>
      </c>
      <c r="FV112" s="4">
        <f t="shared" si="44"/>
        <v>0</v>
      </c>
      <c r="FW112" s="4" t="str">
        <f t="shared" si="45"/>
        <v>ORDINARIO</v>
      </c>
    </row>
    <row r="113" spans="1:179" x14ac:dyDescent="0.3">
      <c r="A113">
        <v>111</v>
      </c>
      <c r="AR113" s="4">
        <f t="shared" si="38"/>
        <v>0</v>
      </c>
      <c r="CK113" s="4">
        <f t="shared" si="39"/>
        <v>0</v>
      </c>
      <c r="FL113" s="4">
        <f t="shared" si="40"/>
        <v>0</v>
      </c>
      <c r="FO113" s="4">
        <f t="shared" si="41"/>
        <v>0</v>
      </c>
      <c r="FR113" s="4">
        <f t="shared" si="42"/>
        <v>0</v>
      </c>
      <c r="FU113" s="4">
        <f t="shared" si="43"/>
        <v>0</v>
      </c>
      <c r="FV113" s="4">
        <f t="shared" si="44"/>
        <v>0</v>
      </c>
      <c r="FW113" s="4" t="str">
        <f t="shared" si="45"/>
        <v>ORDINARIO</v>
      </c>
    </row>
    <row r="114" spans="1:179" x14ac:dyDescent="0.3">
      <c r="A114">
        <v>112</v>
      </c>
      <c r="AR114" s="4">
        <f t="shared" si="38"/>
        <v>0</v>
      </c>
      <c r="CK114" s="4">
        <f t="shared" si="39"/>
        <v>0</v>
      </c>
      <c r="FL114" s="4">
        <f t="shared" si="40"/>
        <v>0</v>
      </c>
      <c r="FO114" s="4">
        <f t="shared" si="41"/>
        <v>0</v>
      </c>
      <c r="FR114" s="4">
        <f t="shared" si="42"/>
        <v>0</v>
      </c>
      <c r="FU114" s="4">
        <f t="shared" si="43"/>
        <v>0</v>
      </c>
      <c r="FV114" s="4">
        <f t="shared" si="44"/>
        <v>0</v>
      </c>
      <c r="FW114" s="4" t="str">
        <f t="shared" si="45"/>
        <v>ORDINARIO</v>
      </c>
    </row>
    <row r="115" spans="1:179" x14ac:dyDescent="0.3">
      <c r="A115">
        <v>113</v>
      </c>
      <c r="AR115" s="4">
        <f t="shared" si="38"/>
        <v>0</v>
      </c>
      <c r="CK115" s="4">
        <f t="shared" si="39"/>
        <v>0</v>
      </c>
      <c r="FL115" s="4">
        <f t="shared" si="40"/>
        <v>0</v>
      </c>
      <c r="FO115" s="4">
        <f t="shared" si="41"/>
        <v>0</v>
      </c>
      <c r="FR115" s="4">
        <f t="shared" si="42"/>
        <v>0</v>
      </c>
      <c r="FU115" s="4">
        <f t="shared" si="43"/>
        <v>0</v>
      </c>
      <c r="FV115" s="4">
        <f t="shared" si="44"/>
        <v>0</v>
      </c>
      <c r="FW115" s="4" t="str">
        <f t="shared" si="45"/>
        <v>ORDINARIO</v>
      </c>
    </row>
    <row r="116" spans="1:179" x14ac:dyDescent="0.3">
      <c r="A116">
        <v>114</v>
      </c>
      <c r="AR116" s="4">
        <f t="shared" si="38"/>
        <v>0</v>
      </c>
      <c r="CK116" s="4">
        <f t="shared" si="39"/>
        <v>0</v>
      </c>
      <c r="FL116" s="4">
        <f t="shared" si="40"/>
        <v>0</v>
      </c>
      <c r="FO116" s="4">
        <f t="shared" si="41"/>
        <v>0</v>
      </c>
      <c r="FR116" s="4">
        <f t="shared" si="42"/>
        <v>0</v>
      </c>
      <c r="FU116" s="4">
        <f t="shared" si="43"/>
        <v>0</v>
      </c>
      <c r="FV116" s="4">
        <f t="shared" si="44"/>
        <v>0</v>
      </c>
      <c r="FW116" s="4" t="str">
        <f t="shared" si="45"/>
        <v>ORDINARIO</v>
      </c>
    </row>
    <row r="117" spans="1:179" x14ac:dyDescent="0.3">
      <c r="A117">
        <v>115</v>
      </c>
      <c r="AR117" s="4">
        <f t="shared" si="38"/>
        <v>0</v>
      </c>
      <c r="CK117" s="4">
        <f t="shared" si="39"/>
        <v>0</v>
      </c>
      <c r="FL117" s="4">
        <f t="shared" si="40"/>
        <v>0</v>
      </c>
      <c r="FO117" s="4">
        <f t="shared" si="41"/>
        <v>0</v>
      </c>
      <c r="FR117" s="4">
        <f t="shared" si="42"/>
        <v>0</v>
      </c>
      <c r="FU117" s="4">
        <f t="shared" si="43"/>
        <v>0</v>
      </c>
      <c r="FV117" s="4">
        <f t="shared" si="44"/>
        <v>0</v>
      </c>
      <c r="FW117" s="4" t="str">
        <f t="shared" si="45"/>
        <v>ORDINARIO</v>
      </c>
    </row>
    <row r="118" spans="1:179" x14ac:dyDescent="0.3">
      <c r="A118">
        <v>116</v>
      </c>
      <c r="AR118" s="4">
        <f t="shared" si="38"/>
        <v>0</v>
      </c>
      <c r="CK118" s="4">
        <f t="shared" si="39"/>
        <v>0</v>
      </c>
      <c r="FL118" s="4">
        <f t="shared" si="40"/>
        <v>0</v>
      </c>
      <c r="FO118" s="4">
        <f t="shared" si="41"/>
        <v>0</v>
      </c>
      <c r="FR118" s="4">
        <f t="shared" si="42"/>
        <v>0</v>
      </c>
      <c r="FU118" s="4">
        <f t="shared" si="43"/>
        <v>0</v>
      </c>
      <c r="FV118" s="4">
        <f t="shared" si="44"/>
        <v>0</v>
      </c>
      <c r="FW118" s="4" t="str">
        <f t="shared" si="45"/>
        <v>ORDINARIO</v>
      </c>
    </row>
    <row r="119" spans="1:179" x14ac:dyDescent="0.3">
      <c r="A119">
        <v>117</v>
      </c>
      <c r="AR119" s="4">
        <f t="shared" si="38"/>
        <v>0</v>
      </c>
      <c r="CK119" s="4">
        <f t="shared" si="39"/>
        <v>0</v>
      </c>
      <c r="FL119" s="4">
        <f t="shared" si="40"/>
        <v>0</v>
      </c>
      <c r="FO119" s="4">
        <f t="shared" si="41"/>
        <v>0</v>
      </c>
      <c r="FR119" s="4">
        <f t="shared" si="42"/>
        <v>0</v>
      </c>
      <c r="FU119" s="4">
        <f t="shared" si="43"/>
        <v>0</v>
      </c>
      <c r="FV119" s="4">
        <f t="shared" si="44"/>
        <v>0</v>
      </c>
      <c r="FW119" s="4" t="str">
        <f t="shared" si="45"/>
        <v>ORDINARIO</v>
      </c>
    </row>
    <row r="120" spans="1:179" x14ac:dyDescent="0.3">
      <c r="A120">
        <v>118</v>
      </c>
      <c r="AR120" s="4">
        <f t="shared" si="38"/>
        <v>0</v>
      </c>
      <c r="CK120" s="4">
        <f t="shared" si="39"/>
        <v>0</v>
      </c>
      <c r="FL120" s="4">
        <f t="shared" si="40"/>
        <v>0</v>
      </c>
      <c r="FO120" s="4">
        <f t="shared" si="41"/>
        <v>0</v>
      </c>
      <c r="FR120" s="4">
        <f t="shared" si="42"/>
        <v>0</v>
      </c>
      <c r="FU120" s="4">
        <f t="shared" si="43"/>
        <v>0</v>
      </c>
      <c r="FV120" s="4">
        <f t="shared" si="44"/>
        <v>0</v>
      </c>
      <c r="FW120" s="4" t="str">
        <f t="shared" si="45"/>
        <v>ORDINARIO</v>
      </c>
    </row>
    <row r="121" spans="1:179" x14ac:dyDescent="0.3">
      <c r="A121">
        <v>119</v>
      </c>
      <c r="AR121" s="4">
        <f t="shared" si="38"/>
        <v>0</v>
      </c>
      <c r="CK121" s="4">
        <f t="shared" si="39"/>
        <v>0</v>
      </c>
      <c r="FL121" s="4">
        <f t="shared" si="40"/>
        <v>0</v>
      </c>
      <c r="FO121" s="4">
        <f t="shared" si="41"/>
        <v>0</v>
      </c>
      <c r="FR121" s="4">
        <f t="shared" si="42"/>
        <v>0</v>
      </c>
      <c r="FU121" s="4">
        <f t="shared" si="43"/>
        <v>0</v>
      </c>
      <c r="FV121" s="4">
        <f t="shared" si="44"/>
        <v>0</v>
      </c>
      <c r="FW121" s="4" t="str">
        <f t="shared" si="45"/>
        <v>ORDINARIO</v>
      </c>
    </row>
    <row r="122" spans="1:179" x14ac:dyDescent="0.3">
      <c r="A122">
        <v>120</v>
      </c>
      <c r="AR122" s="4">
        <f t="shared" si="38"/>
        <v>0</v>
      </c>
      <c r="CK122" s="4">
        <f t="shared" si="39"/>
        <v>0</v>
      </c>
      <c r="FL122" s="4">
        <f t="shared" si="40"/>
        <v>0</v>
      </c>
      <c r="FO122" s="4">
        <f t="shared" si="41"/>
        <v>0</v>
      </c>
      <c r="FR122" s="4">
        <f t="shared" si="42"/>
        <v>0</v>
      </c>
      <c r="FU122" s="4">
        <f t="shared" si="43"/>
        <v>0</v>
      </c>
      <c r="FV122" s="4">
        <f t="shared" si="44"/>
        <v>0</v>
      </c>
      <c r="FW122" s="4" t="str">
        <f t="shared" si="45"/>
        <v>ORDINARIO</v>
      </c>
    </row>
    <row r="123" spans="1:179" x14ac:dyDescent="0.3">
      <c r="A123">
        <v>121</v>
      </c>
      <c r="AR123" s="4">
        <f t="shared" si="38"/>
        <v>0</v>
      </c>
      <c r="CK123" s="4">
        <f t="shared" si="39"/>
        <v>0</v>
      </c>
      <c r="FL123" s="4">
        <f t="shared" si="40"/>
        <v>0</v>
      </c>
      <c r="FO123" s="4">
        <f t="shared" si="41"/>
        <v>0</v>
      </c>
      <c r="FR123" s="4">
        <f t="shared" si="42"/>
        <v>0</v>
      </c>
      <c r="FU123" s="4">
        <f t="shared" si="43"/>
        <v>0</v>
      </c>
      <c r="FV123" s="4">
        <f t="shared" si="44"/>
        <v>0</v>
      </c>
      <c r="FW123" s="4" t="str">
        <f t="shared" si="45"/>
        <v>ORDINARIO</v>
      </c>
    </row>
    <row r="124" spans="1:179" x14ac:dyDescent="0.3">
      <c r="A124">
        <v>122</v>
      </c>
      <c r="AR124" s="4">
        <f t="shared" si="38"/>
        <v>0</v>
      </c>
      <c r="CK124" s="4">
        <f t="shared" si="39"/>
        <v>0</v>
      </c>
      <c r="FL124" s="4">
        <f t="shared" si="40"/>
        <v>0</v>
      </c>
      <c r="FO124" s="4">
        <f t="shared" si="41"/>
        <v>0</v>
      </c>
      <c r="FR124" s="4">
        <f t="shared" si="42"/>
        <v>0</v>
      </c>
      <c r="FU124" s="4">
        <f t="shared" si="43"/>
        <v>0</v>
      </c>
      <c r="FV124" s="4">
        <f t="shared" si="44"/>
        <v>0</v>
      </c>
      <c r="FW124" s="4" t="str">
        <f t="shared" si="45"/>
        <v>ORDINARIO</v>
      </c>
    </row>
    <row r="125" spans="1:179" x14ac:dyDescent="0.3">
      <c r="A125">
        <v>123</v>
      </c>
      <c r="AR125" s="4">
        <f t="shared" si="38"/>
        <v>0</v>
      </c>
      <c r="CK125" s="4">
        <f t="shared" si="39"/>
        <v>0</v>
      </c>
      <c r="FL125" s="4">
        <f t="shared" si="40"/>
        <v>0</v>
      </c>
      <c r="FO125" s="4">
        <f t="shared" si="41"/>
        <v>0</v>
      </c>
      <c r="FR125" s="4">
        <f t="shared" si="42"/>
        <v>0</v>
      </c>
      <c r="FU125" s="4">
        <f t="shared" si="43"/>
        <v>0</v>
      </c>
      <c r="FV125" s="4">
        <f t="shared" si="44"/>
        <v>0</v>
      </c>
      <c r="FW125" s="4" t="str">
        <f t="shared" si="45"/>
        <v>ORDINARIO</v>
      </c>
    </row>
    <row r="126" spans="1:179" x14ac:dyDescent="0.3">
      <c r="A126">
        <v>124</v>
      </c>
      <c r="AR126" s="4">
        <f t="shared" si="38"/>
        <v>0</v>
      </c>
      <c r="CK126" s="4">
        <f t="shared" si="39"/>
        <v>0</v>
      </c>
      <c r="FL126" s="4">
        <f t="shared" si="40"/>
        <v>0</v>
      </c>
      <c r="FO126" s="4">
        <f t="shared" si="41"/>
        <v>0</v>
      </c>
      <c r="FR126" s="4">
        <f t="shared" si="42"/>
        <v>0</v>
      </c>
      <c r="FU126" s="4">
        <f t="shared" si="43"/>
        <v>0</v>
      </c>
      <c r="FV126" s="4">
        <f t="shared" si="44"/>
        <v>0</v>
      </c>
      <c r="FW126" s="4" t="str">
        <f t="shared" si="45"/>
        <v>ORDINARIO</v>
      </c>
    </row>
    <row r="127" spans="1:179" x14ac:dyDescent="0.3">
      <c r="A127">
        <v>125</v>
      </c>
      <c r="AR127" s="4">
        <f t="shared" si="38"/>
        <v>0</v>
      </c>
      <c r="CK127" s="4">
        <f t="shared" si="39"/>
        <v>0</v>
      </c>
      <c r="FL127" s="4">
        <f t="shared" si="40"/>
        <v>0</v>
      </c>
      <c r="FO127" s="4">
        <f t="shared" si="41"/>
        <v>0</v>
      </c>
      <c r="FR127" s="4">
        <f t="shared" si="42"/>
        <v>0</v>
      </c>
      <c r="FU127" s="4">
        <f t="shared" si="43"/>
        <v>0</v>
      </c>
      <c r="FV127" s="4">
        <f t="shared" si="44"/>
        <v>0</v>
      </c>
      <c r="FW127" s="4" t="str">
        <f t="shared" si="45"/>
        <v>ORDINARIO</v>
      </c>
    </row>
    <row r="128" spans="1:179" x14ac:dyDescent="0.3">
      <c r="A128">
        <v>126</v>
      </c>
      <c r="AR128" s="4">
        <f t="shared" si="38"/>
        <v>0</v>
      </c>
      <c r="CK128" s="4">
        <f t="shared" si="39"/>
        <v>0</v>
      </c>
      <c r="FL128" s="4">
        <f t="shared" si="40"/>
        <v>0</v>
      </c>
      <c r="FO128" s="4">
        <f t="shared" si="41"/>
        <v>0</v>
      </c>
      <c r="FR128" s="4">
        <f t="shared" si="42"/>
        <v>0</v>
      </c>
      <c r="FU128" s="4">
        <f t="shared" si="43"/>
        <v>0</v>
      </c>
      <c r="FV128" s="4">
        <f t="shared" si="44"/>
        <v>0</v>
      </c>
      <c r="FW128" s="4" t="str">
        <f t="shared" si="45"/>
        <v>ORDINARIO</v>
      </c>
    </row>
    <row r="129" spans="1:179" x14ac:dyDescent="0.3">
      <c r="A129">
        <v>127</v>
      </c>
      <c r="AR129" s="4">
        <f t="shared" si="38"/>
        <v>0</v>
      </c>
      <c r="CK129" s="4">
        <f t="shared" si="39"/>
        <v>0</v>
      </c>
      <c r="FL129" s="4">
        <f t="shared" si="40"/>
        <v>0</v>
      </c>
      <c r="FO129" s="4">
        <f t="shared" si="41"/>
        <v>0</v>
      </c>
      <c r="FR129" s="4">
        <f t="shared" si="42"/>
        <v>0</v>
      </c>
      <c r="FU129" s="4">
        <f t="shared" si="43"/>
        <v>0</v>
      </c>
      <c r="FV129" s="4">
        <f t="shared" si="44"/>
        <v>0</v>
      </c>
      <c r="FW129" s="4" t="str">
        <f t="shared" si="45"/>
        <v>ORDINARIO</v>
      </c>
    </row>
    <row r="130" spans="1:179" x14ac:dyDescent="0.3">
      <c r="A130">
        <v>128</v>
      </c>
      <c r="AR130" s="4">
        <f t="shared" si="38"/>
        <v>0</v>
      </c>
      <c r="CK130" s="4">
        <f t="shared" si="39"/>
        <v>0</v>
      </c>
      <c r="FL130" s="4">
        <f t="shared" si="40"/>
        <v>0</v>
      </c>
      <c r="FO130" s="4">
        <f t="shared" si="41"/>
        <v>0</v>
      </c>
      <c r="FR130" s="4">
        <f t="shared" si="42"/>
        <v>0</v>
      </c>
      <c r="FU130" s="4">
        <f t="shared" si="43"/>
        <v>0</v>
      </c>
      <c r="FV130" s="4">
        <f t="shared" si="44"/>
        <v>0</v>
      </c>
      <c r="FW130" s="4" t="str">
        <f t="shared" si="45"/>
        <v>ORDINARIO</v>
      </c>
    </row>
    <row r="131" spans="1:179" x14ac:dyDescent="0.3">
      <c r="A131">
        <v>129</v>
      </c>
      <c r="AR131" s="4">
        <f t="shared" ref="AR131:AR162" si="46">+AS131+AU131+BE131+CD131+CE131+CF131+CG131+CH131+CI131+CW131</f>
        <v>0</v>
      </c>
      <c r="CK131" s="4">
        <f t="shared" si="39"/>
        <v>0</v>
      </c>
      <c r="FL131" s="4">
        <f t="shared" si="40"/>
        <v>0</v>
      </c>
      <c r="FO131" s="4">
        <f t="shared" si="41"/>
        <v>0</v>
      </c>
      <c r="FR131" s="4">
        <f t="shared" si="42"/>
        <v>0</v>
      </c>
      <c r="FU131" s="4">
        <f t="shared" si="43"/>
        <v>0</v>
      </c>
      <c r="FV131" s="4">
        <f t="shared" si="44"/>
        <v>0</v>
      </c>
      <c r="FW131" s="4" t="str">
        <f t="shared" si="45"/>
        <v>ORDINARIO</v>
      </c>
    </row>
    <row r="132" spans="1:179" x14ac:dyDescent="0.3">
      <c r="A132">
        <v>130</v>
      </c>
      <c r="AR132" s="4">
        <f t="shared" si="46"/>
        <v>0</v>
      </c>
      <c r="CK132" s="4">
        <f t="shared" si="39"/>
        <v>0</v>
      </c>
      <c r="FL132" s="4">
        <f t="shared" si="40"/>
        <v>0</v>
      </c>
      <c r="FO132" s="4">
        <f t="shared" si="41"/>
        <v>0</v>
      </c>
      <c r="FR132" s="4">
        <f t="shared" si="42"/>
        <v>0</v>
      </c>
      <c r="FU132" s="4">
        <f t="shared" si="43"/>
        <v>0</v>
      </c>
      <c r="FV132" s="4">
        <f t="shared" si="44"/>
        <v>0</v>
      </c>
      <c r="FW132" s="4" t="str">
        <f t="shared" si="45"/>
        <v>ORDINARIO</v>
      </c>
    </row>
    <row r="133" spans="1:179" x14ac:dyDescent="0.3">
      <c r="A133">
        <v>131</v>
      </c>
      <c r="AR133" s="4">
        <f t="shared" si="46"/>
        <v>0</v>
      </c>
      <c r="CK133" s="4">
        <f t="shared" si="39"/>
        <v>0</v>
      </c>
      <c r="FL133" s="4">
        <f t="shared" si="40"/>
        <v>0</v>
      </c>
      <c r="FO133" s="4">
        <f t="shared" si="41"/>
        <v>0</v>
      </c>
      <c r="FR133" s="4">
        <f t="shared" si="42"/>
        <v>0</v>
      </c>
      <c r="FU133" s="4">
        <f t="shared" si="43"/>
        <v>0</v>
      </c>
      <c r="FV133" s="4">
        <f t="shared" si="44"/>
        <v>0</v>
      </c>
      <c r="FW133" s="4" t="str">
        <f t="shared" si="45"/>
        <v>ORDINARIO</v>
      </c>
    </row>
    <row r="134" spans="1:179" x14ac:dyDescent="0.3">
      <c r="A134">
        <v>132</v>
      </c>
      <c r="AR134" s="4">
        <f t="shared" si="46"/>
        <v>0</v>
      </c>
      <c r="CK134" s="4">
        <f t="shared" si="39"/>
        <v>0</v>
      </c>
      <c r="FL134" s="4">
        <f t="shared" si="40"/>
        <v>0</v>
      </c>
      <c r="FO134" s="4">
        <f t="shared" si="41"/>
        <v>0</v>
      </c>
      <c r="FR134" s="4">
        <f t="shared" si="42"/>
        <v>0</v>
      </c>
      <c r="FU134" s="4">
        <f t="shared" si="43"/>
        <v>0</v>
      </c>
      <c r="FV134" s="4">
        <f t="shared" si="44"/>
        <v>0</v>
      </c>
      <c r="FW134" s="4" t="str">
        <f t="shared" si="45"/>
        <v>ORDINARIO</v>
      </c>
    </row>
    <row r="135" spans="1:179" x14ac:dyDescent="0.3">
      <c r="A135">
        <v>133</v>
      </c>
      <c r="AR135" s="4">
        <f t="shared" si="46"/>
        <v>0</v>
      </c>
      <c r="CK135" s="4">
        <f t="shared" si="39"/>
        <v>0</v>
      </c>
      <c r="FL135" s="4">
        <f t="shared" si="40"/>
        <v>0</v>
      </c>
      <c r="FO135" s="4">
        <f t="shared" si="41"/>
        <v>0</v>
      </c>
      <c r="FR135" s="4">
        <f t="shared" si="42"/>
        <v>0</v>
      </c>
      <c r="FU135" s="4">
        <f t="shared" si="43"/>
        <v>0</v>
      </c>
      <c r="FV135" s="4">
        <f t="shared" si="44"/>
        <v>0</v>
      </c>
      <c r="FW135" s="4" t="str">
        <f t="shared" si="45"/>
        <v>ORDINARIO</v>
      </c>
    </row>
    <row r="136" spans="1:179" x14ac:dyDescent="0.3">
      <c r="A136">
        <v>134</v>
      </c>
      <c r="AR136" s="4">
        <f t="shared" si="46"/>
        <v>0</v>
      </c>
      <c r="CK136" s="4">
        <f t="shared" si="39"/>
        <v>0</v>
      </c>
      <c r="FL136" s="4">
        <f t="shared" si="40"/>
        <v>0</v>
      </c>
      <c r="FO136" s="4">
        <f t="shared" si="41"/>
        <v>0</v>
      </c>
      <c r="FR136" s="4">
        <f t="shared" si="42"/>
        <v>0</v>
      </c>
      <c r="FU136" s="4">
        <f t="shared" si="43"/>
        <v>0</v>
      </c>
      <c r="FV136" s="4">
        <f t="shared" si="44"/>
        <v>0</v>
      </c>
      <c r="FW136" s="4" t="str">
        <f t="shared" si="45"/>
        <v>ORDINARIO</v>
      </c>
    </row>
    <row r="137" spans="1:179" x14ac:dyDescent="0.3">
      <c r="A137">
        <v>135</v>
      </c>
      <c r="AR137" s="4">
        <f t="shared" si="46"/>
        <v>0</v>
      </c>
      <c r="CK137" s="4">
        <f t="shared" si="39"/>
        <v>0</v>
      </c>
      <c r="FL137" s="4">
        <f t="shared" si="40"/>
        <v>0</v>
      </c>
      <c r="FO137" s="4">
        <f t="shared" si="41"/>
        <v>0</v>
      </c>
      <c r="FR137" s="4">
        <f t="shared" si="42"/>
        <v>0</v>
      </c>
      <c r="FU137" s="4">
        <f t="shared" si="43"/>
        <v>0</v>
      </c>
      <c r="FV137" s="4">
        <f t="shared" si="44"/>
        <v>0</v>
      </c>
      <c r="FW137" s="4" t="str">
        <f t="shared" si="45"/>
        <v>ORDINARIO</v>
      </c>
    </row>
    <row r="138" spans="1:179" x14ac:dyDescent="0.3">
      <c r="A138">
        <v>136</v>
      </c>
      <c r="AR138" s="4">
        <f t="shared" si="46"/>
        <v>0</v>
      </c>
      <c r="CK138" s="4">
        <f t="shared" si="39"/>
        <v>0</v>
      </c>
      <c r="FL138" s="4">
        <f t="shared" si="40"/>
        <v>0</v>
      </c>
      <c r="FO138" s="4">
        <f t="shared" si="41"/>
        <v>0</v>
      </c>
      <c r="FR138" s="4">
        <f t="shared" si="42"/>
        <v>0</v>
      </c>
      <c r="FU138" s="4">
        <f t="shared" si="43"/>
        <v>0</v>
      </c>
      <c r="FV138" s="4">
        <f t="shared" si="44"/>
        <v>0</v>
      </c>
      <c r="FW138" s="4" t="str">
        <f t="shared" si="45"/>
        <v>ORDINARIO</v>
      </c>
    </row>
    <row r="139" spans="1:179" x14ac:dyDescent="0.3">
      <c r="A139">
        <v>137</v>
      </c>
      <c r="AR139" s="4">
        <f t="shared" si="46"/>
        <v>0</v>
      </c>
      <c r="CK139" s="4">
        <f t="shared" si="39"/>
        <v>0</v>
      </c>
      <c r="FL139" s="4">
        <f t="shared" si="40"/>
        <v>0</v>
      </c>
      <c r="FO139" s="4">
        <f t="shared" si="41"/>
        <v>0</v>
      </c>
      <c r="FR139" s="4">
        <f t="shared" si="42"/>
        <v>0</v>
      </c>
      <c r="FU139" s="4">
        <f t="shared" si="43"/>
        <v>0</v>
      </c>
      <c r="FV139" s="4">
        <f t="shared" si="44"/>
        <v>0</v>
      </c>
      <c r="FW139" s="4" t="str">
        <f t="shared" si="45"/>
        <v>ORDINARIO</v>
      </c>
    </row>
    <row r="140" spans="1:179" x14ac:dyDescent="0.3">
      <c r="A140">
        <v>138</v>
      </c>
      <c r="AR140" s="4">
        <f t="shared" si="46"/>
        <v>0</v>
      </c>
      <c r="CK140" s="4">
        <f t="shared" si="39"/>
        <v>0</v>
      </c>
      <c r="FL140" s="4">
        <f t="shared" si="40"/>
        <v>0</v>
      </c>
      <c r="FO140" s="4">
        <f t="shared" si="41"/>
        <v>0</v>
      </c>
      <c r="FR140" s="4">
        <f t="shared" si="42"/>
        <v>0</v>
      </c>
      <c r="FU140" s="4">
        <f t="shared" si="43"/>
        <v>0</v>
      </c>
      <c r="FV140" s="4">
        <f t="shared" si="44"/>
        <v>0</v>
      </c>
      <c r="FW140" s="4" t="str">
        <f t="shared" si="45"/>
        <v>ORDINARIO</v>
      </c>
    </row>
    <row r="141" spans="1:179" x14ac:dyDescent="0.3">
      <c r="A141">
        <v>139</v>
      </c>
      <c r="AR141" s="4">
        <f t="shared" si="46"/>
        <v>0</v>
      </c>
      <c r="CK141" s="4">
        <f t="shared" si="39"/>
        <v>0</v>
      </c>
      <c r="FL141" s="4">
        <f t="shared" si="40"/>
        <v>0</v>
      </c>
      <c r="FO141" s="4">
        <f t="shared" si="41"/>
        <v>0</v>
      </c>
      <c r="FR141" s="4">
        <f t="shared" si="42"/>
        <v>0</v>
      </c>
      <c r="FU141" s="4">
        <f t="shared" si="43"/>
        <v>0</v>
      </c>
      <c r="FV141" s="4">
        <f t="shared" si="44"/>
        <v>0</v>
      </c>
      <c r="FW141" s="4" t="str">
        <f t="shared" si="45"/>
        <v>ORDINARIO</v>
      </c>
    </row>
    <row r="142" spans="1:179" x14ac:dyDescent="0.3">
      <c r="A142">
        <v>140</v>
      </c>
      <c r="AR142" s="4">
        <f t="shared" si="46"/>
        <v>0</v>
      </c>
      <c r="CK142" s="4">
        <f t="shared" ref="CK142:CK173" si="47">+CL142+CN142+CO142+CP142+CQ142</f>
        <v>0</v>
      </c>
      <c r="FL142" s="4">
        <f t="shared" ref="FL142:FL173" si="48">+FK142/3000</f>
        <v>0</v>
      </c>
      <c r="FO142" s="4">
        <f t="shared" ref="FO142:FO173" si="49">+FN142/1400</f>
        <v>0</v>
      </c>
      <c r="FR142" s="4">
        <f t="shared" ref="FR142:FR173" si="50">+FQ142/2000</f>
        <v>0</v>
      </c>
      <c r="FU142" s="4">
        <f t="shared" ref="FU142:FU173" si="51">+FT142/15000</f>
        <v>0</v>
      </c>
      <c r="FV142" s="4">
        <f t="shared" ref="FV142:FV173" si="52">+FL142+FO142+FR142+FU142</f>
        <v>0</v>
      </c>
      <c r="FW142" s="4" t="str">
        <f t="shared" ref="FW142:FW173" si="53">+IF((FL142+FO142+FR142+FU142)&gt;=1,"ALTO","ORDINARIO")</f>
        <v>ORDINARIO</v>
      </c>
    </row>
    <row r="143" spans="1:179" x14ac:dyDescent="0.3">
      <c r="A143">
        <v>141</v>
      </c>
      <c r="AR143" s="4">
        <f t="shared" si="46"/>
        <v>0</v>
      </c>
      <c r="CK143" s="4">
        <f t="shared" si="47"/>
        <v>0</v>
      </c>
      <c r="FL143" s="4">
        <f t="shared" si="48"/>
        <v>0</v>
      </c>
      <c r="FO143" s="4">
        <f t="shared" si="49"/>
        <v>0</v>
      </c>
      <c r="FR143" s="4">
        <f t="shared" si="50"/>
        <v>0</v>
      </c>
      <c r="FU143" s="4">
        <f t="shared" si="51"/>
        <v>0</v>
      </c>
      <c r="FV143" s="4">
        <f t="shared" si="52"/>
        <v>0</v>
      </c>
      <c r="FW143" s="4" t="str">
        <f t="shared" si="53"/>
        <v>ORDINARIO</v>
      </c>
    </row>
    <row r="144" spans="1:179" x14ac:dyDescent="0.3">
      <c r="A144">
        <v>142</v>
      </c>
      <c r="AR144" s="4">
        <f t="shared" si="46"/>
        <v>0</v>
      </c>
      <c r="CK144" s="4">
        <f t="shared" si="47"/>
        <v>0</v>
      </c>
      <c r="FL144" s="4">
        <f t="shared" si="48"/>
        <v>0</v>
      </c>
      <c r="FO144" s="4">
        <f t="shared" si="49"/>
        <v>0</v>
      </c>
      <c r="FR144" s="4">
        <f t="shared" si="50"/>
        <v>0</v>
      </c>
      <c r="FU144" s="4">
        <f t="shared" si="51"/>
        <v>0</v>
      </c>
      <c r="FV144" s="4">
        <f t="shared" si="52"/>
        <v>0</v>
      </c>
      <c r="FW144" s="4" t="str">
        <f t="shared" si="53"/>
        <v>ORDINARIO</v>
      </c>
    </row>
    <row r="145" spans="1:179" x14ac:dyDescent="0.3">
      <c r="A145">
        <v>143</v>
      </c>
      <c r="AR145" s="4">
        <f t="shared" si="46"/>
        <v>0</v>
      </c>
      <c r="CK145" s="4">
        <f t="shared" si="47"/>
        <v>0</v>
      </c>
      <c r="FL145" s="4">
        <f t="shared" si="48"/>
        <v>0</v>
      </c>
      <c r="FO145" s="4">
        <f t="shared" si="49"/>
        <v>0</v>
      </c>
      <c r="FR145" s="4">
        <f t="shared" si="50"/>
        <v>0</v>
      </c>
      <c r="FU145" s="4">
        <f t="shared" si="51"/>
        <v>0</v>
      </c>
      <c r="FV145" s="4">
        <f t="shared" si="52"/>
        <v>0</v>
      </c>
      <c r="FW145" s="4" t="str">
        <f t="shared" si="53"/>
        <v>ORDINARIO</v>
      </c>
    </row>
    <row r="146" spans="1:179" x14ac:dyDescent="0.3">
      <c r="A146">
        <v>144</v>
      </c>
      <c r="AR146" s="4">
        <f t="shared" si="46"/>
        <v>0</v>
      </c>
      <c r="CK146" s="4">
        <f t="shared" si="47"/>
        <v>0</v>
      </c>
      <c r="FL146" s="4">
        <f t="shared" si="48"/>
        <v>0</v>
      </c>
      <c r="FO146" s="4">
        <f t="shared" si="49"/>
        <v>0</v>
      </c>
      <c r="FR146" s="4">
        <f t="shared" si="50"/>
        <v>0</v>
      </c>
      <c r="FU146" s="4">
        <f t="shared" si="51"/>
        <v>0</v>
      </c>
      <c r="FV146" s="4">
        <f t="shared" si="52"/>
        <v>0</v>
      </c>
      <c r="FW146" s="4" t="str">
        <f t="shared" si="53"/>
        <v>ORDINARIO</v>
      </c>
    </row>
    <row r="147" spans="1:179" x14ac:dyDescent="0.3">
      <c r="A147">
        <v>145</v>
      </c>
      <c r="AR147" s="4">
        <f t="shared" si="46"/>
        <v>0</v>
      </c>
      <c r="CK147" s="4">
        <f t="shared" si="47"/>
        <v>0</v>
      </c>
      <c r="FL147" s="4">
        <f t="shared" si="48"/>
        <v>0</v>
      </c>
      <c r="FO147" s="4">
        <f t="shared" si="49"/>
        <v>0</v>
      </c>
      <c r="FR147" s="4">
        <f t="shared" si="50"/>
        <v>0</v>
      </c>
      <c r="FU147" s="4">
        <f t="shared" si="51"/>
        <v>0</v>
      </c>
      <c r="FV147" s="4">
        <f t="shared" si="52"/>
        <v>0</v>
      </c>
      <c r="FW147" s="4" t="str">
        <f t="shared" si="53"/>
        <v>ORDINARIO</v>
      </c>
    </row>
    <row r="148" spans="1:179" x14ac:dyDescent="0.3">
      <c r="A148">
        <v>146</v>
      </c>
      <c r="AR148" s="4">
        <f t="shared" si="46"/>
        <v>0</v>
      </c>
      <c r="CK148" s="4">
        <f t="shared" si="47"/>
        <v>0</v>
      </c>
      <c r="FL148" s="4">
        <f t="shared" si="48"/>
        <v>0</v>
      </c>
      <c r="FO148" s="4">
        <f t="shared" si="49"/>
        <v>0</v>
      </c>
      <c r="FR148" s="4">
        <f t="shared" si="50"/>
        <v>0</v>
      </c>
      <c r="FU148" s="4">
        <f t="shared" si="51"/>
        <v>0</v>
      </c>
      <c r="FV148" s="4">
        <f t="shared" si="52"/>
        <v>0</v>
      </c>
      <c r="FW148" s="4" t="str">
        <f t="shared" si="53"/>
        <v>ORDINARIO</v>
      </c>
    </row>
    <row r="149" spans="1:179" x14ac:dyDescent="0.3">
      <c r="A149">
        <v>147</v>
      </c>
      <c r="AR149" s="4">
        <f t="shared" si="46"/>
        <v>0</v>
      </c>
      <c r="CK149" s="4">
        <f t="shared" si="47"/>
        <v>0</v>
      </c>
      <c r="FL149" s="4">
        <f t="shared" si="48"/>
        <v>0</v>
      </c>
      <c r="FO149" s="4">
        <f t="shared" si="49"/>
        <v>0</v>
      </c>
      <c r="FR149" s="4">
        <f t="shared" si="50"/>
        <v>0</v>
      </c>
      <c r="FU149" s="4">
        <f t="shared" si="51"/>
        <v>0</v>
      </c>
      <c r="FV149" s="4">
        <f t="shared" si="52"/>
        <v>0</v>
      </c>
      <c r="FW149" s="4" t="str">
        <f t="shared" si="53"/>
        <v>ORDINARIO</v>
      </c>
    </row>
    <row r="150" spans="1:179" x14ac:dyDescent="0.3">
      <c r="A150">
        <v>148</v>
      </c>
      <c r="AR150" s="4">
        <f t="shared" si="46"/>
        <v>0</v>
      </c>
      <c r="CK150" s="4">
        <f t="shared" si="47"/>
        <v>0</v>
      </c>
      <c r="FL150" s="4">
        <f t="shared" si="48"/>
        <v>0</v>
      </c>
      <c r="FO150" s="4">
        <f t="shared" si="49"/>
        <v>0</v>
      </c>
      <c r="FR150" s="4">
        <f t="shared" si="50"/>
        <v>0</v>
      </c>
      <c r="FU150" s="4">
        <f t="shared" si="51"/>
        <v>0</v>
      </c>
      <c r="FV150" s="4">
        <f t="shared" si="52"/>
        <v>0</v>
      </c>
      <c r="FW150" s="4" t="str">
        <f t="shared" si="53"/>
        <v>ORDINARIO</v>
      </c>
    </row>
    <row r="151" spans="1:179" x14ac:dyDescent="0.3">
      <c r="A151">
        <v>149</v>
      </c>
      <c r="AR151" s="4">
        <f t="shared" si="46"/>
        <v>0</v>
      </c>
      <c r="CK151" s="4">
        <f t="shared" si="47"/>
        <v>0</v>
      </c>
      <c r="FL151" s="4">
        <f t="shared" si="48"/>
        <v>0</v>
      </c>
      <c r="FO151" s="4">
        <f t="shared" si="49"/>
        <v>0</v>
      </c>
      <c r="FR151" s="4">
        <f t="shared" si="50"/>
        <v>0</v>
      </c>
      <c r="FU151" s="4">
        <f t="shared" si="51"/>
        <v>0</v>
      </c>
      <c r="FV151" s="4">
        <f t="shared" si="52"/>
        <v>0</v>
      </c>
      <c r="FW151" s="4" t="str">
        <f t="shared" si="53"/>
        <v>ORDINARIO</v>
      </c>
    </row>
    <row r="152" spans="1:179" x14ac:dyDescent="0.3">
      <c r="A152">
        <v>150</v>
      </c>
      <c r="AR152" s="4">
        <f t="shared" si="46"/>
        <v>0</v>
      </c>
      <c r="CK152" s="4">
        <f t="shared" si="47"/>
        <v>0</v>
      </c>
      <c r="FL152" s="4">
        <f t="shared" si="48"/>
        <v>0</v>
      </c>
      <c r="FO152" s="4">
        <f t="shared" si="49"/>
        <v>0</v>
      </c>
      <c r="FR152" s="4">
        <f t="shared" si="50"/>
        <v>0</v>
      </c>
      <c r="FU152" s="4">
        <f t="shared" si="51"/>
        <v>0</v>
      </c>
      <c r="FV152" s="4">
        <f t="shared" si="52"/>
        <v>0</v>
      </c>
      <c r="FW152" s="4" t="str">
        <f t="shared" si="53"/>
        <v>ORDINARIO</v>
      </c>
    </row>
    <row r="153" spans="1:179" x14ac:dyDescent="0.3">
      <c r="A153">
        <v>151</v>
      </c>
      <c r="AR153" s="4">
        <f t="shared" si="46"/>
        <v>0</v>
      </c>
      <c r="CK153" s="4">
        <f t="shared" si="47"/>
        <v>0</v>
      </c>
      <c r="FL153" s="4">
        <f t="shared" si="48"/>
        <v>0</v>
      </c>
      <c r="FO153" s="4">
        <f t="shared" si="49"/>
        <v>0</v>
      </c>
      <c r="FR153" s="4">
        <f t="shared" si="50"/>
        <v>0</v>
      </c>
      <c r="FU153" s="4">
        <f t="shared" si="51"/>
        <v>0</v>
      </c>
      <c r="FV153" s="4">
        <f t="shared" si="52"/>
        <v>0</v>
      </c>
      <c r="FW153" s="4" t="str">
        <f t="shared" si="53"/>
        <v>ORDINARIO</v>
      </c>
    </row>
    <row r="154" spans="1:179" x14ac:dyDescent="0.3">
      <c r="A154">
        <v>152</v>
      </c>
      <c r="AR154" s="4">
        <f t="shared" si="46"/>
        <v>0</v>
      </c>
      <c r="CK154" s="4">
        <f t="shared" si="47"/>
        <v>0</v>
      </c>
      <c r="FL154" s="4">
        <f t="shared" si="48"/>
        <v>0</v>
      </c>
      <c r="FO154" s="4">
        <f t="shared" si="49"/>
        <v>0</v>
      </c>
      <c r="FR154" s="4">
        <f t="shared" si="50"/>
        <v>0</v>
      </c>
      <c r="FU154" s="4">
        <f t="shared" si="51"/>
        <v>0</v>
      </c>
      <c r="FV154" s="4">
        <f t="shared" si="52"/>
        <v>0</v>
      </c>
      <c r="FW154" s="4" t="str">
        <f t="shared" si="53"/>
        <v>ORDINARIO</v>
      </c>
    </row>
    <row r="155" spans="1:179" x14ac:dyDescent="0.3">
      <c r="A155">
        <v>153</v>
      </c>
      <c r="AR155" s="4">
        <f t="shared" si="46"/>
        <v>0</v>
      </c>
      <c r="CK155" s="4">
        <f t="shared" si="47"/>
        <v>0</v>
      </c>
      <c r="FL155" s="4">
        <f t="shared" si="48"/>
        <v>0</v>
      </c>
      <c r="FO155" s="4">
        <f t="shared" si="49"/>
        <v>0</v>
      </c>
      <c r="FR155" s="4">
        <f t="shared" si="50"/>
        <v>0</v>
      </c>
      <c r="FU155" s="4">
        <f t="shared" si="51"/>
        <v>0</v>
      </c>
      <c r="FV155" s="4">
        <f t="shared" si="52"/>
        <v>0</v>
      </c>
      <c r="FW155" s="4" t="str">
        <f t="shared" si="53"/>
        <v>ORDINARIO</v>
      </c>
    </row>
    <row r="156" spans="1:179" x14ac:dyDescent="0.3">
      <c r="A156">
        <v>154</v>
      </c>
      <c r="AR156" s="4">
        <f t="shared" si="46"/>
        <v>0</v>
      </c>
      <c r="CK156" s="4">
        <f t="shared" si="47"/>
        <v>0</v>
      </c>
      <c r="FL156" s="4">
        <f t="shared" si="48"/>
        <v>0</v>
      </c>
      <c r="FO156" s="4">
        <f t="shared" si="49"/>
        <v>0</v>
      </c>
      <c r="FR156" s="4">
        <f t="shared" si="50"/>
        <v>0</v>
      </c>
      <c r="FU156" s="4">
        <f t="shared" si="51"/>
        <v>0</v>
      </c>
      <c r="FV156" s="4">
        <f t="shared" si="52"/>
        <v>0</v>
      </c>
      <c r="FW156" s="4" t="str">
        <f t="shared" si="53"/>
        <v>ORDINARIO</v>
      </c>
    </row>
    <row r="157" spans="1:179" x14ac:dyDescent="0.3">
      <c r="A157">
        <v>155</v>
      </c>
      <c r="AR157" s="4">
        <f t="shared" si="46"/>
        <v>0</v>
      </c>
      <c r="CK157" s="4">
        <f t="shared" si="47"/>
        <v>0</v>
      </c>
      <c r="FL157" s="4">
        <f t="shared" si="48"/>
        <v>0</v>
      </c>
      <c r="FO157" s="4">
        <f t="shared" si="49"/>
        <v>0</v>
      </c>
      <c r="FR157" s="4">
        <f t="shared" si="50"/>
        <v>0</v>
      </c>
      <c r="FU157" s="4">
        <f t="shared" si="51"/>
        <v>0</v>
      </c>
      <c r="FV157" s="4">
        <f t="shared" si="52"/>
        <v>0</v>
      </c>
      <c r="FW157" s="4" t="str">
        <f t="shared" si="53"/>
        <v>ORDINARIO</v>
      </c>
    </row>
    <row r="158" spans="1:179" x14ac:dyDescent="0.3">
      <c r="A158">
        <v>156</v>
      </c>
      <c r="AR158" s="4">
        <f t="shared" si="46"/>
        <v>0</v>
      </c>
      <c r="CK158" s="4">
        <f t="shared" si="47"/>
        <v>0</v>
      </c>
      <c r="FL158" s="4">
        <f t="shared" si="48"/>
        <v>0</v>
      </c>
      <c r="FO158" s="4">
        <f t="shared" si="49"/>
        <v>0</v>
      </c>
      <c r="FR158" s="4">
        <f t="shared" si="50"/>
        <v>0</v>
      </c>
      <c r="FU158" s="4">
        <f t="shared" si="51"/>
        <v>0</v>
      </c>
      <c r="FV158" s="4">
        <f t="shared" si="52"/>
        <v>0</v>
      </c>
      <c r="FW158" s="4" t="str">
        <f t="shared" si="53"/>
        <v>ORDINARIO</v>
      </c>
    </row>
    <row r="159" spans="1:179" x14ac:dyDescent="0.3">
      <c r="A159">
        <v>157</v>
      </c>
      <c r="AR159" s="4">
        <f t="shared" si="46"/>
        <v>0</v>
      </c>
      <c r="CK159" s="4">
        <f t="shared" si="47"/>
        <v>0</v>
      </c>
      <c r="FL159" s="4">
        <f t="shared" si="48"/>
        <v>0</v>
      </c>
      <c r="FO159" s="4">
        <f t="shared" si="49"/>
        <v>0</v>
      </c>
      <c r="FR159" s="4">
        <f t="shared" si="50"/>
        <v>0</v>
      </c>
      <c r="FU159" s="4">
        <f t="shared" si="51"/>
        <v>0</v>
      </c>
      <c r="FV159" s="4">
        <f t="shared" si="52"/>
        <v>0</v>
      </c>
      <c r="FW159" s="4" t="str">
        <f t="shared" si="53"/>
        <v>ORDINARIO</v>
      </c>
    </row>
    <row r="160" spans="1:179" x14ac:dyDescent="0.3">
      <c r="A160">
        <v>158</v>
      </c>
      <c r="AR160" s="4">
        <f t="shared" si="46"/>
        <v>0</v>
      </c>
      <c r="CK160" s="4">
        <f t="shared" si="47"/>
        <v>0</v>
      </c>
      <c r="FL160" s="4">
        <f t="shared" si="48"/>
        <v>0</v>
      </c>
      <c r="FO160" s="4">
        <f t="shared" si="49"/>
        <v>0</v>
      </c>
      <c r="FR160" s="4">
        <f t="shared" si="50"/>
        <v>0</v>
      </c>
      <c r="FU160" s="4">
        <f t="shared" si="51"/>
        <v>0</v>
      </c>
      <c r="FV160" s="4">
        <f t="shared" si="52"/>
        <v>0</v>
      </c>
      <c r="FW160" s="4" t="str">
        <f t="shared" si="53"/>
        <v>ORDINARIO</v>
      </c>
    </row>
    <row r="161" spans="1:179" x14ac:dyDescent="0.3">
      <c r="A161">
        <v>159</v>
      </c>
      <c r="AR161" s="4">
        <f t="shared" si="46"/>
        <v>0</v>
      </c>
      <c r="CK161" s="4">
        <f t="shared" si="47"/>
        <v>0</v>
      </c>
      <c r="FL161" s="4">
        <f t="shared" si="48"/>
        <v>0</v>
      </c>
      <c r="FO161" s="4">
        <f t="shared" si="49"/>
        <v>0</v>
      </c>
      <c r="FR161" s="4">
        <f t="shared" si="50"/>
        <v>0</v>
      </c>
      <c r="FU161" s="4">
        <f t="shared" si="51"/>
        <v>0</v>
      </c>
      <c r="FV161" s="4">
        <f t="shared" si="52"/>
        <v>0</v>
      </c>
      <c r="FW161" s="4" t="str">
        <f t="shared" si="53"/>
        <v>ORDINARIO</v>
      </c>
    </row>
    <row r="162" spans="1:179" x14ac:dyDescent="0.3">
      <c r="A162">
        <v>160</v>
      </c>
      <c r="AR162" s="4">
        <f t="shared" si="46"/>
        <v>0</v>
      </c>
      <c r="CK162" s="4">
        <f t="shared" si="47"/>
        <v>0</v>
      </c>
      <c r="FL162" s="4">
        <f t="shared" si="48"/>
        <v>0</v>
      </c>
      <c r="FO162" s="4">
        <f t="shared" si="49"/>
        <v>0</v>
      </c>
      <c r="FR162" s="4">
        <f t="shared" si="50"/>
        <v>0</v>
      </c>
      <c r="FU162" s="4">
        <f t="shared" si="51"/>
        <v>0</v>
      </c>
      <c r="FV162" s="4">
        <f t="shared" si="52"/>
        <v>0</v>
      </c>
      <c r="FW162" s="4" t="str">
        <f t="shared" si="53"/>
        <v>ORDINARIO</v>
      </c>
    </row>
    <row r="163" spans="1:179" x14ac:dyDescent="0.3">
      <c r="A163">
        <v>161</v>
      </c>
      <c r="AR163" s="4">
        <f t="shared" ref="AR163:AR194" si="54">+AS163+AU163+BE163+CD163+CE163+CF163+CG163+CH163+CI163+CW163</f>
        <v>0</v>
      </c>
      <c r="CK163" s="4">
        <f t="shared" si="47"/>
        <v>0</v>
      </c>
      <c r="FL163" s="4">
        <f t="shared" si="48"/>
        <v>0</v>
      </c>
      <c r="FO163" s="4">
        <f t="shared" si="49"/>
        <v>0</v>
      </c>
      <c r="FR163" s="4">
        <f t="shared" si="50"/>
        <v>0</v>
      </c>
      <c r="FU163" s="4">
        <f t="shared" si="51"/>
        <v>0</v>
      </c>
      <c r="FV163" s="4">
        <f t="shared" si="52"/>
        <v>0</v>
      </c>
      <c r="FW163" s="4" t="str">
        <f t="shared" si="53"/>
        <v>ORDINARIO</v>
      </c>
    </row>
    <row r="164" spans="1:179" x14ac:dyDescent="0.3">
      <c r="A164">
        <v>162</v>
      </c>
      <c r="AR164" s="4">
        <f t="shared" si="54"/>
        <v>0</v>
      </c>
      <c r="CK164" s="4">
        <f t="shared" si="47"/>
        <v>0</v>
      </c>
      <c r="FL164" s="4">
        <f t="shared" si="48"/>
        <v>0</v>
      </c>
      <c r="FO164" s="4">
        <f t="shared" si="49"/>
        <v>0</v>
      </c>
      <c r="FR164" s="4">
        <f t="shared" si="50"/>
        <v>0</v>
      </c>
      <c r="FU164" s="4">
        <f t="shared" si="51"/>
        <v>0</v>
      </c>
      <c r="FV164" s="4">
        <f t="shared" si="52"/>
        <v>0</v>
      </c>
      <c r="FW164" s="4" t="str">
        <f t="shared" si="53"/>
        <v>ORDINARIO</v>
      </c>
    </row>
    <row r="165" spans="1:179" x14ac:dyDescent="0.3">
      <c r="A165">
        <v>163</v>
      </c>
      <c r="AR165" s="4">
        <f t="shared" si="54"/>
        <v>0</v>
      </c>
      <c r="CK165" s="4">
        <f t="shared" si="47"/>
        <v>0</v>
      </c>
      <c r="FL165" s="4">
        <f t="shared" si="48"/>
        <v>0</v>
      </c>
      <c r="FO165" s="4">
        <f t="shared" si="49"/>
        <v>0</v>
      </c>
      <c r="FR165" s="4">
        <f t="shared" si="50"/>
        <v>0</v>
      </c>
      <c r="FU165" s="4">
        <f t="shared" si="51"/>
        <v>0</v>
      </c>
      <c r="FV165" s="4">
        <f t="shared" si="52"/>
        <v>0</v>
      </c>
      <c r="FW165" s="4" t="str">
        <f t="shared" si="53"/>
        <v>ORDINARIO</v>
      </c>
    </row>
    <row r="166" spans="1:179" x14ac:dyDescent="0.3">
      <c r="A166">
        <v>164</v>
      </c>
      <c r="AR166" s="4">
        <f t="shared" si="54"/>
        <v>0</v>
      </c>
      <c r="CK166" s="4">
        <f t="shared" si="47"/>
        <v>0</v>
      </c>
      <c r="FL166" s="4">
        <f t="shared" si="48"/>
        <v>0</v>
      </c>
      <c r="FO166" s="4">
        <f t="shared" si="49"/>
        <v>0</v>
      </c>
      <c r="FR166" s="4">
        <f t="shared" si="50"/>
        <v>0</v>
      </c>
      <c r="FU166" s="4">
        <f t="shared" si="51"/>
        <v>0</v>
      </c>
      <c r="FV166" s="4">
        <f t="shared" si="52"/>
        <v>0</v>
      </c>
      <c r="FW166" s="4" t="str">
        <f t="shared" si="53"/>
        <v>ORDINARIO</v>
      </c>
    </row>
    <row r="167" spans="1:179" x14ac:dyDescent="0.3">
      <c r="A167">
        <v>165</v>
      </c>
      <c r="AR167" s="4">
        <f t="shared" si="54"/>
        <v>0</v>
      </c>
      <c r="CK167" s="4">
        <f t="shared" si="47"/>
        <v>0</v>
      </c>
      <c r="FL167" s="4">
        <f t="shared" si="48"/>
        <v>0</v>
      </c>
      <c r="FO167" s="4">
        <f t="shared" si="49"/>
        <v>0</v>
      </c>
      <c r="FR167" s="4">
        <f t="shared" si="50"/>
        <v>0</v>
      </c>
      <c r="FU167" s="4">
        <f t="shared" si="51"/>
        <v>0</v>
      </c>
      <c r="FV167" s="4">
        <f t="shared" si="52"/>
        <v>0</v>
      </c>
      <c r="FW167" s="4" t="str">
        <f t="shared" si="53"/>
        <v>ORDINARIO</v>
      </c>
    </row>
    <row r="168" spans="1:179" x14ac:dyDescent="0.3">
      <c r="A168">
        <v>166</v>
      </c>
      <c r="AR168" s="4">
        <f t="shared" si="54"/>
        <v>0</v>
      </c>
      <c r="CK168" s="4">
        <f t="shared" si="47"/>
        <v>0</v>
      </c>
      <c r="FL168" s="4">
        <f t="shared" si="48"/>
        <v>0</v>
      </c>
      <c r="FO168" s="4">
        <f t="shared" si="49"/>
        <v>0</v>
      </c>
      <c r="FR168" s="4">
        <f t="shared" si="50"/>
        <v>0</v>
      </c>
      <c r="FU168" s="4">
        <f t="shared" si="51"/>
        <v>0</v>
      </c>
      <c r="FV168" s="4">
        <f t="shared" si="52"/>
        <v>0</v>
      </c>
      <c r="FW168" s="4" t="str">
        <f t="shared" si="53"/>
        <v>ORDINARIO</v>
      </c>
    </row>
    <row r="169" spans="1:179" x14ac:dyDescent="0.3">
      <c r="A169">
        <v>167</v>
      </c>
      <c r="AR169" s="4">
        <f t="shared" si="54"/>
        <v>0</v>
      </c>
      <c r="CK169" s="4">
        <f t="shared" si="47"/>
        <v>0</v>
      </c>
      <c r="FL169" s="4">
        <f t="shared" si="48"/>
        <v>0</v>
      </c>
      <c r="FO169" s="4">
        <f t="shared" si="49"/>
        <v>0</v>
      </c>
      <c r="FR169" s="4">
        <f t="shared" si="50"/>
        <v>0</v>
      </c>
      <c r="FU169" s="4">
        <f t="shared" si="51"/>
        <v>0</v>
      </c>
      <c r="FV169" s="4">
        <f t="shared" si="52"/>
        <v>0</v>
      </c>
      <c r="FW169" s="4" t="str">
        <f t="shared" si="53"/>
        <v>ORDINARIO</v>
      </c>
    </row>
    <row r="170" spans="1:179" x14ac:dyDescent="0.3">
      <c r="A170">
        <v>168</v>
      </c>
      <c r="AR170" s="4">
        <f t="shared" si="54"/>
        <v>0</v>
      </c>
      <c r="CK170" s="4">
        <f t="shared" si="47"/>
        <v>0</v>
      </c>
      <c r="FL170" s="4">
        <f t="shared" si="48"/>
        <v>0</v>
      </c>
      <c r="FO170" s="4">
        <f t="shared" si="49"/>
        <v>0</v>
      </c>
      <c r="FR170" s="4">
        <f t="shared" si="50"/>
        <v>0</v>
      </c>
      <c r="FU170" s="4">
        <f t="shared" si="51"/>
        <v>0</v>
      </c>
      <c r="FV170" s="4">
        <f t="shared" si="52"/>
        <v>0</v>
      </c>
      <c r="FW170" s="4" t="str">
        <f t="shared" si="53"/>
        <v>ORDINARIO</v>
      </c>
    </row>
    <row r="171" spans="1:179" x14ac:dyDescent="0.3">
      <c r="A171">
        <v>169</v>
      </c>
      <c r="AR171" s="4">
        <f t="shared" si="54"/>
        <v>0</v>
      </c>
      <c r="CK171" s="4">
        <f t="shared" si="47"/>
        <v>0</v>
      </c>
      <c r="FL171" s="4">
        <f t="shared" si="48"/>
        <v>0</v>
      </c>
      <c r="FO171" s="4">
        <f t="shared" si="49"/>
        <v>0</v>
      </c>
      <c r="FR171" s="4">
        <f t="shared" si="50"/>
        <v>0</v>
      </c>
      <c r="FU171" s="4">
        <f t="shared" si="51"/>
        <v>0</v>
      </c>
      <c r="FV171" s="4">
        <f t="shared" si="52"/>
        <v>0</v>
      </c>
      <c r="FW171" s="4" t="str">
        <f t="shared" si="53"/>
        <v>ORDINARIO</v>
      </c>
    </row>
    <row r="172" spans="1:179" x14ac:dyDescent="0.3">
      <c r="A172">
        <v>170</v>
      </c>
      <c r="AR172" s="4">
        <f t="shared" si="54"/>
        <v>0</v>
      </c>
      <c r="CK172" s="4">
        <f t="shared" si="47"/>
        <v>0</v>
      </c>
      <c r="FL172" s="4">
        <f t="shared" si="48"/>
        <v>0</v>
      </c>
      <c r="FO172" s="4">
        <f t="shared" si="49"/>
        <v>0</v>
      </c>
      <c r="FR172" s="4">
        <f t="shared" si="50"/>
        <v>0</v>
      </c>
      <c r="FU172" s="4">
        <f t="shared" si="51"/>
        <v>0</v>
      </c>
      <c r="FV172" s="4">
        <f t="shared" si="52"/>
        <v>0</v>
      </c>
      <c r="FW172" s="4" t="str">
        <f t="shared" si="53"/>
        <v>ORDINARIO</v>
      </c>
    </row>
    <row r="173" spans="1:179" x14ac:dyDescent="0.3">
      <c r="A173">
        <v>171</v>
      </c>
      <c r="AR173" s="4">
        <f t="shared" si="54"/>
        <v>0</v>
      </c>
      <c r="CK173" s="4">
        <f t="shared" si="47"/>
        <v>0</v>
      </c>
      <c r="FL173" s="4">
        <f t="shared" si="48"/>
        <v>0</v>
      </c>
      <c r="FO173" s="4">
        <f t="shared" si="49"/>
        <v>0</v>
      </c>
      <c r="FR173" s="4">
        <f t="shared" si="50"/>
        <v>0</v>
      </c>
      <c r="FU173" s="4">
        <f t="shared" si="51"/>
        <v>0</v>
      </c>
      <c r="FV173" s="4">
        <f t="shared" si="52"/>
        <v>0</v>
      </c>
      <c r="FW173" s="4" t="str">
        <f t="shared" si="53"/>
        <v>ORDINARIO</v>
      </c>
    </row>
    <row r="174" spans="1:179" x14ac:dyDescent="0.3">
      <c r="A174">
        <v>172</v>
      </c>
      <c r="AR174" s="4">
        <f t="shared" si="54"/>
        <v>0</v>
      </c>
      <c r="CK174" s="4">
        <f t="shared" ref="CK174:CK198" si="55">+CL174+CN174+CO174+CP174+CQ174</f>
        <v>0</v>
      </c>
      <c r="FL174" s="4">
        <f t="shared" ref="FL174:FL198" si="56">+FK174/3000</f>
        <v>0</v>
      </c>
      <c r="FO174" s="4">
        <f t="shared" ref="FO174:FO198" si="57">+FN174/1400</f>
        <v>0</v>
      </c>
      <c r="FR174" s="4">
        <f t="shared" ref="FR174:FR198" si="58">+FQ174/2000</f>
        <v>0</v>
      </c>
      <c r="FU174" s="4">
        <f t="shared" ref="FU174:FU198" si="59">+FT174/15000</f>
        <v>0</v>
      </c>
      <c r="FV174" s="4">
        <f t="shared" ref="FV174:FV198" si="60">+FL174+FO174+FR174+FU174</f>
        <v>0</v>
      </c>
      <c r="FW174" s="4" t="str">
        <f t="shared" ref="FW174:FW198" si="61">+IF((FL174+FO174+FR174+FU174)&gt;=1,"ALTO","ORDINARIO")</f>
        <v>ORDINARIO</v>
      </c>
    </row>
    <row r="175" spans="1:179" x14ac:dyDescent="0.3">
      <c r="A175">
        <v>173</v>
      </c>
      <c r="AR175" s="4">
        <f t="shared" si="54"/>
        <v>0</v>
      </c>
      <c r="CK175" s="4">
        <f t="shared" si="55"/>
        <v>0</v>
      </c>
      <c r="FL175" s="4">
        <f t="shared" si="56"/>
        <v>0</v>
      </c>
      <c r="FO175" s="4">
        <f t="shared" si="57"/>
        <v>0</v>
      </c>
      <c r="FR175" s="4">
        <f t="shared" si="58"/>
        <v>0</v>
      </c>
      <c r="FU175" s="4">
        <f t="shared" si="59"/>
        <v>0</v>
      </c>
      <c r="FV175" s="4">
        <f t="shared" si="60"/>
        <v>0</v>
      </c>
      <c r="FW175" s="4" t="str">
        <f t="shared" si="61"/>
        <v>ORDINARIO</v>
      </c>
    </row>
    <row r="176" spans="1:179" x14ac:dyDescent="0.3">
      <c r="A176">
        <v>174</v>
      </c>
      <c r="AR176" s="4">
        <f t="shared" si="54"/>
        <v>0</v>
      </c>
      <c r="CK176" s="4">
        <f t="shared" si="55"/>
        <v>0</v>
      </c>
      <c r="FL176" s="4">
        <f t="shared" si="56"/>
        <v>0</v>
      </c>
      <c r="FO176" s="4">
        <f t="shared" si="57"/>
        <v>0</v>
      </c>
      <c r="FR176" s="4">
        <f t="shared" si="58"/>
        <v>0</v>
      </c>
      <c r="FU176" s="4">
        <f t="shared" si="59"/>
        <v>0</v>
      </c>
      <c r="FV176" s="4">
        <f t="shared" si="60"/>
        <v>0</v>
      </c>
      <c r="FW176" s="4" t="str">
        <f t="shared" si="61"/>
        <v>ORDINARIO</v>
      </c>
    </row>
    <row r="177" spans="1:179" x14ac:dyDescent="0.3">
      <c r="A177">
        <v>175</v>
      </c>
      <c r="AR177" s="4">
        <f t="shared" si="54"/>
        <v>0</v>
      </c>
      <c r="CK177" s="4">
        <f t="shared" si="55"/>
        <v>0</v>
      </c>
      <c r="FL177" s="4">
        <f t="shared" si="56"/>
        <v>0</v>
      </c>
      <c r="FO177" s="4">
        <f t="shared" si="57"/>
        <v>0</v>
      </c>
      <c r="FR177" s="4">
        <f t="shared" si="58"/>
        <v>0</v>
      </c>
      <c r="FU177" s="4">
        <f t="shared" si="59"/>
        <v>0</v>
      </c>
      <c r="FV177" s="4">
        <f t="shared" si="60"/>
        <v>0</v>
      </c>
      <c r="FW177" s="4" t="str">
        <f t="shared" si="61"/>
        <v>ORDINARIO</v>
      </c>
    </row>
    <row r="178" spans="1:179" x14ac:dyDescent="0.3">
      <c r="A178">
        <v>176</v>
      </c>
      <c r="AR178" s="4">
        <f t="shared" si="54"/>
        <v>0</v>
      </c>
      <c r="CK178" s="4">
        <f t="shared" si="55"/>
        <v>0</v>
      </c>
      <c r="FL178" s="4">
        <f t="shared" si="56"/>
        <v>0</v>
      </c>
      <c r="FO178" s="4">
        <f t="shared" si="57"/>
        <v>0</v>
      </c>
      <c r="FR178" s="4">
        <f t="shared" si="58"/>
        <v>0</v>
      </c>
      <c r="FU178" s="4">
        <f t="shared" si="59"/>
        <v>0</v>
      </c>
      <c r="FV178" s="4">
        <f t="shared" si="60"/>
        <v>0</v>
      </c>
      <c r="FW178" s="4" t="str">
        <f t="shared" si="61"/>
        <v>ORDINARIO</v>
      </c>
    </row>
    <row r="179" spans="1:179" x14ac:dyDescent="0.3">
      <c r="A179">
        <v>177</v>
      </c>
      <c r="AR179" s="4">
        <f t="shared" si="54"/>
        <v>0</v>
      </c>
      <c r="CK179" s="4">
        <f t="shared" si="55"/>
        <v>0</v>
      </c>
      <c r="FL179" s="4">
        <f t="shared" si="56"/>
        <v>0</v>
      </c>
      <c r="FO179" s="4">
        <f t="shared" si="57"/>
        <v>0</v>
      </c>
      <c r="FR179" s="4">
        <f t="shared" si="58"/>
        <v>0</v>
      </c>
      <c r="FU179" s="4">
        <f t="shared" si="59"/>
        <v>0</v>
      </c>
      <c r="FV179" s="4">
        <f t="shared" si="60"/>
        <v>0</v>
      </c>
      <c r="FW179" s="4" t="str">
        <f t="shared" si="61"/>
        <v>ORDINARIO</v>
      </c>
    </row>
    <row r="180" spans="1:179" x14ac:dyDescent="0.3">
      <c r="A180">
        <v>178</v>
      </c>
      <c r="AR180" s="4">
        <f t="shared" si="54"/>
        <v>0</v>
      </c>
      <c r="CK180" s="4">
        <f t="shared" si="55"/>
        <v>0</v>
      </c>
      <c r="FL180" s="4">
        <f t="shared" si="56"/>
        <v>0</v>
      </c>
      <c r="FO180" s="4">
        <f t="shared" si="57"/>
        <v>0</v>
      </c>
      <c r="FR180" s="4">
        <f t="shared" si="58"/>
        <v>0</v>
      </c>
      <c r="FU180" s="4">
        <f t="shared" si="59"/>
        <v>0</v>
      </c>
      <c r="FV180" s="4">
        <f t="shared" si="60"/>
        <v>0</v>
      </c>
      <c r="FW180" s="4" t="str">
        <f t="shared" si="61"/>
        <v>ORDINARIO</v>
      </c>
    </row>
    <row r="181" spans="1:179" x14ac:dyDescent="0.3">
      <c r="A181">
        <v>179</v>
      </c>
      <c r="AR181" s="4">
        <f t="shared" si="54"/>
        <v>0</v>
      </c>
      <c r="CK181" s="4">
        <f t="shared" si="55"/>
        <v>0</v>
      </c>
      <c r="FL181" s="4">
        <f t="shared" si="56"/>
        <v>0</v>
      </c>
      <c r="FO181" s="4">
        <f t="shared" si="57"/>
        <v>0</v>
      </c>
      <c r="FR181" s="4">
        <f t="shared" si="58"/>
        <v>0</v>
      </c>
      <c r="FU181" s="4">
        <f t="shared" si="59"/>
        <v>0</v>
      </c>
      <c r="FV181" s="4">
        <f t="shared" si="60"/>
        <v>0</v>
      </c>
      <c r="FW181" s="4" t="str">
        <f t="shared" si="61"/>
        <v>ORDINARIO</v>
      </c>
    </row>
    <row r="182" spans="1:179" x14ac:dyDescent="0.3">
      <c r="A182">
        <v>180</v>
      </c>
      <c r="AR182" s="4">
        <f t="shared" si="54"/>
        <v>0</v>
      </c>
      <c r="CK182" s="4">
        <f t="shared" si="55"/>
        <v>0</v>
      </c>
      <c r="FL182" s="4">
        <f t="shared" si="56"/>
        <v>0</v>
      </c>
      <c r="FO182" s="4">
        <f t="shared" si="57"/>
        <v>0</v>
      </c>
      <c r="FR182" s="4">
        <f t="shared" si="58"/>
        <v>0</v>
      </c>
      <c r="FU182" s="4">
        <f t="shared" si="59"/>
        <v>0</v>
      </c>
      <c r="FV182" s="4">
        <f t="shared" si="60"/>
        <v>0</v>
      </c>
      <c r="FW182" s="4" t="str">
        <f t="shared" si="61"/>
        <v>ORDINARIO</v>
      </c>
    </row>
    <row r="183" spans="1:179" x14ac:dyDescent="0.3">
      <c r="A183">
        <v>181</v>
      </c>
      <c r="AR183" s="4">
        <f t="shared" si="54"/>
        <v>0</v>
      </c>
      <c r="CK183" s="4">
        <f t="shared" si="55"/>
        <v>0</v>
      </c>
      <c r="FL183" s="4">
        <f t="shared" si="56"/>
        <v>0</v>
      </c>
      <c r="FO183" s="4">
        <f t="shared" si="57"/>
        <v>0</v>
      </c>
      <c r="FR183" s="4">
        <f t="shared" si="58"/>
        <v>0</v>
      </c>
      <c r="FU183" s="4">
        <f t="shared" si="59"/>
        <v>0</v>
      </c>
      <c r="FV183" s="4">
        <f t="shared" si="60"/>
        <v>0</v>
      </c>
      <c r="FW183" s="4" t="str">
        <f t="shared" si="61"/>
        <v>ORDINARIO</v>
      </c>
    </row>
    <row r="184" spans="1:179" x14ac:dyDescent="0.3">
      <c r="A184">
        <v>182</v>
      </c>
      <c r="AR184" s="4">
        <f t="shared" si="54"/>
        <v>0</v>
      </c>
      <c r="CK184" s="4">
        <f t="shared" si="55"/>
        <v>0</v>
      </c>
      <c r="FL184" s="4">
        <f t="shared" si="56"/>
        <v>0</v>
      </c>
      <c r="FO184" s="4">
        <f t="shared" si="57"/>
        <v>0</v>
      </c>
      <c r="FR184" s="4">
        <f t="shared" si="58"/>
        <v>0</v>
      </c>
      <c r="FU184" s="4">
        <f t="shared" si="59"/>
        <v>0</v>
      </c>
      <c r="FV184" s="4">
        <f t="shared" si="60"/>
        <v>0</v>
      </c>
      <c r="FW184" s="4" t="str">
        <f t="shared" si="61"/>
        <v>ORDINARIO</v>
      </c>
    </row>
    <row r="185" spans="1:179" x14ac:dyDescent="0.3">
      <c r="A185">
        <v>183</v>
      </c>
      <c r="AR185" s="4">
        <f t="shared" si="54"/>
        <v>0</v>
      </c>
      <c r="CK185" s="4">
        <f t="shared" si="55"/>
        <v>0</v>
      </c>
      <c r="FL185" s="4">
        <f t="shared" si="56"/>
        <v>0</v>
      </c>
      <c r="FO185" s="4">
        <f t="shared" si="57"/>
        <v>0</v>
      </c>
      <c r="FR185" s="4">
        <f t="shared" si="58"/>
        <v>0</v>
      </c>
      <c r="FU185" s="4">
        <f t="shared" si="59"/>
        <v>0</v>
      </c>
      <c r="FV185" s="4">
        <f t="shared" si="60"/>
        <v>0</v>
      </c>
      <c r="FW185" s="4" t="str">
        <f t="shared" si="61"/>
        <v>ORDINARIO</v>
      </c>
    </row>
    <row r="186" spans="1:179" x14ac:dyDescent="0.3">
      <c r="A186">
        <v>184</v>
      </c>
      <c r="AR186" s="4">
        <f t="shared" si="54"/>
        <v>0</v>
      </c>
      <c r="CK186" s="4">
        <f t="shared" si="55"/>
        <v>0</v>
      </c>
      <c r="FL186" s="4">
        <f t="shared" si="56"/>
        <v>0</v>
      </c>
      <c r="FO186" s="4">
        <f t="shared" si="57"/>
        <v>0</v>
      </c>
      <c r="FR186" s="4">
        <f t="shared" si="58"/>
        <v>0</v>
      </c>
      <c r="FU186" s="4">
        <f t="shared" si="59"/>
        <v>0</v>
      </c>
      <c r="FV186" s="4">
        <f t="shared" si="60"/>
        <v>0</v>
      </c>
      <c r="FW186" s="4" t="str">
        <f t="shared" si="61"/>
        <v>ORDINARIO</v>
      </c>
    </row>
    <row r="187" spans="1:179" x14ac:dyDescent="0.3">
      <c r="A187">
        <v>185</v>
      </c>
      <c r="AR187" s="4">
        <f t="shared" si="54"/>
        <v>0</v>
      </c>
      <c r="CK187" s="4">
        <f t="shared" si="55"/>
        <v>0</v>
      </c>
      <c r="FL187" s="4">
        <f t="shared" si="56"/>
        <v>0</v>
      </c>
      <c r="FO187" s="4">
        <f t="shared" si="57"/>
        <v>0</v>
      </c>
      <c r="FR187" s="4">
        <f t="shared" si="58"/>
        <v>0</v>
      </c>
      <c r="FU187" s="4">
        <f t="shared" si="59"/>
        <v>0</v>
      </c>
      <c r="FV187" s="4">
        <f t="shared" si="60"/>
        <v>0</v>
      </c>
      <c r="FW187" s="4" t="str">
        <f t="shared" si="61"/>
        <v>ORDINARIO</v>
      </c>
    </row>
    <row r="188" spans="1:179" x14ac:dyDescent="0.3">
      <c r="A188">
        <v>186</v>
      </c>
      <c r="AR188" s="4">
        <f t="shared" si="54"/>
        <v>0</v>
      </c>
      <c r="CK188" s="4">
        <f t="shared" si="55"/>
        <v>0</v>
      </c>
      <c r="FL188" s="4">
        <f t="shared" si="56"/>
        <v>0</v>
      </c>
      <c r="FO188" s="4">
        <f t="shared" si="57"/>
        <v>0</v>
      </c>
      <c r="FR188" s="4">
        <f t="shared" si="58"/>
        <v>0</v>
      </c>
      <c r="FU188" s="4">
        <f t="shared" si="59"/>
        <v>0</v>
      </c>
      <c r="FV188" s="4">
        <f t="shared" si="60"/>
        <v>0</v>
      </c>
      <c r="FW188" s="4" t="str">
        <f t="shared" si="61"/>
        <v>ORDINARIO</v>
      </c>
    </row>
    <row r="189" spans="1:179" x14ac:dyDescent="0.3">
      <c r="A189">
        <v>187</v>
      </c>
      <c r="AR189" s="4">
        <f t="shared" si="54"/>
        <v>0</v>
      </c>
      <c r="CK189" s="4">
        <f t="shared" si="55"/>
        <v>0</v>
      </c>
      <c r="FL189" s="4">
        <f t="shared" si="56"/>
        <v>0</v>
      </c>
      <c r="FO189" s="4">
        <f t="shared" si="57"/>
        <v>0</v>
      </c>
      <c r="FR189" s="4">
        <f t="shared" si="58"/>
        <v>0</v>
      </c>
      <c r="FU189" s="4">
        <f t="shared" si="59"/>
        <v>0</v>
      </c>
      <c r="FV189" s="4">
        <f t="shared" si="60"/>
        <v>0</v>
      </c>
      <c r="FW189" s="4" t="str">
        <f t="shared" si="61"/>
        <v>ORDINARIO</v>
      </c>
    </row>
    <row r="190" spans="1:179" x14ac:dyDescent="0.3">
      <c r="A190">
        <v>188</v>
      </c>
      <c r="AR190" s="4">
        <f t="shared" si="54"/>
        <v>0</v>
      </c>
      <c r="CK190" s="4">
        <f t="shared" si="55"/>
        <v>0</v>
      </c>
      <c r="FL190" s="4">
        <f t="shared" si="56"/>
        <v>0</v>
      </c>
      <c r="FO190" s="4">
        <f t="shared" si="57"/>
        <v>0</v>
      </c>
      <c r="FR190" s="4">
        <f t="shared" si="58"/>
        <v>0</v>
      </c>
      <c r="FU190" s="4">
        <f t="shared" si="59"/>
        <v>0</v>
      </c>
      <c r="FV190" s="4">
        <f t="shared" si="60"/>
        <v>0</v>
      </c>
      <c r="FW190" s="4" t="str">
        <f t="shared" si="61"/>
        <v>ORDINARIO</v>
      </c>
    </row>
    <row r="191" spans="1:179" x14ac:dyDescent="0.3">
      <c r="A191">
        <v>189</v>
      </c>
      <c r="AR191" s="4">
        <f t="shared" si="54"/>
        <v>0</v>
      </c>
      <c r="CK191" s="4">
        <f t="shared" si="55"/>
        <v>0</v>
      </c>
      <c r="FL191" s="4">
        <f t="shared" si="56"/>
        <v>0</v>
      </c>
      <c r="FO191" s="4">
        <f t="shared" si="57"/>
        <v>0</v>
      </c>
      <c r="FR191" s="4">
        <f t="shared" si="58"/>
        <v>0</v>
      </c>
      <c r="FU191" s="4">
        <f t="shared" si="59"/>
        <v>0</v>
      </c>
      <c r="FV191" s="4">
        <f t="shared" si="60"/>
        <v>0</v>
      </c>
      <c r="FW191" s="4" t="str">
        <f t="shared" si="61"/>
        <v>ORDINARIO</v>
      </c>
    </row>
    <row r="192" spans="1:179" x14ac:dyDescent="0.3">
      <c r="A192">
        <v>190</v>
      </c>
      <c r="AR192" s="4">
        <f t="shared" si="54"/>
        <v>0</v>
      </c>
      <c r="CK192" s="4">
        <f t="shared" si="55"/>
        <v>0</v>
      </c>
      <c r="FL192" s="4">
        <f t="shared" si="56"/>
        <v>0</v>
      </c>
      <c r="FO192" s="4">
        <f t="shared" si="57"/>
        <v>0</v>
      </c>
      <c r="FR192" s="4">
        <f t="shared" si="58"/>
        <v>0</v>
      </c>
      <c r="FU192" s="4">
        <f t="shared" si="59"/>
        <v>0</v>
      </c>
      <c r="FV192" s="4">
        <f t="shared" si="60"/>
        <v>0</v>
      </c>
      <c r="FW192" s="4" t="str">
        <f t="shared" si="61"/>
        <v>ORDINARIO</v>
      </c>
    </row>
    <row r="193" spans="1:179" x14ac:dyDescent="0.3">
      <c r="A193">
        <v>191</v>
      </c>
      <c r="AR193" s="4">
        <f t="shared" si="54"/>
        <v>0</v>
      </c>
      <c r="CK193" s="4">
        <f t="shared" si="55"/>
        <v>0</v>
      </c>
      <c r="FL193" s="4">
        <f t="shared" si="56"/>
        <v>0</v>
      </c>
      <c r="FO193" s="4">
        <f t="shared" si="57"/>
        <v>0</v>
      </c>
      <c r="FR193" s="4">
        <f t="shared" si="58"/>
        <v>0</v>
      </c>
      <c r="FU193" s="4">
        <f t="shared" si="59"/>
        <v>0</v>
      </c>
      <c r="FV193" s="4">
        <f t="shared" si="60"/>
        <v>0</v>
      </c>
      <c r="FW193" s="4" t="str">
        <f t="shared" si="61"/>
        <v>ORDINARIO</v>
      </c>
    </row>
    <row r="194" spans="1:179" x14ac:dyDescent="0.3">
      <c r="A194">
        <v>192</v>
      </c>
      <c r="AR194" s="4">
        <f t="shared" si="54"/>
        <v>0</v>
      </c>
      <c r="CK194" s="4">
        <f t="shared" si="55"/>
        <v>0</v>
      </c>
      <c r="FL194" s="4">
        <f t="shared" si="56"/>
        <v>0</v>
      </c>
      <c r="FO194" s="4">
        <f t="shared" si="57"/>
        <v>0</v>
      </c>
      <c r="FR194" s="4">
        <f t="shared" si="58"/>
        <v>0</v>
      </c>
      <c r="FU194" s="4">
        <f t="shared" si="59"/>
        <v>0</v>
      </c>
      <c r="FV194" s="4">
        <f t="shared" si="60"/>
        <v>0</v>
      </c>
      <c r="FW194" s="4" t="str">
        <f t="shared" si="61"/>
        <v>ORDINARIO</v>
      </c>
    </row>
    <row r="195" spans="1:179" x14ac:dyDescent="0.3">
      <c r="A195">
        <v>193</v>
      </c>
      <c r="AR195" s="4">
        <f t="shared" ref="AR195:AR198" si="62">+AS195+AU195+BE195+CD195+CE195+CF195+CG195+CH195+CI195+CW195</f>
        <v>0</v>
      </c>
      <c r="CK195" s="4">
        <f t="shared" si="55"/>
        <v>0</v>
      </c>
      <c r="FL195" s="4">
        <f t="shared" si="56"/>
        <v>0</v>
      </c>
      <c r="FO195" s="4">
        <f t="shared" si="57"/>
        <v>0</v>
      </c>
      <c r="FR195" s="4">
        <f t="shared" si="58"/>
        <v>0</v>
      </c>
      <c r="FU195" s="4">
        <f t="shared" si="59"/>
        <v>0</v>
      </c>
      <c r="FV195" s="4">
        <f t="shared" si="60"/>
        <v>0</v>
      </c>
      <c r="FW195" s="4" t="str">
        <f t="shared" si="61"/>
        <v>ORDINARIO</v>
      </c>
    </row>
    <row r="196" spans="1:179" x14ac:dyDescent="0.3">
      <c r="A196">
        <v>194</v>
      </c>
      <c r="AR196" s="4">
        <f t="shared" si="62"/>
        <v>0</v>
      </c>
      <c r="CK196" s="4">
        <f t="shared" si="55"/>
        <v>0</v>
      </c>
      <c r="FL196" s="4">
        <f t="shared" si="56"/>
        <v>0</v>
      </c>
      <c r="FO196" s="4">
        <f t="shared" si="57"/>
        <v>0</v>
      </c>
      <c r="FR196" s="4">
        <f t="shared" si="58"/>
        <v>0</v>
      </c>
      <c r="FU196" s="4">
        <f t="shared" si="59"/>
        <v>0</v>
      </c>
      <c r="FV196" s="4">
        <f t="shared" si="60"/>
        <v>0</v>
      </c>
      <c r="FW196" s="4" t="str">
        <f t="shared" si="61"/>
        <v>ORDINARIO</v>
      </c>
    </row>
    <row r="197" spans="1:179" x14ac:dyDescent="0.3">
      <c r="A197">
        <v>195</v>
      </c>
      <c r="AR197" s="4">
        <f t="shared" si="62"/>
        <v>0</v>
      </c>
      <c r="CK197" s="4">
        <f t="shared" si="55"/>
        <v>0</v>
      </c>
      <c r="FL197" s="4">
        <f t="shared" si="56"/>
        <v>0</v>
      </c>
      <c r="FO197" s="4">
        <f t="shared" si="57"/>
        <v>0</v>
      </c>
      <c r="FR197" s="4">
        <f t="shared" si="58"/>
        <v>0</v>
      </c>
      <c r="FU197" s="4">
        <f t="shared" si="59"/>
        <v>0</v>
      </c>
      <c r="FV197" s="4">
        <f t="shared" si="60"/>
        <v>0</v>
      </c>
      <c r="FW197" s="4" t="str">
        <f t="shared" si="61"/>
        <v>ORDINARIO</v>
      </c>
    </row>
    <row r="198" spans="1:179" x14ac:dyDescent="0.3">
      <c r="A198">
        <v>196</v>
      </c>
      <c r="AR198" s="4">
        <f t="shared" si="62"/>
        <v>0</v>
      </c>
      <c r="CK198" s="4">
        <f t="shared" si="55"/>
        <v>0</v>
      </c>
      <c r="FL198" s="4">
        <f t="shared" si="56"/>
        <v>0</v>
      </c>
      <c r="FO198" s="4">
        <f t="shared" si="57"/>
        <v>0</v>
      </c>
      <c r="FR198" s="4">
        <f t="shared" si="58"/>
        <v>0</v>
      </c>
      <c r="FU198" s="4">
        <f t="shared" si="59"/>
        <v>0</v>
      </c>
      <c r="FV198" s="4">
        <f t="shared" si="60"/>
        <v>0</v>
      </c>
      <c r="FW198" s="4" t="str">
        <f t="shared" si="61"/>
        <v>ORDINARIO</v>
      </c>
    </row>
    <row r="199" spans="1:179" x14ac:dyDescent="0.3">
      <c r="A199">
        <v>197</v>
      </c>
    </row>
    <row r="200" spans="1:179" x14ac:dyDescent="0.3">
      <c r="A200">
        <v>198</v>
      </c>
    </row>
    <row r="201" spans="1:179" x14ac:dyDescent="0.3">
      <c r="A201">
        <v>199</v>
      </c>
    </row>
  </sheetData>
  <phoneticPr fontId="1" type="noConversion"/>
  <conditionalFormatting sqref="A3:GC13 B14:G14 I14:GC14 KD14:LJ42 A14:A201 D15:GC43 B15:C68 GL43:GW43 GY43:HA43 HC43:HD43 HF43 HK43 HP43:HR43 IC43 IE43 IH43:IJ43 IL43 D44:IM201 B69 B70:C201 A202:IM208">
    <cfRule type="expression" dxfId="40" priority="581">
      <formula>$A3=$A$1</formula>
    </cfRule>
  </conditionalFormatting>
  <conditionalFormatting sqref="H14">
    <cfRule type="expression" dxfId="39" priority="575">
      <formula>$A14=$A$1</formula>
    </cfRule>
  </conditionalFormatting>
  <conditionalFormatting sqref="AW2:AX2">
    <cfRule type="expression" dxfId="38" priority="580">
      <formula>$A2=$A$1</formula>
    </cfRule>
  </conditionalFormatting>
  <conditionalFormatting sqref="BG2:BH2">
    <cfRule type="expression" dxfId="37" priority="579">
      <formula>$A2=$A$1</formula>
    </cfRule>
  </conditionalFormatting>
  <conditionalFormatting sqref="EE2">
    <cfRule type="expression" dxfId="36" priority="578">
      <formula>$A2=$A$1</formula>
    </cfRule>
  </conditionalFormatting>
  <conditionalFormatting sqref="EH2">
    <cfRule type="expression" dxfId="35" priority="577">
      <formula>$A2=$A$1</formula>
    </cfRule>
  </conditionalFormatting>
  <conditionalFormatting sqref="EK2">
    <cfRule type="expression" dxfId="34" priority="576">
      <formula>$A2=$A$1</formula>
    </cfRule>
  </conditionalFormatting>
  <conditionalFormatting sqref="FV3:FV198">
    <cfRule type="expression" dxfId="33" priority="498">
      <formula>$A3=$A$1</formula>
    </cfRule>
  </conditionalFormatting>
  <conditionalFormatting sqref="FX2:GC2">
    <cfRule type="expression" dxfId="32" priority="585">
      <formula>#REF!=$A$1</formula>
    </cfRule>
  </conditionalFormatting>
  <conditionalFormatting sqref="GD43:GK43">
    <cfRule type="expression" dxfId="31" priority="76">
      <formula>$A43=$A$2</formula>
    </cfRule>
  </conditionalFormatting>
  <conditionalFormatting sqref="GD3:IM34 IQ15:IR15 IS16:IT16 IV16:JB16 JD16:JH16 IN20:IQ20 IS20:IV20 JB20 JE20:JH20 JT20 KB20:KC20 IS23:JB23 JD23:JK24 JM23:JP24 IN24:IQ24 IS24:IT24 IW24:JB24 IS27:IT27 IV27:JB27 JD27:JK27 JM27:JP27 IN28:IS28 IU28:IV28 JB28 JE28:JJ28 JM28:JU28 JW28 JZ28 KB28:KC28 IN31:IS32 IU31:IV32 JM31:JU32 KB31:KC32 JE31:JJ33 JB31:JB35 JW31:JW39 JZ31:JZ39 IU33 KC33 IN33:IR34 KB33:KB34 IS33:IS35 JM33:JP36 JQ33:JU38 IV33:IV39 IT34:IU34 IW34:IX34 IY34:JB35 JD34:JK36 GD35:IR35 IU35 KB35:KC39 IR36:JB36 IN36:IQ39 GD36:IM42 JB37:JB38 JE37:JF38 JH37:JJ38 JO37:JP38 IR37:IR39 IU37:IU39 IS37:IS40 JM37:JM41 JN37:JN43 JG38 JM39:JU39 IV39:JB41 JD39:JK41 IQ40:IR40 IT40:IU40 JU40:KC40 JO40:JT41 IN41:IS41 IU41:IV41 JU41 JW41 JZ41 KB41:KC41 JO41:JO43 IY42:JB42 C69">
    <cfRule type="expression" dxfId="30" priority="394">
      <formula>$A3=$A$2</formula>
    </cfRule>
  </conditionalFormatting>
  <conditionalFormatting sqref="GX43">
    <cfRule type="expression" dxfId="29" priority="75">
      <formula>$A43=$A$2</formula>
    </cfRule>
  </conditionalFormatting>
  <conditionalFormatting sqref="HB43">
    <cfRule type="expression" dxfId="28" priority="74">
      <formula>$A43=$A$2</formula>
    </cfRule>
  </conditionalFormatting>
  <conditionalFormatting sqref="HE43">
    <cfRule type="expression" dxfId="27" priority="73">
      <formula>$A43=$A$2</formula>
    </cfRule>
  </conditionalFormatting>
  <conditionalFormatting sqref="HG43:HJ43">
    <cfRule type="expression" dxfId="26" priority="69">
      <formula>$A43=$A$2</formula>
    </cfRule>
  </conditionalFormatting>
  <conditionalFormatting sqref="HL43:HO43">
    <cfRule type="expression" dxfId="25" priority="65">
      <formula>$A43=$A$2</formula>
    </cfRule>
  </conditionalFormatting>
  <conditionalFormatting sqref="HS43:IB43">
    <cfRule type="expression" dxfId="24" priority="55">
      <formula>$A43=$A$2</formula>
    </cfRule>
  </conditionalFormatting>
  <conditionalFormatting sqref="ID43">
    <cfRule type="expression" dxfId="23" priority="54">
      <formula>$A43=$A$2</formula>
    </cfRule>
  </conditionalFormatting>
  <conditionalFormatting sqref="IF43:IG43">
    <cfRule type="expression" dxfId="22" priority="52">
      <formula>$A43=$A$2</formula>
    </cfRule>
  </conditionalFormatting>
  <conditionalFormatting sqref="IK43">
    <cfRule type="expression" dxfId="21" priority="51">
      <formula>$A43=$A$2</formula>
    </cfRule>
  </conditionalFormatting>
  <conditionalFormatting sqref="IM43:IR43">
    <cfRule type="expression" dxfId="20" priority="45">
      <formula>$A43=$A$2</formula>
    </cfRule>
  </conditionalFormatting>
  <conditionalFormatting sqref="IN25:IS26">
    <cfRule type="expression" dxfId="19" priority="23">
      <formula>$A25=$A$2</formula>
    </cfRule>
  </conditionalFormatting>
  <conditionalFormatting sqref="IU43">
    <cfRule type="expression" dxfId="18" priority="44">
      <formula>$A43=$A$2</formula>
    </cfRule>
  </conditionalFormatting>
  <conditionalFormatting sqref="IU25:IV26">
    <cfRule type="expression" dxfId="17" priority="21">
      <formula>$A25=$A$2</formula>
    </cfRule>
  </conditionalFormatting>
  <conditionalFormatting sqref="JB25:JB26">
    <cfRule type="expression" dxfId="16" priority="20">
      <formula>$A25=$A$2</formula>
    </cfRule>
  </conditionalFormatting>
  <conditionalFormatting sqref="JB43">
    <cfRule type="expression" dxfId="15" priority="43">
      <formula>$A43=$A$2</formula>
    </cfRule>
  </conditionalFormatting>
  <conditionalFormatting sqref="JE25:JJ26">
    <cfRule type="expression" dxfId="14" priority="14">
      <formula>$A25=$A$2</formula>
    </cfRule>
  </conditionalFormatting>
  <conditionalFormatting sqref="JF43">
    <cfRule type="expression" dxfId="13" priority="42">
      <formula>$A43=$A$2</formula>
    </cfRule>
  </conditionalFormatting>
  <conditionalFormatting sqref="JH43:JJ43">
    <cfRule type="expression" dxfId="12" priority="39">
      <formula>$A43=$A$2</formula>
    </cfRule>
  </conditionalFormatting>
  <conditionalFormatting sqref="JM43">
    <cfRule type="expression" dxfId="11" priority="38">
      <formula>$A43=$A$2</formula>
    </cfRule>
  </conditionalFormatting>
  <conditionalFormatting sqref="JM25:JS26">
    <cfRule type="expression" dxfId="10" priority="7">
      <formula>$A25=$A$2</formula>
    </cfRule>
  </conditionalFormatting>
  <conditionalFormatting sqref="JP43:JU43">
    <cfRule type="expression" dxfId="9" priority="32">
      <formula>$A43=$A$2</formula>
    </cfRule>
  </conditionalFormatting>
  <conditionalFormatting sqref="JT24:JT26">
    <cfRule type="expression" dxfId="8" priority="6">
      <formula>$A24=$A$2</formula>
    </cfRule>
  </conditionalFormatting>
  <conditionalFormatting sqref="JU25:JU26">
    <cfRule type="expression" dxfId="7" priority="5">
      <formula>$A25=$A$2</formula>
    </cfRule>
  </conditionalFormatting>
  <conditionalFormatting sqref="JW25:JW26">
    <cfRule type="expression" dxfId="6" priority="4">
      <formula>$A25=$A$2</formula>
    </cfRule>
  </conditionalFormatting>
  <conditionalFormatting sqref="JW43">
    <cfRule type="expression" dxfId="5" priority="31">
      <formula>$A43=$A$2</formula>
    </cfRule>
  </conditionalFormatting>
  <conditionalFormatting sqref="JZ25:JZ26">
    <cfRule type="expression" dxfId="4" priority="3">
      <formula>$A25=$A$2</formula>
    </cfRule>
  </conditionalFormatting>
  <conditionalFormatting sqref="JZ43">
    <cfRule type="expression" dxfId="3" priority="30">
      <formula>$A43=$A$2</formula>
    </cfRule>
  </conditionalFormatting>
  <conditionalFormatting sqref="KB43">
    <cfRule type="expression" dxfId="2" priority="29">
      <formula>$A43=$A$2</formula>
    </cfRule>
  </conditionalFormatting>
  <conditionalFormatting sqref="KB25:KC26">
    <cfRule type="expression" dxfId="1" priority="1">
      <formula>$A25=$A$2</formula>
    </cfRule>
  </conditionalFormatting>
  <conditionalFormatting sqref="KD2:LJ2">
    <cfRule type="expression" dxfId="0" priority="573">
      <formula>#REF!=$A$1</formula>
    </cfRule>
  </conditionalFormatting>
  <dataValidations count="1">
    <dataValidation type="list" allowBlank="1" showInputMessage="1" showErrorMessage="1" sqref="B3:B201" xr:uid="{41C0D522-5D90-43F5-9DB3-E0F81FDE0774}">
      <formula1>"BANCO, BBVA, COMPARTAMOS, GASOLINERA, GENERAL, GDL"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37" r:id="rId11" xr:uid="{73E06077-7F11-4B0F-ACA2-422A47C71700}"/>
    <hyperlink ref="Q32" r:id="rId12" xr:uid="{7D5BC455-F102-4DF5-8F66-AAB3B80A57A9}"/>
    <hyperlink ref="Q27" r:id="rId13" xr:uid="{8B585EED-4FB2-47D7-9D2B-AA5AE3B22B52}"/>
    <hyperlink ref="Q14" r:id="rId14" xr:uid="{4E4BB7BD-99B7-4CA8-B2CA-7604F3EDE0D2}"/>
    <hyperlink ref="Q36" r:id="rId15" xr:uid="{B4CA590F-5879-4279-BD3D-C463EFDC3509}"/>
    <hyperlink ref="Q18" r:id="rId16" xr:uid="{25CFBA39-03C8-4081-A0C4-1277A6DE75F7}"/>
    <hyperlink ref="Q29" r:id="rId17" xr:uid="{44B582C3-3169-4287-9F09-3EE5AE51FE29}"/>
    <hyperlink ref="Q39" r:id="rId18" xr:uid="{BD402CD4-FECC-4968-9741-F72B106BBEF2}"/>
    <hyperlink ref="Q30" r:id="rId19" xr:uid="{B5D4169F-364A-44C7-A3D4-4162EBC16939}"/>
    <hyperlink ref="Q43" r:id="rId20" xr:uid="{DC91F01F-BB53-459C-AB50-A2313C0D6506}"/>
    <hyperlink ref="Q16" r:id="rId21" xr:uid="{4866758B-5B57-4D1F-B71D-863F32FE29A4}"/>
    <hyperlink ref="Q33" r:id="rId22" xr:uid="{0CDBCB95-5E65-49A5-B734-53FD1880562A}"/>
    <hyperlink ref="Q31" r:id="rId23" xr:uid="{C3804DBF-E862-4FF6-A358-FD3B917D46B2}"/>
    <hyperlink ref="Q28" r:id="rId24" xr:uid="{7D7DBE05-BD11-4628-B4CA-0BD349415ABC}"/>
    <hyperlink ref="Q42" r:id="rId25" xr:uid="{CE54D597-0828-4DB6-8398-E6B35BD95831}"/>
    <hyperlink ref="Q38" r:id="rId26" xr:uid="{2CA19DBA-CB5E-411D-90CF-4DBC994E27FA}"/>
    <hyperlink ref="Q35" r:id="rId27" xr:uid="{9E8156F7-1CD4-4387-A96E-A15BD04771BB}"/>
    <hyperlink ref="Q24" r:id="rId28" xr:uid="{5F9561E0-F04E-4138-9F17-72093CC7A3C0}"/>
    <hyperlink ref="Q23" r:id="rId29" xr:uid="{451E82E8-3F55-4F80-A080-6E168E11EF8A}"/>
    <hyperlink ref="Q13" r:id="rId30" xr:uid="{2032BBE1-31DA-46EE-AC48-65C122EE0282}"/>
    <hyperlink ref="Q44" r:id="rId31" xr:uid="{A2BBFE7A-BA9E-492E-AF1D-D4A45C7C4B60}"/>
    <hyperlink ref="Q45" r:id="rId32" xr:uid="{2BE003B8-9D85-4724-A606-402C9915F18E}"/>
    <hyperlink ref="Q46" r:id="rId33" xr:uid="{2B09FFA2-5189-4D4D-A65B-4B15422C7C5B}"/>
    <hyperlink ref="Q51" r:id="rId34" xr:uid="{DDE804A1-A1F2-4C98-8E4E-FF4954DAAB88}"/>
    <hyperlink ref="Q55" r:id="rId35" xr:uid="{B9F1BA52-AC5D-4251-9008-A4D12466756B}"/>
    <hyperlink ref="Q56:Q62" r:id="rId36" display="serv.medico@uvp.mx" xr:uid="{35C2D78B-CC24-428B-B9D9-6B044FB382AB}"/>
  </hyperlinks>
  <pageMargins left="0.7" right="0.7" top="0.75" bottom="0.75" header="0.3" footer="0.3"/>
  <drawing r:id="rId37"/>
  <legacyDrawing r:id="rId3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9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D2"/>
  <sheetViews>
    <sheetView tabSelected="1" topLeftCell="JM1" workbookViewId="0">
      <selection activeCell="KD3" sqref="KD3"/>
    </sheetView>
  </sheetViews>
  <sheetFormatPr baseColWidth="10" defaultRowHeight="14.4" x14ac:dyDescent="0.3"/>
  <sheetData>
    <row r="1" spans="1:290" x14ac:dyDescent="0.3">
      <c r="A1">
        <f>+BD!A1</f>
        <v>53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1727</v>
      </c>
      <c r="U1" t="s">
        <v>1728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5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410</v>
      </c>
      <c r="AT1" t="s">
        <v>176</v>
      </c>
      <c r="AU1" t="s">
        <v>177</v>
      </c>
      <c r="AV1" t="s">
        <v>178</v>
      </c>
      <c r="AW1" t="s">
        <v>696</v>
      </c>
      <c r="AX1" t="s">
        <v>697</v>
      </c>
      <c r="AY1" t="s">
        <v>179</v>
      </c>
      <c r="AZ1" t="s">
        <v>180</v>
      </c>
      <c r="BA1" t="s">
        <v>399</v>
      </c>
      <c r="BB1" t="s">
        <v>182</v>
      </c>
      <c r="BC1" t="s">
        <v>411</v>
      </c>
      <c r="BD1" t="s">
        <v>183</v>
      </c>
      <c r="BE1" t="s">
        <v>408</v>
      </c>
      <c r="BF1" t="s">
        <v>7</v>
      </c>
      <c r="BG1" t="s">
        <v>700</v>
      </c>
      <c r="BH1" t="s">
        <v>702</v>
      </c>
      <c r="BI1" t="s">
        <v>8</v>
      </c>
      <c r="BJ1" t="s">
        <v>1732</v>
      </c>
      <c r="BK1" t="s">
        <v>1733</v>
      </c>
      <c r="BL1" t="s">
        <v>3</v>
      </c>
      <c r="BM1" t="s">
        <v>4</v>
      </c>
      <c r="BN1" t="s">
        <v>2075</v>
      </c>
      <c r="BO1" t="s">
        <v>2076</v>
      </c>
      <c r="BP1" t="s">
        <v>2077</v>
      </c>
      <c r="BQ1" t="s">
        <v>2078</v>
      </c>
      <c r="BR1" t="s">
        <v>2079</v>
      </c>
      <c r="BS1" t="s">
        <v>2080</v>
      </c>
      <c r="BT1" t="s">
        <v>2081</v>
      </c>
      <c r="BU1" t="s">
        <v>2082</v>
      </c>
      <c r="BV1" t="s">
        <v>2083</v>
      </c>
      <c r="BW1" t="s">
        <v>2084</v>
      </c>
      <c r="BX1" t="s">
        <v>2085</v>
      </c>
      <c r="BY1" t="s">
        <v>2086</v>
      </c>
      <c r="BZ1" t="s">
        <v>2087</v>
      </c>
      <c r="CA1" t="s">
        <v>2088</v>
      </c>
      <c r="CB1" t="s">
        <v>2089</v>
      </c>
      <c r="CC1" t="s">
        <v>2090</v>
      </c>
      <c r="CD1" t="s">
        <v>184</v>
      </c>
      <c r="CE1" t="s">
        <v>5</v>
      </c>
      <c r="CF1" t="s">
        <v>185</v>
      </c>
      <c r="CG1" t="s">
        <v>186</v>
      </c>
      <c r="CH1" t="s">
        <v>187</v>
      </c>
      <c r="CI1" t="s">
        <v>6</v>
      </c>
      <c r="CJ1" t="s">
        <v>188</v>
      </c>
      <c r="CK1" t="s">
        <v>189</v>
      </c>
      <c r="CL1" t="s">
        <v>190</v>
      </c>
      <c r="CM1" t="s">
        <v>2134</v>
      </c>
      <c r="CN1" t="s">
        <v>9</v>
      </c>
      <c r="CO1" t="s">
        <v>10</v>
      </c>
      <c r="CP1" t="s">
        <v>11</v>
      </c>
      <c r="CQ1" t="s">
        <v>12</v>
      </c>
      <c r="CR1" t="s">
        <v>1734</v>
      </c>
      <c r="CS1" t="s">
        <v>13</v>
      </c>
      <c r="CT1" t="s">
        <v>567</v>
      </c>
      <c r="CU1" t="s">
        <v>574</v>
      </c>
      <c r="CV1" t="s">
        <v>573</v>
      </c>
      <c r="CW1" t="s">
        <v>15</v>
      </c>
      <c r="CX1" t="s">
        <v>16</v>
      </c>
      <c r="CY1" t="s">
        <v>17</v>
      </c>
      <c r="CZ1" t="s">
        <v>565</v>
      </c>
      <c r="DA1" t="s">
        <v>18</v>
      </c>
      <c r="DB1" t="s">
        <v>569</v>
      </c>
      <c r="DC1" t="s">
        <v>19</v>
      </c>
      <c r="DD1" t="s">
        <v>577</v>
      </c>
      <c r="DE1" t="s">
        <v>20</v>
      </c>
      <c r="DF1" t="s">
        <v>561</v>
      </c>
      <c r="DG1" t="s">
        <v>22</v>
      </c>
      <c r="DH1" t="s">
        <v>571</v>
      </c>
      <c r="DI1" t="s">
        <v>23</v>
      </c>
      <c r="DJ1" t="s">
        <v>563</v>
      </c>
      <c r="DK1" t="s">
        <v>191</v>
      </c>
      <c r="DL1" t="s">
        <v>192</v>
      </c>
      <c r="DM1" t="s">
        <v>193</v>
      </c>
      <c r="DN1" t="s">
        <v>194</v>
      </c>
      <c r="DO1" t="s">
        <v>1741</v>
      </c>
      <c r="DP1" t="s">
        <v>1742</v>
      </c>
      <c r="DQ1" t="s">
        <v>1743</v>
      </c>
      <c r="DR1" t="s">
        <v>1744</v>
      </c>
      <c r="DS1" t="s">
        <v>1749</v>
      </c>
      <c r="DT1" t="s">
        <v>1750</v>
      </c>
      <c r="DU1" t="s">
        <v>1751</v>
      </c>
      <c r="DV1" t="s">
        <v>1752</v>
      </c>
      <c r="DW1" t="s">
        <v>0</v>
      </c>
      <c r="DX1" t="s">
        <v>1</v>
      </c>
      <c r="DY1" t="s">
        <v>2</v>
      </c>
      <c r="DZ1" t="s">
        <v>195</v>
      </c>
      <c r="EA1" t="s">
        <v>196</v>
      </c>
      <c r="EB1" t="s">
        <v>197</v>
      </c>
      <c r="EC1" t="s">
        <v>198</v>
      </c>
      <c r="ED1" t="s">
        <v>199</v>
      </c>
      <c r="EE1" t="s">
        <v>596</v>
      </c>
      <c r="EF1" t="s">
        <v>200</v>
      </c>
      <c r="EG1" t="s">
        <v>201</v>
      </c>
      <c r="EH1" t="s">
        <v>646</v>
      </c>
      <c r="EI1" t="s">
        <v>202</v>
      </c>
      <c r="EJ1" t="s">
        <v>1735</v>
      </c>
      <c r="EK1" t="s">
        <v>647</v>
      </c>
      <c r="EL1" t="s">
        <v>203</v>
      </c>
      <c r="EM1" t="s">
        <v>580</v>
      </c>
      <c r="EN1" t="s">
        <v>648</v>
      </c>
      <c r="EO1" t="s">
        <v>204</v>
      </c>
      <c r="EP1" t="s">
        <v>581</v>
      </c>
      <c r="EQ1" t="s">
        <v>649</v>
      </c>
      <c r="ER1" t="s">
        <v>205</v>
      </c>
      <c r="ES1" t="s">
        <v>582</v>
      </c>
      <c r="ET1" t="s">
        <v>650</v>
      </c>
      <c r="EU1" t="s">
        <v>206</v>
      </c>
      <c r="EV1" t="s">
        <v>583</v>
      </c>
      <c r="EW1" t="s">
        <v>651</v>
      </c>
      <c r="EX1" t="s">
        <v>207</v>
      </c>
      <c r="EY1" t="s">
        <v>584</v>
      </c>
      <c r="EZ1" t="s">
        <v>652</v>
      </c>
      <c r="FA1" t="s">
        <v>208</v>
      </c>
      <c r="FB1" t="s">
        <v>585</v>
      </c>
      <c r="FC1" t="s">
        <v>653</v>
      </c>
      <c r="FD1" t="s">
        <v>209</v>
      </c>
      <c r="FE1" t="s">
        <v>586</v>
      </c>
      <c r="FF1" t="s">
        <v>654</v>
      </c>
      <c r="FG1" t="s">
        <v>210</v>
      </c>
      <c r="FH1" t="s">
        <v>587</v>
      </c>
      <c r="FI1" t="s">
        <v>655</v>
      </c>
      <c r="FJ1" t="s">
        <v>211</v>
      </c>
      <c r="FK1" t="s">
        <v>212</v>
      </c>
      <c r="FL1" t="s">
        <v>213</v>
      </c>
      <c r="FM1" t="s">
        <v>214</v>
      </c>
      <c r="FN1" t="s">
        <v>215</v>
      </c>
      <c r="FO1" t="s">
        <v>216</v>
      </c>
      <c r="FP1" t="s">
        <v>217</v>
      </c>
      <c r="FQ1" t="s">
        <v>218</v>
      </c>
      <c r="FR1" t="s">
        <v>219</v>
      </c>
      <c r="FS1" t="s">
        <v>220</v>
      </c>
      <c r="FT1" t="s">
        <v>221</v>
      </c>
      <c r="FU1" t="s">
        <v>222</v>
      </c>
      <c r="FV1" t="s">
        <v>1748</v>
      </c>
      <c r="FW1" t="s">
        <v>223</v>
      </c>
      <c r="FX1" t="s">
        <v>616</v>
      </c>
      <c r="FY1" t="s">
        <v>618</v>
      </c>
      <c r="FZ1" t="s">
        <v>636</v>
      </c>
      <c r="GA1" t="s">
        <v>617</v>
      </c>
      <c r="GB1" t="s">
        <v>619</v>
      </c>
      <c r="GC1" t="s">
        <v>637</v>
      </c>
      <c r="GD1" t="s">
        <v>25</v>
      </c>
      <c r="GE1" t="s">
        <v>26</v>
      </c>
      <c r="GF1" t="s">
        <v>24</v>
      </c>
      <c r="GG1" t="s">
        <v>27</v>
      </c>
      <c r="GH1" t="s">
        <v>396</v>
      </c>
      <c r="GI1" t="s">
        <v>28</v>
      </c>
      <c r="GJ1" t="s">
        <v>29</v>
      </c>
      <c r="GK1" t="s">
        <v>181</v>
      </c>
      <c r="GL1" t="s">
        <v>403</v>
      </c>
      <c r="GM1" t="s">
        <v>30</v>
      </c>
      <c r="GN1" t="s">
        <v>31</v>
      </c>
      <c r="GO1" t="s">
        <v>405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339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414</v>
      </c>
      <c r="IQ1" t="s">
        <v>599</v>
      </c>
      <c r="IR1" t="s">
        <v>601</v>
      </c>
      <c r="IS1" t="s">
        <v>604</v>
      </c>
      <c r="IT1" t="s">
        <v>607</v>
      </c>
      <c r="IU1" t="s">
        <v>610</v>
      </c>
      <c r="IV1" t="s">
        <v>613</v>
      </c>
      <c r="IW1" t="s">
        <v>704</v>
      </c>
      <c r="IX1" t="s">
        <v>709</v>
      </c>
      <c r="IY1" t="s">
        <v>712</v>
      </c>
      <c r="IZ1" t="s">
        <v>713</v>
      </c>
      <c r="JA1" t="s">
        <v>714</v>
      </c>
      <c r="JB1" t="s">
        <v>829</v>
      </c>
      <c r="JC1" t="s">
        <v>830</v>
      </c>
      <c r="JD1" t="s">
        <v>715</v>
      </c>
      <c r="JE1" t="s">
        <v>716</v>
      </c>
      <c r="JF1" t="s">
        <v>717</v>
      </c>
      <c r="JG1" t="s">
        <v>718</v>
      </c>
      <c r="JH1" t="s">
        <v>719</v>
      </c>
      <c r="JI1" t="s">
        <v>720</v>
      </c>
      <c r="JJ1" t="s">
        <v>721</v>
      </c>
      <c r="JK1" t="s">
        <v>725</v>
      </c>
      <c r="JL1" t="s">
        <v>726</v>
      </c>
      <c r="JM1" t="s">
        <v>727</v>
      </c>
      <c r="JN1" t="s">
        <v>722</v>
      </c>
      <c r="JO1" t="s">
        <v>723</v>
      </c>
      <c r="JP1" t="s">
        <v>724</v>
      </c>
      <c r="JQ1" t="s">
        <v>948</v>
      </c>
      <c r="JR1" t="s">
        <v>1758</v>
      </c>
      <c r="JS1" t="s">
        <v>1759</v>
      </c>
      <c r="JT1" t="s">
        <v>1760</v>
      </c>
      <c r="JU1" t="s">
        <v>1761</v>
      </c>
      <c r="JV1" t="s">
        <v>1762</v>
      </c>
      <c r="JW1" t="s">
        <v>1763</v>
      </c>
      <c r="JX1" t="s">
        <v>1764</v>
      </c>
      <c r="JY1" t="s">
        <v>1765</v>
      </c>
      <c r="JZ1" t="s">
        <v>1766</v>
      </c>
      <c r="KA1" t="s">
        <v>1767</v>
      </c>
      <c r="KB1" t="s">
        <v>1768</v>
      </c>
      <c r="KC1" t="s">
        <v>1769</v>
      </c>
      <c r="KD1" t="s">
        <v>2135</v>
      </c>
    </row>
    <row r="2" spans="1:290" x14ac:dyDescent="0.3">
      <c r="B2" t="str">
        <f>VLOOKUP($A$1,BD!$A$3:$IF$210,2, FALSE)</f>
        <v>GENERAL</v>
      </c>
      <c r="C2" t="str">
        <f>VLOOKUP($A$1,BD!$A$3:$IF$210,3, FALSE)</f>
        <v>UNIVERSIDAD DEL VALLE DE PUEBLA SC</v>
      </c>
      <c r="D2" t="str">
        <f>VLOOKUP($A$1,BD!$A$3:$IF$210,4, FALSE)</f>
        <v>COMPLEJO AZTLAN</v>
      </c>
      <c r="E2" t="str">
        <f>VLOOKUP($A$1,BD!$A$3:$IF$210,5, FALSE)</f>
        <v>UVP810305C25</v>
      </c>
      <c r="F2" t="str">
        <f>VLOOKUP($A$1,BD!$A$3:$IF$210,6, FALSE)</f>
        <v>COMPLEJO AZTLAN</v>
      </c>
      <c r="G2" t="str">
        <f>VLOOKUP($A$1,BD!$A$3:$IF$210,7, FALSE)</f>
        <v>ESCUELA DE EDUCACION MEDIA Y SUPERIOR</v>
      </c>
      <c r="H2" t="str">
        <f>VLOOKUP($A$1,BD!$A$3:$IF$210,8, FALSE)</f>
        <v>IMPARTICIÓN DE PROGRAMAS ACADÉMICOS, DESDE LICENCIATURAS HASTA POSGRADOS. ADEMÁS, PROMUEVE LA FORMACIÓN CONTINUA Y RECURSOS DE APRENDIZAJE.</v>
      </c>
      <c r="I2" t="str">
        <f>VLOOKUP($A$1,BD!$A$3:$IF$210,9, FALSE)</f>
        <v>5 SUR</v>
      </c>
      <c r="J2">
        <f>VLOOKUP($A$1,BD!$A$3:$IF$210,10, FALSE)</f>
        <v>5906</v>
      </c>
      <c r="K2" t="str">
        <f>VLOOKUP($A$1,BD!$A$3:$IF$210,11, FALSE)</f>
        <v>--</v>
      </c>
      <c r="L2" t="str">
        <f>VLOOKUP($A$1,BD!$A$3:$IF$210,12, FALSE)</f>
        <v>EL CERRITO</v>
      </c>
      <c r="M2" t="str">
        <f>VLOOKUP($A$1,BD!$A$3:$IF$210,13, FALSE)</f>
        <v>PUEBLA</v>
      </c>
      <c r="N2" t="str">
        <f>VLOOKUP($A$1,BD!$A$3:$IF$210,14, FALSE)</f>
        <v>PUEBLA</v>
      </c>
      <c r="O2">
        <f>VLOOKUP($A$1,BD!$A$3:$IF$210,15, FALSE)</f>
        <v>72440</v>
      </c>
      <c r="P2" t="str">
        <f>VLOOKUP($A$1,BD!$A$3:$IF$210,16, FALSE)</f>
        <v>222 2669488 Ext: 353 y 355</v>
      </c>
      <c r="Q2" t="str">
        <f>VLOOKUP($A$1,BD!$A$3:$IF$210,17, FALSE)</f>
        <v>serv.medico@uvp.mx</v>
      </c>
      <c r="R2">
        <f>VLOOKUP($A$1,BD!$A$3:$IF$210,18, FALSE)</f>
        <v>13</v>
      </c>
      <c r="S2" t="str">
        <f>VLOOKUP($A$1,BD!$A$3:$IF$210,19, FALSE)</f>
        <v>6 DE DICIEMBRE DE 2010</v>
      </c>
      <c r="T2" t="str">
        <f>VLOOKUP($A$1,BD!$A$3:$IF$210,20, FALSE)</f>
        <v>JORGE MANUEL ISLAS GOWER</v>
      </c>
      <c r="U2">
        <f>VLOOKUP($A$1,BD!$A$3:$IF$210,21, FALSE)</f>
        <v>0</v>
      </c>
      <c r="V2">
        <f>VLOOKUP($A$1,BD!$A$3:$IF$210,22, FALSE)</f>
        <v>2485</v>
      </c>
      <c r="W2">
        <f>VLOOKUP($A$1,BD!$A$3:$IF$210,23, FALSE)</f>
        <v>4639.5200000000004</v>
      </c>
      <c r="X2">
        <f>VLOOKUP($A$1,BD!$A$3:$IF$210,24, FALSE)</f>
        <v>4</v>
      </c>
      <c r="Y2">
        <f>VLOOKUP($A$1,BD!$A$3:$IF$210,25, FALSE)</f>
        <v>4</v>
      </c>
      <c r="Z2">
        <f>VLOOKUP($A$1,BD!$A$3:$IF$210,26, FALSE)</f>
        <v>2</v>
      </c>
      <c r="AA2">
        <f>VLOOKUP($A$1,BD!$A$3:$IF$210,27, FALSE)</f>
        <v>2</v>
      </c>
      <c r="AB2">
        <f>VLOOKUP($A$1,BD!$A$3:$IF$210,28, FALSE)</f>
        <v>1</v>
      </c>
      <c r="AC2">
        <f>VLOOKUP($A$1,BD!$A$3:$IF$210,29, FALSE)</f>
        <v>0</v>
      </c>
      <c r="AD2" t="str">
        <f>VLOOKUP($A$1,BD!$A$3:$IF$210,30, FALSE)</f>
        <v>6 CAJONES</v>
      </c>
      <c r="AE2" t="str">
        <f>VLOOKUP($A$1,BD!$A$3:$IF$210,31, FALSE)</f>
        <v>PRISCILIANO GERARDO ILLESCAS LOZANO</v>
      </c>
      <c r="AF2" t="str">
        <f>VLOOKUP($A$1,BD!$A$3:$IF$210,32, FALSE)</f>
        <v>MODESTO ALFONSO HERNÁNDEZ ORTIZ</v>
      </c>
      <c r="AG2">
        <f>VLOOKUP($A$1,BD!$A$3:$IF$210,33, FALSE)</f>
        <v>70</v>
      </c>
      <c r="AH2">
        <f>VLOOKUP($A$1,BD!$A$3:$IF$210,34, FALSE)</f>
        <v>0</v>
      </c>
      <c r="AI2">
        <f>VLOOKUP($A$1,BD!$A$3:$IF$210,35, FALSE)</f>
        <v>30</v>
      </c>
      <c r="AJ2">
        <f>VLOOKUP($A$1,BD!$A$3:$IF$210,36, FALSE)</f>
        <v>40</v>
      </c>
      <c r="AK2">
        <f>VLOOKUP($A$1,BD!$A$3:$IF$210,37, FALSE)</f>
        <v>0</v>
      </c>
      <c r="AL2">
        <f>VLOOKUP($A$1,BD!$A$3:$IF$210,38, FALSE)</f>
        <v>0</v>
      </c>
      <c r="AM2">
        <f>VLOOKUP($A$1,BD!$A$3:$IF$210,39, FALSE)</f>
        <v>1</v>
      </c>
      <c r="AN2">
        <f>VLOOKUP($A$1,BD!$A$3:$IF$210,40, FALSE)</f>
        <v>500</v>
      </c>
      <c r="AO2">
        <f>VLOOKUP($A$1,BD!$A$3:$IF$210,41, FALSE)</f>
        <v>40</v>
      </c>
      <c r="AP2" t="str">
        <f>VLOOKUP($A$1,BD!$A$3:$IF$210,42, FALSE)</f>
        <v>LUNES - SABADO</v>
      </c>
      <c r="AQ2" t="str">
        <f>VLOOKUP($A$1,BD!$A$3:$IF$210,43, FALSE)</f>
        <v>07:00 A 21:00 HORAS</v>
      </c>
      <c r="AR2">
        <f>VLOOKUP($A$1,BD!$A$3:$IF$210,44, FALSE)</f>
        <v>92</v>
      </c>
      <c r="AS2">
        <f>VLOOKUP($A$1,BD!$A$3:$IF$210,45, FALSE)</f>
        <v>4</v>
      </c>
      <c r="AT2" t="str">
        <f>VLOOKUP($A$1,BD!$A$3:$IF$210,46, FALSE)</f>
        <v>RECEPCION, BIBLIOTECA, CAI, CAPS</v>
      </c>
      <c r="AU2">
        <f>VLOOKUP($A$1,BD!$A$3:$IF$210,47, FALSE)</f>
        <v>39</v>
      </c>
      <c r="AV2" t="str">
        <f>VLOOKUP($A$1,BD!$A$3:$IF$210,48, FALSE)</f>
        <v>EN TODO EL INMUEBLE</v>
      </c>
      <c r="AW2">
        <f>VLOOKUP($A$1,BD!$A$3:$IF$210,49, FALSE)</f>
        <v>27</v>
      </c>
      <c r="AX2">
        <f>VLOOKUP($A$1,BD!$A$3:$IF$210,50, FALSE)</f>
        <v>11</v>
      </c>
      <c r="AY2">
        <f>VLOOKUP($A$1,BD!$A$3:$IF$210,51, FALSE)</f>
        <v>0</v>
      </c>
      <c r="AZ2">
        <f>VLOOKUP($A$1,BD!$A$3:$IF$210,52, FALSE)</f>
        <v>0</v>
      </c>
      <c r="BA2">
        <f>VLOOKUP($A$1,BD!$A$3:$IF$210,53, FALSE)</f>
        <v>0</v>
      </c>
      <c r="BB2">
        <f>VLOOKUP($A$1,BD!$A$3:$IF$210,54, FALSE)</f>
        <v>0</v>
      </c>
      <c r="BC2">
        <f>VLOOKUP($A$1,BD!$A$3:$IF$210,55, FALSE)</f>
        <v>0</v>
      </c>
      <c r="BD2">
        <f>VLOOKUP($A$1,BD!$A$3:$IF$210,56, FALSE)</f>
        <v>0</v>
      </c>
      <c r="BE2">
        <f>VLOOKUP($A$1,BD!$A$3:$IF$210,57, FALSE)</f>
        <v>2</v>
      </c>
      <c r="BF2" t="str">
        <f>VLOOKUP($A$1,BD!$A$3:$IF$210,58, FALSE)</f>
        <v>MEGAFONO</v>
      </c>
      <c r="BG2">
        <f>VLOOKUP($A$1,BD!$A$3:$IF$210,59, FALSE)</f>
        <v>0</v>
      </c>
      <c r="BH2">
        <f>VLOOKUP($A$1,BD!$A$3:$IF$210,60, FALSE)</f>
        <v>0</v>
      </c>
      <c r="BI2" t="str">
        <f>VLOOKUP($A$1,BD!$A$3:$IF$210,61, FALSE)</f>
        <v>COORDINACION, VIGILANCIA, CONTROL EXTERNO</v>
      </c>
      <c r="BJ2">
        <f>VLOOKUP($A$1,BD!$A$3:$IF$210,62, FALSE)</f>
        <v>0</v>
      </c>
      <c r="BK2">
        <f>VLOOKUP($A$1,BD!$A$3:$IF$210,63, FALSE)</f>
        <v>0</v>
      </c>
      <c r="BL2">
        <f>VLOOKUP($A$1,BD!$A$3:$IF$210,64, FALSE)</f>
        <v>5</v>
      </c>
      <c r="BM2" t="str">
        <f>VLOOKUP($A$1,BD!$A$3:$IF$210,65, FALSE)</f>
        <v>OFICINAS</v>
      </c>
      <c r="BN2">
        <f>VLOOKUP($A$1,BD!$A$3:$IF$210,66, FALSE)</f>
        <v>1</v>
      </c>
      <c r="BO2" t="str">
        <f>VLOOKUP($A$1,BD!$A$3:$IF$210,67, FALSE)</f>
        <v>GABINETE</v>
      </c>
      <c r="BP2">
        <f>VLOOKUP($A$1,BD!$A$3:$IF$210,68, FALSE)</f>
        <v>5</v>
      </c>
      <c r="BQ2" t="str">
        <f>VLOOKUP($A$1,BD!$A$3:$IF$210,69, FALSE)</f>
        <v>GABINETE</v>
      </c>
      <c r="BR2">
        <f>VLOOKUP($A$1,BD!$A$3:$IF$210,70, FALSE)</f>
        <v>4</v>
      </c>
      <c r="BS2" t="str">
        <f>VLOOKUP($A$1,BD!$A$3:$IF$210,71, FALSE)</f>
        <v>GABINETE</v>
      </c>
      <c r="BT2">
        <f>VLOOKUP($A$1,BD!$A$3:$IF$210,72, FALSE)</f>
        <v>2</v>
      </c>
      <c r="BU2" t="str">
        <f>VLOOKUP($A$1,BD!$A$3:$IF$210,73, FALSE)</f>
        <v>GABINETE</v>
      </c>
      <c r="BV2">
        <f>VLOOKUP($A$1,BD!$A$3:$IF$210,74, FALSE)</f>
        <v>1</v>
      </c>
      <c r="BW2" t="str">
        <f>VLOOKUP($A$1,BD!$A$3:$IF$210,75, FALSE)</f>
        <v>COORDINACION</v>
      </c>
      <c r="BX2">
        <f>VLOOKUP($A$1,BD!$A$3:$IF$210,76, FALSE)</f>
        <v>0</v>
      </c>
      <c r="BY2">
        <f>VLOOKUP($A$1,BD!$A$3:$IF$210,77, FALSE)</f>
        <v>0</v>
      </c>
      <c r="BZ2">
        <f>VLOOKUP($A$1,BD!$A$3:$IF$210,78, FALSE)</f>
        <v>1</v>
      </c>
      <c r="CA2" t="str">
        <f>VLOOKUP($A$1,BD!$A$3:$IF$210,79, FALSE)</f>
        <v>GABINETE</v>
      </c>
      <c r="CB2">
        <f>VLOOKUP($A$1,BD!$A$3:$IF$210,80, FALSE)</f>
        <v>2</v>
      </c>
      <c r="CC2" t="str">
        <f>VLOOKUP($A$1,BD!$A$3:$IF$210,81, FALSE)</f>
        <v>GABINETE</v>
      </c>
      <c r="CD2">
        <f>VLOOKUP($A$1,BD!$A$3:$IF$210,82, FALSE)</f>
        <v>33</v>
      </c>
      <c r="CE2">
        <f>VLOOKUP($A$1,BD!$A$3:$IF$210,83, FALSE)</f>
        <v>1</v>
      </c>
      <c r="CF2">
        <f>VLOOKUP($A$1,BD!$A$3:$IF$210,84, FALSE)</f>
        <v>7</v>
      </c>
      <c r="CG2">
        <f>VLOOKUP($A$1,BD!$A$3:$IF$210,85, FALSE)</f>
        <v>0</v>
      </c>
      <c r="CH2">
        <f>VLOOKUP($A$1,BD!$A$3:$IF$210,86, FALSE)</f>
        <v>1</v>
      </c>
      <c r="CI2">
        <f>VLOOKUP($A$1,BD!$A$3:$IF$210,87, FALSE)</f>
        <v>5</v>
      </c>
      <c r="CJ2">
        <f>VLOOKUP($A$1,BD!$A$3:$IF$210,88, FALSE)</f>
        <v>15</v>
      </c>
      <c r="CK2">
        <f>VLOOKUP($A$1,BD!$A$3:$IF$210,89, FALSE)</f>
        <v>12</v>
      </c>
      <c r="CL2">
        <f>VLOOKUP($A$1,BD!$A$3:$IF$210,90, FALSE)</f>
        <v>12</v>
      </c>
      <c r="CM2">
        <f>VLOOKUP($A$1,BD!$A$3:$IF$210,91, FALSE)</f>
        <v>6</v>
      </c>
      <c r="CN2">
        <f>VLOOKUP($A$1,BD!$A$3:$IF$210,92, FALSE)</f>
        <v>0</v>
      </c>
      <c r="CO2">
        <f>VLOOKUP($A$1,BD!$A$3:$IF$210,93, FALSE)</f>
        <v>0</v>
      </c>
      <c r="CP2">
        <f>VLOOKUP($A$1,BD!$A$3:$IF$210,94, FALSE)</f>
        <v>0</v>
      </c>
      <c r="CQ2">
        <f>VLOOKUP($A$1,BD!$A$3:$IF$210,95, FALSE)</f>
        <v>0</v>
      </c>
      <c r="CR2">
        <f>VLOOKUP($A$1,BD!$A$3:$IF$210,96, FALSE)</f>
        <v>0</v>
      </c>
      <c r="CS2">
        <f>VLOOKUP($A$1,BD!$A$3:$IF$210,97, FALSE)</f>
        <v>9</v>
      </c>
      <c r="CT2" t="str">
        <f>VLOOKUP($A$1,BD!$A$3:$IF$210,98, FALSE)</f>
        <v>AREA COMÚN</v>
      </c>
      <c r="CU2">
        <f>VLOOKUP($A$1,BD!$A$3:$IF$210,99, FALSE)</f>
        <v>0</v>
      </c>
      <c r="CV2">
        <f>VLOOKUP($A$1,BD!$A$3:$IF$210,100, FALSE)</f>
        <v>0</v>
      </c>
      <c r="CW2">
        <f>VLOOKUP($A$1,BD!$A$3:$IF$210,101, FALSE)</f>
        <v>0</v>
      </c>
      <c r="CX2">
        <f>VLOOKUP($A$1,BD!$A$3:$IF$210,102, FALSE)</f>
        <v>0</v>
      </c>
      <c r="CY2">
        <f>VLOOKUP($A$1,BD!$A$3:$IF$210,103, FALSE)</f>
        <v>0</v>
      </c>
      <c r="CZ2">
        <f>VLOOKUP($A$1,BD!$A$3:$IF$210,104, FALSE)</f>
        <v>0</v>
      </c>
      <c r="DA2">
        <f>VLOOKUP($A$1,BD!$A$3:$IF$210,105, FALSE)</f>
        <v>0</v>
      </c>
      <c r="DB2">
        <f>VLOOKUP($A$1,BD!$A$3:$IF$210,106, FALSE)</f>
        <v>0</v>
      </c>
      <c r="DC2">
        <f>VLOOKUP($A$1,BD!$A$3:$IF$210,107, FALSE)</f>
        <v>20</v>
      </c>
      <c r="DD2" t="str">
        <f>VLOOKUP($A$1,BD!$A$3:$IF$210,108, FALSE)</f>
        <v>BRIGADISTAS</v>
      </c>
      <c r="DE2">
        <f>VLOOKUP($A$1,BD!$A$3:$IF$210,109, FALSE)</f>
        <v>11</v>
      </c>
      <c r="DF2" t="str">
        <f>VLOOKUP($A$1,BD!$A$3:$IF$210,110, FALSE)</f>
        <v>AREA COMÚN</v>
      </c>
      <c r="DG2">
        <f>VLOOKUP($A$1,BD!$A$3:$IF$210,111, FALSE)</f>
        <v>0</v>
      </c>
      <c r="DH2">
        <f>VLOOKUP($A$1,BD!$A$3:$IF$210,112, FALSE)</f>
        <v>0</v>
      </c>
      <c r="DI2">
        <f>VLOOKUP($A$1,BD!$A$3:$IF$210,113, FALSE)</f>
        <v>0</v>
      </c>
      <c r="DJ2">
        <f>VLOOKUP($A$1,BD!$A$3:$IF$210,114, FALSE)</f>
        <v>0</v>
      </c>
      <c r="DK2">
        <f>VLOOKUP($A$1,BD!$A$3:$IF$210,115, FALSE)</f>
        <v>0</v>
      </c>
      <c r="DL2">
        <f>VLOOKUP($A$1,BD!$A$3:$IF$210,116, FALSE)</f>
        <v>0</v>
      </c>
      <c r="DM2">
        <f>VLOOKUP($A$1,BD!$A$3:$IF$210,117, FALSE)</f>
        <v>0</v>
      </c>
      <c r="DN2" s="5">
        <f>VLOOKUP($A$1,BD!$A$3:$IF$210,118, FALSE)</f>
        <v>0</v>
      </c>
      <c r="DO2">
        <f>VLOOKUP($A$1,BD!$A$3:$IF$210,119, FALSE)</f>
        <v>0</v>
      </c>
      <c r="DP2">
        <f>VLOOKUP($A$1,BD!$A$3:$IF$210,120, FALSE)</f>
        <v>0</v>
      </c>
      <c r="DQ2" s="5">
        <f>VLOOKUP($A$1,BD!$A$3:$IF$210,121, FALSE)</f>
        <v>0</v>
      </c>
      <c r="DR2">
        <f>VLOOKUP($A$1,BD!$A$3:$IF$210,122, FALSE)</f>
        <v>0</v>
      </c>
      <c r="DS2">
        <f>VLOOKUP($A$1,BD!$A$3:$IF$210,123, FALSE)</f>
        <v>0</v>
      </c>
      <c r="DT2" s="5">
        <f>VLOOKUP($A$1,BD!$A$3:$IF$210,124, FALSE)</f>
        <v>0</v>
      </c>
      <c r="DU2">
        <f>VLOOKUP($A$1,BD!$A$3:$IF$210,125, FALSE)</f>
        <v>0</v>
      </c>
      <c r="DV2">
        <f>VLOOKUP($A$1,BD!$A$3:$IF$210,126, FALSE)</f>
        <v>0</v>
      </c>
      <c r="DW2" s="5">
        <f>VLOOKUP($A$1,BD!$A$3:$IF$210,127, FALSE)</f>
        <v>9</v>
      </c>
      <c r="DX2" t="str">
        <f>VLOOKUP($A$1,BD!$A$3:$IF$210,128, FALSE)</f>
        <v>MAYO</v>
      </c>
      <c r="DY2">
        <f>VLOOKUP($A$1,BD!$A$3:$IF$210,129, FALSE)</f>
        <v>2024</v>
      </c>
      <c r="DZ2" t="str">
        <f>VLOOKUP($A$1,BD!$A$3:$IF$210,130, FALSE)</f>
        <v>19.017749517200585, -98.2183180754988</v>
      </c>
      <c r="EA2" t="str">
        <f>VLOOKUP($A$1,BD!$A$3:$IF$210,131, FALSE)</f>
        <v>TAQUERIA</v>
      </c>
      <c r="EB2" t="str">
        <f>VLOOKUP($A$1,BD!$A$3:$IF$210,132, FALSE)</f>
        <v>UVP TEOCALLI</v>
      </c>
      <c r="EC2" t="str">
        <f>VLOOKUP($A$1,BD!$A$3:$IF$210,133, FALSE)</f>
        <v>CASA HABITACION</v>
      </c>
      <c r="ED2" t="str">
        <f>VLOOKUP($A$1,BD!$A$3:$IF$210,134, FALSE)</f>
        <v>PARQUE EL ELEFANTE</v>
      </c>
      <c r="EE2">
        <f>VLOOKUP($A$1,BD!$A$3:$IF$210,135, FALSE)</f>
        <v>0</v>
      </c>
      <c r="EF2" t="str">
        <f>VLOOKUP($A$1,BD!$A$3:$IF$210,136, FALSE)</f>
        <v>Ley del Sistema Estatal de Protección Civil del Estado de Puebla última reforma publicada en el periódico oficial el 08 de abril de 2022.</v>
      </c>
      <c r="EG2" t="str">
        <f>VLOOKUP($A$1,BD!$A$3:$IF$210,137, FALSE)</f>
        <v>Reglamento de la Ley del Sistema Estatal de Protección Civil para el Estado Libre y Soberano de Puebla, publicado el 1 de julio de 1998.</v>
      </c>
      <c r="EH2">
        <f>VLOOKUP($A$1,BD!$A$3:$IF$210,138, FALSE)</f>
        <v>0</v>
      </c>
      <c r="EI2">
        <f>VLOOKUP($A$1,BD!$A$3:$IF$210,139, FALSE)</f>
        <v>0</v>
      </c>
      <c r="EJ2">
        <f>VLOOKUP($A$1,BD!$A$3:$IF$210,140, FALSE)</f>
        <v>0</v>
      </c>
      <c r="EK2">
        <f>VLOOKUP($A$1,BD!$A$3:$IF$210,141, FALSE)</f>
        <v>0</v>
      </c>
      <c r="EL2">
        <f>VLOOKUP($A$1,BD!$A$3:$IF$210,142, FALSE)</f>
        <v>0</v>
      </c>
      <c r="EM2">
        <f>VLOOKUP($A$1,BD!$A$3:$IF$210,143, FALSE)</f>
        <v>0</v>
      </c>
      <c r="EN2">
        <f>VLOOKUP($A$1,BD!$A$3:$IF$210,144, FALSE)</f>
        <v>0</v>
      </c>
      <c r="EO2">
        <f>VLOOKUP($A$1,BD!$A$3:$IF$210,145, FALSE)</f>
        <v>0</v>
      </c>
      <c r="EP2">
        <f>VLOOKUP($A$1,BD!$A$3:$IF$210,146, FALSE)</f>
        <v>0</v>
      </c>
      <c r="EQ2">
        <f>VLOOKUP($A$1,BD!$A$3:$IF$210,147, FALSE)</f>
        <v>0</v>
      </c>
      <c r="ER2">
        <f>VLOOKUP($A$1,BD!$A$3:$IF$210,148, FALSE)</f>
        <v>0</v>
      </c>
      <c r="ES2">
        <f>VLOOKUP($A$1,BD!$A$3:$IF$210,149, FALSE)</f>
        <v>0</v>
      </c>
      <c r="ET2">
        <f>VLOOKUP($A$1,BD!$A$3:$IF$210,150, FALSE)</f>
        <v>0</v>
      </c>
      <c r="EU2">
        <f>VLOOKUP($A$1,BD!$A$3:$IF$210,151, FALSE)</f>
        <v>0</v>
      </c>
      <c r="EV2">
        <f>VLOOKUP($A$1,BD!$A$3:$IF$210,152, FALSE)</f>
        <v>0</v>
      </c>
      <c r="EW2">
        <f>VLOOKUP($A$1,BD!$A$3:$IF$210,153, FALSE)</f>
        <v>0</v>
      </c>
      <c r="EX2">
        <f>VLOOKUP($A$1,BD!$A$3:$IF$210,154, FALSE)</f>
        <v>0</v>
      </c>
      <c r="EY2">
        <f>VLOOKUP($A$1,BD!$A$3:$IF$210,155, FALSE)</f>
        <v>0</v>
      </c>
      <c r="EZ2">
        <f>VLOOKUP($A$1,BD!$A$3:$IF$210,156, FALSE)</f>
        <v>0</v>
      </c>
      <c r="FA2">
        <f>VLOOKUP($A$1,BD!$A$3:$IF$210,157, FALSE)</f>
        <v>0</v>
      </c>
      <c r="FB2">
        <f>VLOOKUP($A$1,BD!$A$3:$IF$210,158, FALSE)</f>
        <v>0</v>
      </c>
      <c r="FC2">
        <f>VLOOKUP($A$1,BD!$A$3:$IF$210,159, FALSE)</f>
        <v>0</v>
      </c>
      <c r="FD2">
        <f>VLOOKUP($A$1,BD!$A$3:$IF$210,160, FALSE)</f>
        <v>0</v>
      </c>
      <c r="FE2">
        <f>VLOOKUP($A$1,BD!$A$3:$IF$210,161, FALSE)</f>
        <v>0</v>
      </c>
      <c r="FF2">
        <f>VLOOKUP($A$1,BD!$A$3:$IF$210,162, FALSE)</f>
        <v>0</v>
      </c>
      <c r="FG2">
        <f>VLOOKUP($A$1,BD!$A$3:$IF$210,163, FALSE)</f>
        <v>0</v>
      </c>
      <c r="FH2">
        <f>VLOOKUP($A$1,BD!$A$3:$IF$210,164, FALSE)</f>
        <v>0</v>
      </c>
      <c r="FI2">
        <f>VLOOKUP($A$1,BD!$A$3:$IF$210,165, FALSE)</f>
        <v>0</v>
      </c>
      <c r="FJ2" t="str">
        <f>VLOOKUP($A$1,BD!$A$3:$IF$210,166, FALSE)</f>
        <v>GAS LP Y GAS NATURAL</v>
      </c>
      <c r="FK2">
        <f>VLOOKUP($A$1,BD!$A$3:$IF$210,167, FALSE)</f>
        <v>20480</v>
      </c>
      <c r="FL2">
        <f>VLOOKUP($A$1,BD!$A$3:$IF$210,168, FALSE)</f>
        <v>6.8266666666666671</v>
      </c>
      <c r="FM2">
        <f>VLOOKUP($A$1,BD!$A$3:$IF$210,169, FALSE)</f>
        <v>0</v>
      </c>
      <c r="FN2">
        <f>VLOOKUP($A$1,BD!$A$3:$IF$210,170, FALSE)</f>
        <v>0</v>
      </c>
      <c r="FO2">
        <f>VLOOKUP($A$1,BD!$A$3:$IF$210,171, FALSE)</f>
        <v>0</v>
      </c>
      <c r="FP2">
        <f>VLOOKUP($A$1,BD!$A$3:$IF$210,172, FALSE)</f>
        <v>0</v>
      </c>
      <c r="FQ2">
        <f>VLOOKUP($A$1,BD!$A$3:$IF$210,173, FALSE)</f>
        <v>0</v>
      </c>
      <c r="FR2">
        <f>VLOOKUP($A$1,BD!$A$3:$IF$210,174, FALSE)</f>
        <v>0</v>
      </c>
      <c r="FS2" t="str">
        <f>VLOOKUP($A$1,BD!$A$3:$IF$210,175, FALSE)</f>
        <v>MOBILIARIO</v>
      </c>
      <c r="FT2">
        <f>VLOOKUP($A$1,BD!$A$3:$IF$210,176, FALSE)</f>
        <v>4200</v>
      </c>
      <c r="FU2">
        <f>VLOOKUP($A$1,BD!$A$3:$IF$210,177, FALSE)</f>
        <v>0.28000000000000003</v>
      </c>
      <c r="FV2">
        <f>VLOOKUP($A$1,BD!$A$3:$IF$210,178, FALSE)</f>
        <v>7.1066666666666674</v>
      </c>
      <c r="FW2" t="str">
        <f>VLOOKUP($A$1,BD!$A$3:$IF$210,179, FALSE)</f>
        <v>ALTO</v>
      </c>
      <c r="FX2">
        <f>VLOOKUP($A$1,BD!$A$3:$IF$210,180, FALSE)</f>
        <v>0</v>
      </c>
      <c r="FY2">
        <f>VLOOKUP($A$1,BD!$A$3:$IF$210,181, FALSE)</f>
        <v>0</v>
      </c>
      <c r="FZ2">
        <f>VLOOKUP($A$1,BD!$A$3:$IF$210,182, FALSE)</f>
        <v>0</v>
      </c>
      <c r="GA2">
        <f>VLOOKUP($A$1,BD!$A$3:$IF$210,183, FALSE)</f>
        <v>0</v>
      </c>
      <c r="GB2">
        <f>VLOOKUP($A$1,BD!$A$3:$IF$210,184, FALSE)</f>
        <v>0</v>
      </c>
      <c r="GC2">
        <f>VLOOKUP($A$1,BD!$A$3:$IF$210,185, FALSE)</f>
        <v>0</v>
      </c>
      <c r="GD2" t="s">
        <v>81</v>
      </c>
      <c r="GE2" t="s">
        <v>82</v>
      </c>
      <c r="GF2" t="s">
        <v>83</v>
      </c>
      <c r="GG2" t="s">
        <v>832</v>
      </c>
      <c r="GH2" t="s">
        <v>397</v>
      </c>
      <c r="GI2" t="s">
        <v>84</v>
      </c>
      <c r="GJ2" t="s">
        <v>85</v>
      </c>
      <c r="GK2" t="s">
        <v>401</v>
      </c>
      <c r="GL2" t="s">
        <v>404</v>
      </c>
      <c r="GM2" t="s">
        <v>86</v>
      </c>
      <c r="GN2" t="s">
        <v>87</v>
      </c>
      <c r="GO2" t="s">
        <v>406</v>
      </c>
      <c r="GP2" t="s">
        <v>833</v>
      </c>
      <c r="GQ2" t="s">
        <v>834</v>
      </c>
      <c r="GR2" t="s">
        <v>835</v>
      </c>
      <c r="GS2" t="s">
        <v>836</v>
      </c>
      <c r="GT2" t="s">
        <v>837</v>
      </c>
      <c r="GU2" t="s">
        <v>841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1757</v>
      </c>
      <c r="HK2" t="s">
        <v>103</v>
      </c>
      <c r="HL2" t="s">
        <v>104</v>
      </c>
      <c r="HM2" t="s">
        <v>105</v>
      </c>
      <c r="HN2" t="s">
        <v>106</v>
      </c>
      <c r="HO2" t="s">
        <v>107</v>
      </c>
      <c r="HP2" t="s">
        <v>108</v>
      </c>
      <c r="HQ2" t="s">
        <v>109</v>
      </c>
      <c r="HR2" t="s">
        <v>110</v>
      </c>
      <c r="HS2" t="s">
        <v>111</v>
      </c>
      <c r="HT2" t="s">
        <v>112</v>
      </c>
      <c r="HU2" t="s">
        <v>113</v>
      </c>
      <c r="HV2" t="s">
        <v>114</v>
      </c>
      <c r="HW2" t="s">
        <v>115</v>
      </c>
      <c r="HX2" t="s">
        <v>116</v>
      </c>
      <c r="HY2" t="s">
        <v>117</v>
      </c>
      <c r="HZ2" t="s">
        <v>118</v>
      </c>
      <c r="IA2" t="s">
        <v>119</v>
      </c>
      <c r="IB2" t="s">
        <v>120</v>
      </c>
      <c r="IC2" t="s">
        <v>121</v>
      </c>
      <c r="ID2" t="s">
        <v>122</v>
      </c>
      <c r="IE2" t="s">
        <v>123</v>
      </c>
      <c r="IF2" t="s">
        <v>124</v>
      </c>
      <c r="IG2" t="s">
        <v>125</v>
      </c>
      <c r="IH2" t="s">
        <v>126</v>
      </c>
      <c r="II2" t="s">
        <v>127</v>
      </c>
      <c r="IJ2" t="s">
        <v>128</v>
      </c>
      <c r="IK2" t="s">
        <v>129</v>
      </c>
      <c r="IL2" t="s">
        <v>130</v>
      </c>
      <c r="IM2" t="s">
        <v>131</v>
      </c>
      <c r="IN2" t="s">
        <v>132</v>
      </c>
      <c r="IO2" t="s">
        <v>413</v>
      </c>
      <c r="IP2" t="s">
        <v>415</v>
      </c>
      <c r="IQ2" t="s">
        <v>600</v>
      </c>
      <c r="IR2" t="s">
        <v>1754</v>
      </c>
      <c r="IS2" t="s">
        <v>605</v>
      </c>
      <c r="IT2" t="s">
        <v>608</v>
      </c>
      <c r="IU2" t="s">
        <v>611</v>
      </c>
      <c r="IV2" t="s">
        <v>614</v>
      </c>
      <c r="IW2" t="s">
        <v>705</v>
      </c>
      <c r="IX2" t="s">
        <v>710</v>
      </c>
      <c r="IY2" t="s">
        <v>1659</v>
      </c>
      <c r="IZ2" t="s">
        <v>1660</v>
      </c>
      <c r="JA2" t="s">
        <v>728</v>
      </c>
      <c r="JB2" t="s">
        <v>838</v>
      </c>
      <c r="JC2" t="s">
        <v>839</v>
      </c>
      <c r="JD2" t="s">
        <v>729</v>
      </c>
      <c r="JE2" t="s">
        <v>730</v>
      </c>
      <c r="JF2" t="s">
        <v>731</v>
      </c>
      <c r="JG2" t="s">
        <v>732</v>
      </c>
      <c r="JH2" t="s">
        <v>733</v>
      </c>
      <c r="JI2" t="s">
        <v>734</v>
      </c>
      <c r="JJ2" t="s">
        <v>735</v>
      </c>
      <c r="JK2" t="s">
        <v>736</v>
      </c>
      <c r="JL2" t="s">
        <v>737</v>
      </c>
      <c r="JM2" t="s">
        <v>738</v>
      </c>
      <c r="JN2" t="s">
        <v>739</v>
      </c>
      <c r="JO2" t="s">
        <v>740</v>
      </c>
      <c r="JP2" t="s">
        <v>741</v>
      </c>
      <c r="JQ2" t="s">
        <v>1865</v>
      </c>
      <c r="JR2" t="s">
        <v>1770</v>
      </c>
      <c r="JS2" t="s">
        <v>1771</v>
      </c>
      <c r="JT2" t="s">
        <v>1772</v>
      </c>
      <c r="JU2" t="s">
        <v>1773</v>
      </c>
      <c r="JV2" t="s">
        <v>1774</v>
      </c>
      <c r="JW2" t="s">
        <v>1775</v>
      </c>
      <c r="JX2" t="s">
        <v>1776</v>
      </c>
      <c r="JY2" t="s">
        <v>1777</v>
      </c>
      <c r="JZ2" t="s">
        <v>1778</v>
      </c>
      <c r="KA2" t="s">
        <v>1779</v>
      </c>
      <c r="KB2" t="s">
        <v>1780</v>
      </c>
      <c r="KC2" t="s">
        <v>1781</v>
      </c>
      <c r="KD2" t="s">
        <v>2136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B1:W210"/>
  <sheetViews>
    <sheetView topLeftCell="A91" workbookViewId="0">
      <selection activeCell="I105" sqref="I105"/>
    </sheetView>
  </sheetViews>
  <sheetFormatPr baseColWidth="10" defaultRowHeight="14.4" x14ac:dyDescent="0.3"/>
  <sheetData>
    <row r="1" spans="2:23" x14ac:dyDescent="0.3">
      <c r="B1" t="s">
        <v>1898</v>
      </c>
      <c r="D1" t="s">
        <v>831</v>
      </c>
      <c r="E1" s="1" t="s">
        <v>25</v>
      </c>
      <c r="F1" t="s">
        <v>81</v>
      </c>
      <c r="G1" t="s">
        <v>340</v>
      </c>
      <c r="H1">
        <v>145</v>
      </c>
      <c r="J1" t="s">
        <v>135</v>
      </c>
      <c r="K1" t="s">
        <v>224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557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559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558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2:23" x14ac:dyDescent="0.3">
      <c r="B2" t="s">
        <v>1898</v>
      </c>
      <c r="D2" t="s">
        <v>831</v>
      </c>
      <c r="E2" t="s">
        <v>26</v>
      </c>
      <c r="F2" t="s">
        <v>82</v>
      </c>
      <c r="G2" t="s">
        <v>341</v>
      </c>
      <c r="H2">
        <v>15</v>
      </c>
      <c r="J2" t="s">
        <v>136</v>
      </c>
      <c r="K2" t="s">
        <v>225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557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559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558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2:23" x14ac:dyDescent="0.3">
      <c r="B3" t="s">
        <v>1898</v>
      </c>
      <c r="C3" t="s">
        <v>842</v>
      </c>
      <c r="D3" t="s">
        <v>831</v>
      </c>
      <c r="E3" t="s">
        <v>24</v>
      </c>
      <c r="F3" t="s">
        <v>83</v>
      </c>
      <c r="G3" t="s">
        <v>342</v>
      </c>
      <c r="H3">
        <v>90</v>
      </c>
      <c r="I3" t="s">
        <v>1756</v>
      </c>
      <c r="J3" t="s">
        <v>137</v>
      </c>
      <c r="K3" t="s">
        <v>226</v>
      </c>
      <c r="L3" t="str">
        <f t="shared" si="0"/>
        <v>'rfc' : r_val['rfc'],</v>
      </c>
      <c r="M3" t="str">
        <f t="shared" si="1"/>
        <v>'fachada': fachada,</v>
      </c>
      <c r="N3" t="s">
        <v>557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559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558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2:23" x14ac:dyDescent="0.3">
      <c r="B4" t="s">
        <v>1898</v>
      </c>
      <c r="C4" t="s">
        <v>842</v>
      </c>
      <c r="D4" t="s">
        <v>831</v>
      </c>
      <c r="E4" t="s">
        <v>27</v>
      </c>
      <c r="F4" t="s">
        <v>832</v>
      </c>
      <c r="G4" t="s">
        <v>343</v>
      </c>
      <c r="H4">
        <v>155</v>
      </c>
      <c r="I4" t="s">
        <v>1755</v>
      </c>
      <c r="J4" t="s">
        <v>138</v>
      </c>
      <c r="K4" t="s">
        <v>227</v>
      </c>
      <c r="L4" t="str">
        <f t="shared" si="0"/>
        <v>'codigo_gasolinera' : r_val['codigo_gasolinera'],</v>
      </c>
      <c r="M4" t="str">
        <f t="shared" si="1"/>
        <v>'mapa': mapa,</v>
      </c>
      <c r="N4" t="s">
        <v>557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559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558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2:23" x14ac:dyDescent="0.3">
      <c r="B5" t="s">
        <v>1898</v>
      </c>
      <c r="C5" s="8" t="s">
        <v>842</v>
      </c>
      <c r="D5" t="s">
        <v>831</v>
      </c>
      <c r="E5" t="s">
        <v>396</v>
      </c>
      <c r="F5" t="s">
        <v>397</v>
      </c>
      <c r="G5" t="s">
        <v>398</v>
      </c>
      <c r="H5">
        <v>50</v>
      </c>
      <c r="I5" t="s">
        <v>1756</v>
      </c>
      <c r="J5" t="s">
        <v>139</v>
      </c>
      <c r="K5" t="s">
        <v>228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557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559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558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2:23" x14ac:dyDescent="0.3">
      <c r="B6" t="s">
        <v>1898</v>
      </c>
      <c r="C6" t="s">
        <v>842</v>
      </c>
      <c r="D6" t="s">
        <v>831</v>
      </c>
      <c r="E6" t="s">
        <v>28</v>
      </c>
      <c r="F6" t="s">
        <v>84</v>
      </c>
      <c r="G6" t="s">
        <v>344</v>
      </c>
      <c r="H6">
        <v>50</v>
      </c>
      <c r="I6" t="s">
        <v>1756</v>
      </c>
      <c r="J6" t="s">
        <v>140</v>
      </c>
      <c r="K6" t="s">
        <v>229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557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559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558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2:23" x14ac:dyDescent="0.3">
      <c r="B7" t="s">
        <v>1898</v>
      </c>
      <c r="C7" t="s">
        <v>842</v>
      </c>
      <c r="D7" t="s">
        <v>831</v>
      </c>
      <c r="E7" t="s">
        <v>29</v>
      </c>
      <c r="F7" t="s">
        <v>85</v>
      </c>
      <c r="G7" t="s">
        <v>345</v>
      </c>
      <c r="H7">
        <v>50</v>
      </c>
      <c r="I7" t="s">
        <v>1756</v>
      </c>
      <c r="J7" t="s">
        <v>141</v>
      </c>
      <c r="K7" t="s">
        <v>230</v>
      </c>
      <c r="L7" t="str">
        <f t="shared" si="0"/>
        <v>'calle' : r_val['calle'],</v>
      </c>
      <c r="M7" t="str">
        <f t="shared" si="1"/>
        <v>'mueble2': mueble2,</v>
      </c>
      <c r="N7" t="s">
        <v>557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559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558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2:23" x14ac:dyDescent="0.3">
      <c r="D8" t="s">
        <v>831</v>
      </c>
      <c r="E8" t="s">
        <v>181</v>
      </c>
      <c r="F8" t="s">
        <v>401</v>
      </c>
      <c r="G8" t="s">
        <v>272</v>
      </c>
      <c r="H8">
        <v>50</v>
      </c>
      <c r="I8" t="s">
        <v>1756</v>
      </c>
      <c r="J8" t="s">
        <v>142</v>
      </c>
      <c r="K8" t="s">
        <v>231</v>
      </c>
      <c r="L8" t="str">
        <f t="shared" si="0"/>
        <v>'no_exterior' : r_val['no_exterior'],</v>
      </c>
      <c r="M8" t="str">
        <f t="shared" si="1"/>
        <v>'venteo': venteo,</v>
      </c>
      <c r="N8" t="s">
        <v>557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559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558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2:23" x14ac:dyDescent="0.3">
      <c r="D9" t="s">
        <v>831</v>
      </c>
      <c r="E9" t="s">
        <v>403</v>
      </c>
      <c r="F9" t="s">
        <v>404</v>
      </c>
      <c r="G9" t="s">
        <v>402</v>
      </c>
      <c r="H9">
        <v>50</v>
      </c>
      <c r="I9" t="s">
        <v>1756</v>
      </c>
      <c r="J9" t="s">
        <v>143</v>
      </c>
      <c r="K9" t="s">
        <v>232</v>
      </c>
      <c r="L9" t="str">
        <f t="shared" si="0"/>
        <v>'no_interior' : r_val['no_interior'],</v>
      </c>
      <c r="M9" t="str">
        <f t="shared" si="1"/>
        <v>'manguera': manguera,</v>
      </c>
      <c r="N9" t="s">
        <v>557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559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558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2:23" x14ac:dyDescent="0.3">
      <c r="B10" t="s">
        <v>1898</v>
      </c>
      <c r="C10" t="s">
        <v>842</v>
      </c>
      <c r="D10" t="s">
        <v>831</v>
      </c>
      <c r="E10" t="s">
        <v>30</v>
      </c>
      <c r="F10" t="s">
        <v>86</v>
      </c>
      <c r="G10" t="s">
        <v>346</v>
      </c>
      <c r="H10">
        <v>50</v>
      </c>
      <c r="I10" t="s">
        <v>1756</v>
      </c>
      <c r="J10" t="s">
        <v>144</v>
      </c>
      <c r="K10" t="s">
        <v>233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557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559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558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2:23" x14ac:dyDescent="0.3">
      <c r="B11" t="s">
        <v>1898</v>
      </c>
      <c r="C11" t="s">
        <v>842</v>
      </c>
      <c r="D11" t="s">
        <v>831</v>
      </c>
      <c r="E11" t="s">
        <v>31</v>
      </c>
      <c r="F11" t="s">
        <v>87</v>
      </c>
      <c r="G11" t="s">
        <v>347</v>
      </c>
      <c r="H11">
        <v>50</v>
      </c>
      <c r="I11" t="s">
        <v>1756</v>
      </c>
      <c r="J11" t="s">
        <v>145</v>
      </c>
      <c r="K11" t="s">
        <v>234</v>
      </c>
      <c r="L11" t="str">
        <f t="shared" si="0"/>
        <v>'municipio' : r_val['municipio'],</v>
      </c>
      <c r="M11" t="str">
        <f t="shared" si="1"/>
        <v>'banio': banio,</v>
      </c>
      <c r="N11" t="s">
        <v>557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559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558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2:23" x14ac:dyDescent="0.3">
      <c r="D12" t="s">
        <v>831</v>
      </c>
      <c r="E12" t="s">
        <v>405</v>
      </c>
      <c r="F12" t="s">
        <v>406</v>
      </c>
      <c r="G12" t="s">
        <v>407</v>
      </c>
      <c r="H12">
        <v>50</v>
      </c>
      <c r="I12" t="s">
        <v>1756</v>
      </c>
      <c r="J12" t="s">
        <v>146</v>
      </c>
      <c r="K12" t="s">
        <v>235</v>
      </c>
      <c r="L12" t="str">
        <f t="shared" si="0"/>
        <v>'estado' : r_val['estado'],</v>
      </c>
      <c r="M12" t="str">
        <f t="shared" si="1"/>
        <v>'cisterna': cisterna,</v>
      </c>
      <c r="N12" t="s">
        <v>557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559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558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2:23" x14ac:dyDescent="0.3">
      <c r="B13" t="s">
        <v>1898</v>
      </c>
      <c r="C13" t="s">
        <v>842</v>
      </c>
      <c r="D13" t="s">
        <v>831</v>
      </c>
      <c r="E13" t="s">
        <v>32</v>
      </c>
      <c r="F13" t="s">
        <v>833</v>
      </c>
      <c r="G13" t="s">
        <v>348</v>
      </c>
      <c r="H13">
        <v>155</v>
      </c>
      <c r="I13" t="s">
        <v>1755</v>
      </c>
      <c r="J13" t="s">
        <v>147</v>
      </c>
      <c r="K13" t="s">
        <v>236</v>
      </c>
      <c r="L13" t="str">
        <f t="shared" si="0"/>
        <v>'codigo_postal' : r_val['codigo_postal'],</v>
      </c>
      <c r="M13" t="str">
        <f t="shared" si="1"/>
        <v>'sismo': sismo,</v>
      </c>
      <c r="N13" t="s">
        <v>557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559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558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2:23" x14ac:dyDescent="0.3">
      <c r="B14" t="s">
        <v>1898</v>
      </c>
      <c r="C14" t="s">
        <v>842</v>
      </c>
      <c r="D14" t="s">
        <v>831</v>
      </c>
      <c r="E14" t="s">
        <v>33</v>
      </c>
      <c r="F14" t="s">
        <v>834</v>
      </c>
      <c r="G14" t="s">
        <v>349</v>
      </c>
      <c r="H14">
        <v>155</v>
      </c>
      <c r="I14" t="s">
        <v>1755</v>
      </c>
      <c r="J14" t="s">
        <v>148</v>
      </c>
      <c r="K14" t="s">
        <v>237</v>
      </c>
      <c r="L14" t="str">
        <f t="shared" si="0"/>
        <v>'telefono' : r_val['telefono'],</v>
      </c>
      <c r="M14" t="str">
        <f t="shared" si="1"/>
        <v>'inundacion': inundacion,</v>
      </c>
      <c r="N14" t="s">
        <v>557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559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558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2:23" x14ac:dyDescent="0.3">
      <c r="B15" t="s">
        <v>1898</v>
      </c>
      <c r="D15" t="s">
        <v>831</v>
      </c>
      <c r="E15" t="s">
        <v>34</v>
      </c>
      <c r="F15" t="s">
        <v>835</v>
      </c>
      <c r="G15" t="s">
        <v>350</v>
      </c>
      <c r="H15">
        <v>155</v>
      </c>
      <c r="I15" t="s">
        <v>1755</v>
      </c>
      <c r="J15" t="s">
        <v>149</v>
      </c>
      <c r="K15" t="s">
        <v>238</v>
      </c>
      <c r="L15" t="str">
        <f t="shared" si="0"/>
        <v>'email' : r_val['email'],</v>
      </c>
      <c r="M15" t="str">
        <f t="shared" si="1"/>
        <v>'torm_elect': torm_elect,</v>
      </c>
      <c r="N15" t="s">
        <v>557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559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558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2:23" x14ac:dyDescent="0.3">
      <c r="B16" t="s">
        <v>1898</v>
      </c>
      <c r="C16" t="s">
        <v>842</v>
      </c>
      <c r="D16" t="s">
        <v>831</v>
      </c>
      <c r="E16" t="s">
        <v>35</v>
      </c>
      <c r="F16" t="s">
        <v>836</v>
      </c>
      <c r="G16" t="s">
        <v>351</v>
      </c>
      <c r="H16">
        <v>155</v>
      </c>
      <c r="I16" t="s">
        <v>1755</v>
      </c>
      <c r="J16" t="s">
        <v>150</v>
      </c>
      <c r="K16" t="s">
        <v>239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557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559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558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2:23" x14ac:dyDescent="0.3">
      <c r="B17" t="s">
        <v>1898</v>
      </c>
      <c r="C17" t="s">
        <v>842</v>
      </c>
      <c r="D17" t="s">
        <v>831</v>
      </c>
      <c r="E17" t="s">
        <v>36</v>
      </c>
      <c r="F17" t="s">
        <v>837</v>
      </c>
      <c r="G17" t="s">
        <v>352</v>
      </c>
      <c r="H17">
        <v>155</v>
      </c>
      <c r="I17" t="s">
        <v>1755</v>
      </c>
      <c r="J17" t="s">
        <v>151</v>
      </c>
      <c r="K17" t="s">
        <v>240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557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559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558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2:23" x14ac:dyDescent="0.3">
      <c r="B18" t="s">
        <v>1898</v>
      </c>
      <c r="D18" t="s">
        <v>831</v>
      </c>
      <c r="E18" t="s">
        <v>37</v>
      </c>
      <c r="F18" t="s">
        <v>841</v>
      </c>
      <c r="G18" t="s">
        <v>353</v>
      </c>
      <c r="H18">
        <v>155</v>
      </c>
      <c r="I18" t="s">
        <v>1755</v>
      </c>
      <c r="J18" t="s">
        <v>152</v>
      </c>
      <c r="K18" t="s">
        <v>241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557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559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558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2:23" x14ac:dyDescent="0.3">
      <c r="B19" t="s">
        <v>1898</v>
      </c>
      <c r="C19" t="s">
        <v>842</v>
      </c>
      <c r="D19" t="s">
        <v>831</v>
      </c>
      <c r="E19" t="s">
        <v>38</v>
      </c>
      <c r="F19" t="s">
        <v>88</v>
      </c>
      <c r="G19" t="s">
        <v>354</v>
      </c>
      <c r="H19">
        <v>50</v>
      </c>
      <c r="I19" t="s">
        <v>1756</v>
      </c>
      <c r="J19" t="s">
        <v>153</v>
      </c>
      <c r="K19" t="s">
        <v>242</v>
      </c>
      <c r="L19" t="str">
        <f t="shared" si="0"/>
        <v>'mod_arquitect' : r_val['mod_arquitect'],</v>
      </c>
      <c r="M19" t="str">
        <f t="shared" si="1"/>
        <v>'ext1': ext1,</v>
      </c>
      <c r="N19" t="s">
        <v>557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559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558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2:23" x14ac:dyDescent="0.3">
      <c r="B20" t="s">
        <v>1898</v>
      </c>
      <c r="D20" t="s">
        <v>831</v>
      </c>
      <c r="E20" t="s">
        <v>39</v>
      </c>
      <c r="F20" t="s">
        <v>89</v>
      </c>
      <c r="G20" t="s">
        <v>355</v>
      </c>
      <c r="H20">
        <v>50</v>
      </c>
      <c r="I20" t="s">
        <v>1756</v>
      </c>
      <c r="J20" t="s">
        <v>154</v>
      </c>
      <c r="K20" t="s">
        <v>243</v>
      </c>
      <c r="L20" t="str">
        <f t="shared" si="0"/>
        <v>'terreno_m2' : r_val['terreno_m2'],</v>
      </c>
      <c r="M20" t="str">
        <f t="shared" si="1"/>
        <v>'ext2': ext2,</v>
      </c>
      <c r="N20" t="s">
        <v>557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559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558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2:23" x14ac:dyDescent="0.3">
      <c r="B21" t="s">
        <v>1898</v>
      </c>
      <c r="D21" t="s">
        <v>831</v>
      </c>
      <c r="E21" t="s">
        <v>40</v>
      </c>
      <c r="F21" t="s">
        <v>90</v>
      </c>
      <c r="G21" t="s">
        <v>356</v>
      </c>
      <c r="H21">
        <v>50</v>
      </c>
      <c r="I21" t="s">
        <v>1756</v>
      </c>
      <c r="J21" t="s">
        <v>155</v>
      </c>
      <c r="K21" t="s">
        <v>244</v>
      </c>
      <c r="L21" t="str">
        <f t="shared" si="0"/>
        <v>'construccion_m2' : r_val['construccion_m2'],</v>
      </c>
      <c r="M21" t="str">
        <f t="shared" si="1"/>
        <v>'ext3': ext3,</v>
      </c>
      <c r="N21" t="s">
        <v>557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559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558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2:23" x14ac:dyDescent="0.3">
      <c r="B22" t="s">
        <v>1898</v>
      </c>
      <c r="D22" t="s">
        <v>831</v>
      </c>
      <c r="E22" t="s">
        <v>41</v>
      </c>
      <c r="F22" t="s">
        <v>91</v>
      </c>
      <c r="G22" t="s">
        <v>357</v>
      </c>
      <c r="H22">
        <v>50</v>
      </c>
      <c r="I22" t="s">
        <v>1756</v>
      </c>
      <c r="J22" t="s">
        <v>156</v>
      </c>
      <c r="K22" t="s">
        <v>245</v>
      </c>
      <c r="L22" t="str">
        <f t="shared" si="0"/>
        <v>'edificios' : r_val['edificios'],</v>
      </c>
      <c r="M22" t="str">
        <f t="shared" si="1"/>
        <v>'ext4': ext4,</v>
      </c>
      <c r="N22" t="s">
        <v>557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559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558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2:23" x14ac:dyDescent="0.3">
      <c r="B23" t="s">
        <v>1898</v>
      </c>
      <c r="C23" t="s">
        <v>842</v>
      </c>
      <c r="D23" t="s">
        <v>831</v>
      </c>
      <c r="E23" t="s">
        <v>42</v>
      </c>
      <c r="F23" t="s">
        <v>92</v>
      </c>
      <c r="G23" t="s">
        <v>266</v>
      </c>
      <c r="H23">
        <v>50</v>
      </c>
      <c r="I23" t="s">
        <v>1756</v>
      </c>
      <c r="J23" t="s">
        <v>157</v>
      </c>
      <c r="K23" t="s">
        <v>246</v>
      </c>
      <c r="L23" t="str">
        <f t="shared" si="0"/>
        <v>'niveles' : r_val['niveles'],</v>
      </c>
      <c r="M23" t="str">
        <f t="shared" si="1"/>
        <v>'botiquin': botiquin,</v>
      </c>
      <c r="N23" t="s">
        <v>557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559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558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2:23" x14ac:dyDescent="0.3">
      <c r="B24" t="s">
        <v>1898</v>
      </c>
      <c r="C24" t="s">
        <v>842</v>
      </c>
      <c r="D24" t="s">
        <v>831</v>
      </c>
      <c r="E24" t="s">
        <v>43</v>
      </c>
      <c r="F24" t="s">
        <v>93</v>
      </c>
      <c r="G24" t="s">
        <v>358</v>
      </c>
      <c r="H24">
        <v>50</v>
      </c>
      <c r="I24" t="s">
        <v>1756</v>
      </c>
      <c r="J24" t="s">
        <v>158</v>
      </c>
      <c r="K24" t="s">
        <v>247</v>
      </c>
      <c r="L24" t="str">
        <f t="shared" si="0"/>
        <v>'accesos' : r_val['accesos'],</v>
      </c>
      <c r="M24" t="str">
        <f t="shared" si="1"/>
        <v>'ruta1': ruta1,</v>
      </c>
      <c r="N24" t="s">
        <v>557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559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558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2:23" x14ac:dyDescent="0.3">
      <c r="B25" t="s">
        <v>1898</v>
      </c>
      <c r="C25" t="s">
        <v>842</v>
      </c>
      <c r="D25" t="s">
        <v>831</v>
      </c>
      <c r="E25" t="s">
        <v>44</v>
      </c>
      <c r="F25" t="s">
        <v>94</v>
      </c>
      <c r="G25" t="s">
        <v>359</v>
      </c>
      <c r="H25">
        <v>50</v>
      </c>
      <c r="I25" t="s">
        <v>1756</v>
      </c>
      <c r="J25" t="s">
        <v>159</v>
      </c>
      <c r="K25" t="s">
        <v>248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557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559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558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2:23" x14ac:dyDescent="0.3">
      <c r="B26" t="s">
        <v>1898</v>
      </c>
      <c r="D26" t="s">
        <v>831</v>
      </c>
      <c r="E26" t="s">
        <v>339</v>
      </c>
      <c r="F26" t="s">
        <v>95</v>
      </c>
      <c r="G26" t="s">
        <v>360</v>
      </c>
      <c r="H26">
        <v>50</v>
      </c>
      <c r="I26" t="s">
        <v>1756</v>
      </c>
      <c r="J26" t="s">
        <v>5</v>
      </c>
      <c r="K26" t="s">
        <v>249</v>
      </c>
      <c r="L26" t="str">
        <f t="shared" si="0"/>
        <v>'escaleras' : r_val['escaleras'],</v>
      </c>
      <c r="M26" t="str">
        <f t="shared" si="1"/>
        <v>'ruta3': ruta3,</v>
      </c>
      <c r="N26" t="s">
        <v>557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559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558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2:23" x14ac:dyDescent="0.3">
      <c r="B27" t="s">
        <v>1898</v>
      </c>
      <c r="D27" t="s">
        <v>831</v>
      </c>
      <c r="E27" t="s">
        <v>45</v>
      </c>
      <c r="F27" t="s">
        <v>96</v>
      </c>
      <c r="G27" t="s">
        <v>361</v>
      </c>
      <c r="H27">
        <v>50</v>
      </c>
      <c r="I27" t="s">
        <v>1756</v>
      </c>
      <c r="J27" t="s">
        <v>160</v>
      </c>
      <c r="K27" t="s">
        <v>250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557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559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558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2:23" x14ac:dyDescent="0.3">
      <c r="B28" t="s">
        <v>1898</v>
      </c>
      <c r="C28" t="s">
        <v>842</v>
      </c>
      <c r="D28" t="s">
        <v>831</v>
      </c>
      <c r="E28" t="s">
        <v>46</v>
      </c>
      <c r="F28" t="s">
        <v>97</v>
      </c>
      <c r="G28" t="s">
        <v>276</v>
      </c>
      <c r="H28">
        <v>50</v>
      </c>
      <c r="I28" t="s">
        <v>1756</v>
      </c>
      <c r="J28" t="s">
        <v>161</v>
      </c>
      <c r="K28" t="s">
        <v>251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557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559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558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2:23" x14ac:dyDescent="0.3">
      <c r="B29" t="s">
        <v>1898</v>
      </c>
      <c r="D29" t="s">
        <v>831</v>
      </c>
      <c r="E29" t="s">
        <v>47</v>
      </c>
      <c r="F29" t="s">
        <v>98</v>
      </c>
      <c r="G29" t="s">
        <v>362</v>
      </c>
      <c r="H29">
        <v>50</v>
      </c>
      <c r="I29" t="s">
        <v>1756</v>
      </c>
      <c r="J29" t="s">
        <v>162</v>
      </c>
      <c r="K29" t="s">
        <v>252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557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559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558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2:23" x14ac:dyDescent="0.3">
      <c r="B30" t="s">
        <v>1898</v>
      </c>
      <c r="D30" t="s">
        <v>831</v>
      </c>
      <c r="E30" t="s">
        <v>48</v>
      </c>
      <c r="F30" t="s">
        <v>99</v>
      </c>
      <c r="G30" t="s">
        <v>363</v>
      </c>
      <c r="H30">
        <v>50</v>
      </c>
      <c r="I30" t="s">
        <v>1756</v>
      </c>
      <c r="J30" t="s">
        <v>163</v>
      </c>
      <c r="K30" t="s">
        <v>253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557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559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558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2:23" x14ac:dyDescent="0.3">
      <c r="B31" t="s">
        <v>1898</v>
      </c>
      <c r="D31" t="s">
        <v>831</v>
      </c>
      <c r="E31" t="s">
        <v>49</v>
      </c>
      <c r="F31" t="s">
        <v>100</v>
      </c>
      <c r="G31" t="s">
        <v>364</v>
      </c>
      <c r="H31">
        <v>50</v>
      </c>
      <c r="I31" t="s">
        <v>1756</v>
      </c>
      <c r="J31" t="s">
        <v>164</v>
      </c>
      <c r="K31" t="s">
        <v>254</v>
      </c>
      <c r="L31" t="str">
        <f t="shared" si="0"/>
        <v>'trabajadores' : r_val['trabajadores'],</v>
      </c>
      <c r="M31" t="str">
        <f t="shared" si="1"/>
        <v>'prohib3': prohib3,</v>
      </c>
      <c r="N31" t="s">
        <v>557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559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558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2:23" x14ac:dyDescent="0.3">
      <c r="B32" t="s">
        <v>1898</v>
      </c>
      <c r="D32" t="s">
        <v>831</v>
      </c>
      <c r="E32" t="s">
        <v>50</v>
      </c>
      <c r="F32" t="s">
        <v>101</v>
      </c>
      <c r="G32" t="s">
        <v>365</v>
      </c>
      <c r="H32">
        <v>50</v>
      </c>
      <c r="I32" t="s">
        <v>1756</v>
      </c>
      <c r="J32" t="s">
        <v>165</v>
      </c>
      <c r="K32" t="s">
        <v>255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557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559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558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2:23" x14ac:dyDescent="0.3">
      <c r="B33" t="s">
        <v>1898</v>
      </c>
      <c r="C33" t="s">
        <v>842</v>
      </c>
      <c r="D33" t="s">
        <v>831</v>
      </c>
      <c r="E33" t="s">
        <v>51</v>
      </c>
      <c r="F33" t="s">
        <v>102</v>
      </c>
      <c r="G33" t="s">
        <v>366</v>
      </c>
      <c r="H33">
        <v>155</v>
      </c>
      <c r="I33" t="s">
        <v>1755</v>
      </c>
      <c r="J33" t="s">
        <v>166</v>
      </c>
      <c r="K33" t="s">
        <v>256</v>
      </c>
      <c r="L33" t="str">
        <f t="shared" si="0"/>
        <v>'hombres' : r_val['hombres'],</v>
      </c>
      <c r="M33" t="str">
        <f t="shared" si="1"/>
        <v>'layout': layout,</v>
      </c>
      <c r="N33" t="s">
        <v>557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559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558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2:23" x14ac:dyDescent="0.3">
      <c r="B34" t="s">
        <v>1898</v>
      </c>
      <c r="C34" t="s">
        <v>842</v>
      </c>
      <c r="D34" t="s">
        <v>831</v>
      </c>
      <c r="E34" t="s">
        <v>52</v>
      </c>
      <c r="F34" t="s">
        <v>103</v>
      </c>
      <c r="G34" t="s">
        <v>367</v>
      </c>
      <c r="H34">
        <v>60</v>
      </c>
      <c r="I34" t="s">
        <v>1756</v>
      </c>
      <c r="J34" t="s">
        <v>167</v>
      </c>
      <c r="K34" t="s">
        <v>257</v>
      </c>
      <c r="L34" t="str">
        <f t="shared" si="0"/>
        <v>'mujeres' : r_val['mujeres'],</v>
      </c>
      <c r="M34" t="str">
        <f t="shared" si="1"/>
        <v>'cap1': cap1,</v>
      </c>
      <c r="N34" t="s">
        <v>557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559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558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2:23" x14ac:dyDescent="0.3">
      <c r="B35" t="s">
        <v>1898</v>
      </c>
      <c r="C35" t="s">
        <v>842</v>
      </c>
      <c r="D35" t="s">
        <v>831</v>
      </c>
      <c r="E35" t="s">
        <v>53</v>
      </c>
      <c r="F35" t="s">
        <v>104</v>
      </c>
      <c r="G35" t="s">
        <v>368</v>
      </c>
      <c r="H35">
        <v>60</v>
      </c>
      <c r="I35" t="s">
        <v>1756</v>
      </c>
      <c r="J35" t="s">
        <v>168</v>
      </c>
      <c r="K35" t="s">
        <v>258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557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559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558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2:23" x14ac:dyDescent="0.3">
      <c r="B36" t="s">
        <v>1898</v>
      </c>
      <c r="C36" t="s">
        <v>842</v>
      </c>
      <c r="D36" t="s">
        <v>831</v>
      </c>
      <c r="E36" t="s">
        <v>54</v>
      </c>
      <c r="F36" t="s">
        <v>105</v>
      </c>
      <c r="G36" t="s">
        <v>369</v>
      </c>
      <c r="H36">
        <v>60</v>
      </c>
      <c r="I36" t="s">
        <v>1756</v>
      </c>
      <c r="J36" t="s">
        <v>169</v>
      </c>
      <c r="K36" t="s">
        <v>259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557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559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558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2:23" x14ac:dyDescent="0.3">
      <c r="B37" t="s">
        <v>1898</v>
      </c>
      <c r="C37" t="s">
        <v>842</v>
      </c>
      <c r="D37" t="s">
        <v>831</v>
      </c>
      <c r="E37" t="s">
        <v>55</v>
      </c>
      <c r="F37" t="s">
        <v>106</v>
      </c>
      <c r="G37" t="s">
        <v>370</v>
      </c>
      <c r="H37">
        <v>60</v>
      </c>
      <c r="I37" t="s">
        <v>1756</v>
      </c>
      <c r="J37" t="s">
        <v>170</v>
      </c>
      <c r="K37" t="s">
        <v>260</v>
      </c>
      <c r="L37" t="str">
        <f t="shared" si="0"/>
        <v>'turnos' : r_val['turnos'],</v>
      </c>
      <c r="M37" t="str">
        <f t="shared" si="1"/>
        <v>'cap4': cap4,</v>
      </c>
      <c r="N37" t="s">
        <v>557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559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558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2:23" x14ac:dyDescent="0.3">
      <c r="B38" t="s">
        <v>1898</v>
      </c>
      <c r="C38" t="s">
        <v>842</v>
      </c>
      <c r="D38" t="s">
        <v>831</v>
      </c>
      <c r="E38" t="s">
        <v>56</v>
      </c>
      <c r="F38" t="s">
        <v>107</v>
      </c>
      <c r="G38" t="s">
        <v>371</v>
      </c>
      <c r="H38">
        <v>60</v>
      </c>
      <c r="I38" t="s">
        <v>1756</v>
      </c>
      <c r="J38" t="s">
        <v>171</v>
      </c>
      <c r="K38" t="s">
        <v>261</v>
      </c>
      <c r="L38" t="str">
        <f t="shared" si="0"/>
        <v>'visitantes' : r_val['visitantes'],</v>
      </c>
      <c r="M38" t="str">
        <f t="shared" si="1"/>
        <v>'cap5': cap5,</v>
      </c>
      <c r="N38" t="s">
        <v>557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559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558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2:23" x14ac:dyDescent="0.3">
      <c r="B39" t="s">
        <v>1898</v>
      </c>
      <c r="C39" t="s">
        <v>842</v>
      </c>
      <c r="D39" t="s">
        <v>831</v>
      </c>
      <c r="E39" t="s">
        <v>57</v>
      </c>
      <c r="F39" t="s">
        <v>108</v>
      </c>
      <c r="G39" t="s">
        <v>372</v>
      </c>
      <c r="H39">
        <v>60</v>
      </c>
      <c r="I39" t="s">
        <v>1756</v>
      </c>
      <c r="J39" t="s">
        <v>172</v>
      </c>
      <c r="K39" t="s">
        <v>262</v>
      </c>
      <c r="L39" t="str">
        <f t="shared" si="0"/>
        <v>'proveedores' : r_val['proveedores'],</v>
      </c>
      <c r="M39" t="str">
        <f t="shared" si="1"/>
        <v>'cap6': cap6,</v>
      </c>
      <c r="N39" t="s">
        <v>557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559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558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2:23" x14ac:dyDescent="0.3">
      <c r="B40" t="s">
        <v>1898</v>
      </c>
      <c r="C40" t="s">
        <v>842</v>
      </c>
      <c r="D40" t="s">
        <v>831</v>
      </c>
      <c r="E40" t="s">
        <v>58</v>
      </c>
      <c r="F40" t="s">
        <v>109</v>
      </c>
      <c r="G40" t="s">
        <v>373</v>
      </c>
      <c r="H40">
        <v>60</v>
      </c>
      <c r="I40" t="s">
        <v>1756</v>
      </c>
      <c r="J40" t="s">
        <v>173</v>
      </c>
      <c r="K40" t="s">
        <v>263</v>
      </c>
      <c r="L40" t="str">
        <f t="shared" si="0"/>
        <v>'dias' : r_val['dias'],</v>
      </c>
      <c r="M40" t="str">
        <f t="shared" si="1"/>
        <v>'cap7': cap7,</v>
      </c>
      <c r="N40" t="s">
        <v>557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559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558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2:23" x14ac:dyDescent="0.3">
      <c r="B41" t="s">
        <v>1898</v>
      </c>
      <c r="C41" t="s">
        <v>842</v>
      </c>
      <c r="D41" t="s">
        <v>831</v>
      </c>
      <c r="E41" t="s">
        <v>59</v>
      </c>
      <c r="F41" t="s">
        <v>110</v>
      </c>
      <c r="G41" t="s">
        <v>374</v>
      </c>
      <c r="H41">
        <v>60</v>
      </c>
      <c r="I41" t="s">
        <v>1756</v>
      </c>
      <c r="J41" t="s">
        <v>174</v>
      </c>
      <c r="K41" t="s">
        <v>264</v>
      </c>
      <c r="L41" t="str">
        <f t="shared" si="0"/>
        <v>'horario' : r_val['horario'],</v>
      </c>
      <c r="M41" t="str">
        <f t="shared" si="1"/>
        <v>'cap8': cap8,</v>
      </c>
      <c r="N41" t="s">
        <v>557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559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558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2:23" x14ac:dyDescent="0.3">
      <c r="B42" t="s">
        <v>1898</v>
      </c>
      <c r="C42" t="s">
        <v>842</v>
      </c>
      <c r="D42" t="s">
        <v>831</v>
      </c>
      <c r="E42" t="s">
        <v>60</v>
      </c>
      <c r="F42" t="s">
        <v>111</v>
      </c>
      <c r="G42" t="s">
        <v>375</v>
      </c>
      <c r="H42">
        <v>60</v>
      </c>
      <c r="I42" t="s">
        <v>1756</v>
      </c>
      <c r="J42" t="s">
        <v>175</v>
      </c>
      <c r="K42" t="s">
        <v>265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557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559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558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2:23" x14ac:dyDescent="0.3">
      <c r="B43" t="s">
        <v>1898</v>
      </c>
      <c r="C43" t="s">
        <v>842</v>
      </c>
      <c r="D43" t="s">
        <v>831</v>
      </c>
      <c r="E43" t="s">
        <v>61</v>
      </c>
      <c r="F43" t="s">
        <v>112</v>
      </c>
      <c r="G43" t="s">
        <v>376</v>
      </c>
      <c r="H43">
        <v>60</v>
      </c>
      <c r="I43" t="s">
        <v>1756</v>
      </c>
      <c r="J43" t="s">
        <v>410</v>
      </c>
      <c r="K43" t="s">
        <v>266</v>
      </c>
      <c r="L43" t="str">
        <f t="shared" si="0"/>
        <v>'botiquin_emer' : r_val['botiquin_emer'],</v>
      </c>
      <c r="M43" t="str">
        <f t="shared" si="1"/>
        <v>'cap10': cap10,</v>
      </c>
      <c r="N43" t="s">
        <v>557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559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558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2:23" x14ac:dyDescent="0.3">
      <c r="B44" t="s">
        <v>1898</v>
      </c>
      <c r="C44" t="s">
        <v>842</v>
      </c>
      <c r="D44" t="s">
        <v>831</v>
      </c>
      <c r="E44" t="s">
        <v>62</v>
      </c>
      <c r="F44" t="s">
        <v>113</v>
      </c>
      <c r="G44" t="s">
        <v>377</v>
      </c>
      <c r="H44">
        <v>60</v>
      </c>
      <c r="I44" t="s">
        <v>1756</v>
      </c>
      <c r="J44" t="s">
        <v>176</v>
      </c>
      <c r="K44" t="s">
        <v>267</v>
      </c>
      <c r="L44" t="str">
        <f t="shared" si="0"/>
        <v>'ubicación_bot' : r_val['ubicación_bot'],</v>
      </c>
      <c r="M44" t="str">
        <f t="shared" si="1"/>
        <v>'cap11': cap11,</v>
      </c>
      <c r="N44" t="s">
        <v>557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559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558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2:23" x14ac:dyDescent="0.3">
      <c r="B45" t="s">
        <v>1898</v>
      </c>
      <c r="C45" t="s">
        <v>842</v>
      </c>
      <c r="D45" t="s">
        <v>831</v>
      </c>
      <c r="E45" t="s">
        <v>63</v>
      </c>
      <c r="F45" t="s">
        <v>114</v>
      </c>
      <c r="G45" t="s">
        <v>378</v>
      </c>
      <c r="H45">
        <v>60</v>
      </c>
      <c r="I45" t="s">
        <v>1756</v>
      </c>
      <c r="J45" t="s">
        <v>177</v>
      </c>
      <c r="K45" t="s">
        <v>268</v>
      </c>
      <c r="L45" t="str">
        <f t="shared" si="0"/>
        <v>'extintor' : r_val['extintor'],</v>
      </c>
      <c r="M45" t="str">
        <f t="shared" si="1"/>
        <v>'cap12': cap12,</v>
      </c>
      <c r="N45" t="s">
        <v>557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559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558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2:23" x14ac:dyDescent="0.3">
      <c r="B46" t="s">
        <v>1898</v>
      </c>
      <c r="C46" t="s">
        <v>842</v>
      </c>
      <c r="D46" t="s">
        <v>831</v>
      </c>
      <c r="E46" t="s">
        <v>64</v>
      </c>
      <c r="F46" t="s">
        <v>115</v>
      </c>
      <c r="G46" t="s">
        <v>379</v>
      </c>
      <c r="H46">
        <v>60</v>
      </c>
      <c r="I46" t="s">
        <v>1756</v>
      </c>
      <c r="J46" t="s">
        <v>178</v>
      </c>
      <c r="K46" t="s">
        <v>269</v>
      </c>
      <c r="L46" t="str">
        <f t="shared" si="0"/>
        <v>'ubicación_ext' : r_val['ubicación_ext'],</v>
      </c>
      <c r="M46" t="str">
        <f t="shared" si="1"/>
        <v>'sim1': sim1,</v>
      </c>
      <c r="N46" t="s">
        <v>557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559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558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2:23" x14ac:dyDescent="0.3">
      <c r="B47" t="s">
        <v>1898</v>
      </c>
      <c r="C47" t="s">
        <v>842</v>
      </c>
      <c r="D47" t="s">
        <v>831</v>
      </c>
      <c r="E47" t="s">
        <v>65</v>
      </c>
      <c r="F47" t="s">
        <v>116</v>
      </c>
      <c r="G47" t="s">
        <v>380</v>
      </c>
      <c r="H47">
        <v>60</v>
      </c>
      <c r="I47" t="s">
        <v>1756</v>
      </c>
      <c r="J47" t="s">
        <v>696</v>
      </c>
      <c r="K47" t="s">
        <v>698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557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559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558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2:23" x14ac:dyDescent="0.3">
      <c r="B48" t="s">
        <v>1898</v>
      </c>
      <c r="C48" t="s">
        <v>842</v>
      </c>
      <c r="D48" t="s">
        <v>831</v>
      </c>
      <c r="E48" t="s">
        <v>66</v>
      </c>
      <c r="F48" t="s">
        <v>117</v>
      </c>
      <c r="G48" t="s">
        <v>381</v>
      </c>
      <c r="H48">
        <v>60</v>
      </c>
      <c r="I48" t="s">
        <v>1756</v>
      </c>
      <c r="J48" t="s">
        <v>697</v>
      </c>
      <c r="K48" t="s">
        <v>699</v>
      </c>
      <c r="L48" t="str">
        <f t="shared" si="9"/>
        <v>'ext_co2' : r_val['ext_co2'],</v>
      </c>
      <c r="M48" t="str">
        <f t="shared" si="1"/>
        <v>'sim3': sim3,</v>
      </c>
      <c r="N48" t="s">
        <v>557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559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558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2:23" x14ac:dyDescent="0.3">
      <c r="B49" t="s">
        <v>1898</v>
      </c>
      <c r="C49" t="s">
        <v>842</v>
      </c>
      <c r="D49" t="s">
        <v>831</v>
      </c>
      <c r="E49" t="s">
        <v>67</v>
      </c>
      <c r="F49" t="s">
        <v>118</v>
      </c>
      <c r="G49" t="s">
        <v>382</v>
      </c>
      <c r="H49">
        <v>60</v>
      </c>
      <c r="I49" t="s">
        <v>1756</v>
      </c>
      <c r="J49" t="s">
        <v>179</v>
      </c>
      <c r="K49" t="s">
        <v>270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557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559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558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2:23" x14ac:dyDescent="0.3">
      <c r="B50" t="s">
        <v>1898</v>
      </c>
      <c r="C50" t="s">
        <v>842</v>
      </c>
      <c r="D50" t="s">
        <v>831</v>
      </c>
      <c r="E50" t="s">
        <v>68</v>
      </c>
      <c r="F50" t="s">
        <v>119</v>
      </c>
      <c r="G50" t="s">
        <v>383</v>
      </c>
      <c r="H50">
        <v>60</v>
      </c>
      <c r="I50" t="s">
        <v>1756</v>
      </c>
      <c r="J50" t="s">
        <v>180</v>
      </c>
      <c r="K50" t="s">
        <v>271</v>
      </c>
      <c r="L50" t="str">
        <f t="shared" si="9"/>
        <v>'ubicación_pe' : r_val['ubicación_pe'],</v>
      </c>
      <c r="M50" t="str">
        <f t="shared" si="1"/>
        <v>'sim5': sim5,</v>
      </c>
      <c r="N50" t="s">
        <v>557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559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558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2:23" x14ac:dyDescent="0.3">
      <c r="B51" t="s">
        <v>1898</v>
      </c>
      <c r="C51" t="s">
        <v>842</v>
      </c>
      <c r="D51" t="s">
        <v>831</v>
      </c>
      <c r="E51" t="s">
        <v>69</v>
      </c>
      <c r="F51" t="s">
        <v>120</v>
      </c>
      <c r="G51" t="s">
        <v>384</v>
      </c>
      <c r="H51">
        <v>60</v>
      </c>
      <c r="I51" t="s">
        <v>1756</v>
      </c>
      <c r="J51" t="s">
        <v>399</v>
      </c>
      <c r="K51" t="s">
        <v>400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557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559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558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2:23" x14ac:dyDescent="0.3">
      <c r="B52" t="s">
        <v>1898</v>
      </c>
      <c r="C52" t="s">
        <v>842</v>
      </c>
      <c r="D52" t="s">
        <v>831</v>
      </c>
      <c r="E52" t="s">
        <v>70</v>
      </c>
      <c r="F52" t="s">
        <v>121</v>
      </c>
      <c r="G52" t="s">
        <v>385</v>
      </c>
      <c r="H52">
        <v>60</v>
      </c>
      <c r="I52" t="s">
        <v>1756</v>
      </c>
      <c r="J52" t="s">
        <v>182</v>
      </c>
      <c r="K52" t="s">
        <v>273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557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559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558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2:23" x14ac:dyDescent="0.3">
      <c r="B53" t="s">
        <v>1898</v>
      </c>
      <c r="C53" t="s">
        <v>842</v>
      </c>
      <c r="D53" t="s">
        <v>831</v>
      </c>
      <c r="E53" t="s">
        <v>71</v>
      </c>
      <c r="F53" t="s">
        <v>122</v>
      </c>
      <c r="G53" t="s">
        <v>386</v>
      </c>
      <c r="H53">
        <v>50</v>
      </c>
      <c r="I53" t="s">
        <v>1756</v>
      </c>
      <c r="J53" t="s">
        <v>411</v>
      </c>
      <c r="K53" t="s">
        <v>412</v>
      </c>
      <c r="L53" t="str">
        <f t="shared" si="9"/>
        <v>'planta_emer' : r_val['planta_emer'],</v>
      </c>
      <c r="M53" t="str">
        <f t="shared" si="1"/>
        <v>'pisos': pisos,</v>
      </c>
      <c r="N53" t="s">
        <v>557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559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558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2:23" x14ac:dyDescent="0.3">
      <c r="B54" t="s">
        <v>1898</v>
      </c>
      <c r="C54" t="s">
        <v>842</v>
      </c>
      <c r="E54" t="s">
        <v>72</v>
      </c>
      <c r="F54" t="s">
        <v>123</v>
      </c>
      <c r="G54" t="s">
        <v>387</v>
      </c>
      <c r="H54">
        <v>50</v>
      </c>
      <c r="I54" t="s">
        <v>1756</v>
      </c>
      <c r="J54" t="s">
        <v>183</v>
      </c>
      <c r="K54" t="s">
        <v>275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557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559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558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2:23" x14ac:dyDescent="0.3">
      <c r="C55" t="s">
        <v>842</v>
      </c>
      <c r="E55" t="s">
        <v>73</v>
      </c>
      <c r="F55" t="s">
        <v>124</v>
      </c>
      <c r="G55" t="s">
        <v>388</v>
      </c>
      <c r="H55">
        <v>50</v>
      </c>
      <c r="I55" t="s">
        <v>1756</v>
      </c>
      <c r="J55" t="s">
        <v>408</v>
      </c>
      <c r="K55" t="s">
        <v>409</v>
      </c>
      <c r="L55" t="str">
        <f t="shared" si="9"/>
        <v>'met_alarma' : r_val['met_alarma'],</v>
      </c>
      <c r="M55" t="str">
        <f t="shared" si="1"/>
        <v>'estantes': estantes,</v>
      </c>
      <c r="N55" t="s">
        <v>557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559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558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2:23" x14ac:dyDescent="0.3">
      <c r="C56" t="s">
        <v>842</v>
      </c>
      <c r="D56" t="s">
        <v>831</v>
      </c>
      <c r="E56" t="s">
        <v>14</v>
      </c>
      <c r="F56" t="s">
        <v>125</v>
      </c>
      <c r="G56" t="s">
        <v>294</v>
      </c>
      <c r="H56">
        <v>50</v>
      </c>
      <c r="I56" t="s">
        <v>1756</v>
      </c>
      <c r="J56" t="s">
        <v>7</v>
      </c>
      <c r="K56" t="s">
        <v>277</v>
      </c>
      <c r="L56" t="str">
        <f t="shared" si="9"/>
        <v>'tipo_alarma' : r_val['tipo_alarma'],</v>
      </c>
      <c r="M56" t="str">
        <f t="shared" si="1"/>
        <v>'site': site,</v>
      </c>
      <c r="N56" t="s">
        <v>557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559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558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2:23" x14ac:dyDescent="0.3">
      <c r="B57" t="s">
        <v>1898</v>
      </c>
      <c r="C57" t="s">
        <v>842</v>
      </c>
      <c r="D57" t="s">
        <v>831</v>
      </c>
      <c r="E57" t="s">
        <v>74</v>
      </c>
      <c r="F57" t="s">
        <v>126</v>
      </c>
      <c r="G57" t="s">
        <v>389</v>
      </c>
      <c r="H57">
        <v>50</v>
      </c>
      <c r="I57" t="s">
        <v>1756</v>
      </c>
      <c r="J57" t="s">
        <v>700</v>
      </c>
      <c r="K57" t="s">
        <v>701</v>
      </c>
      <c r="L57" t="str">
        <f t="shared" si="9"/>
        <v>'silbato' : r_val['silbato'],</v>
      </c>
      <c r="M57" t="str">
        <f t="shared" si="1"/>
        <v>'dh': dh,</v>
      </c>
      <c r="N57" t="s">
        <v>557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559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558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2:23" x14ac:dyDescent="0.3">
      <c r="C58" t="s">
        <v>842</v>
      </c>
      <c r="D58" t="s">
        <v>831</v>
      </c>
      <c r="E58" t="s">
        <v>75</v>
      </c>
      <c r="F58" t="s">
        <v>127</v>
      </c>
      <c r="G58" t="s">
        <v>390</v>
      </c>
      <c r="H58">
        <v>50</v>
      </c>
      <c r="I58" t="s">
        <v>1756</v>
      </c>
      <c r="J58" t="s">
        <v>702</v>
      </c>
      <c r="K58" t="s">
        <v>703</v>
      </c>
      <c r="L58" t="str">
        <f t="shared" si="9"/>
        <v>'estrobo' : r_val['estrobo'],</v>
      </c>
      <c r="M58" t="str">
        <f t="shared" si="1"/>
        <v>'ventanas': ventanas,</v>
      </c>
      <c r="N58" t="s">
        <v>557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559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558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2:23" x14ac:dyDescent="0.3">
      <c r="D59" t="s">
        <v>831</v>
      </c>
      <c r="E59" t="s">
        <v>76</v>
      </c>
      <c r="F59" t="s">
        <v>128</v>
      </c>
      <c r="G59" t="s">
        <v>391</v>
      </c>
      <c r="H59">
        <v>50</v>
      </c>
      <c r="I59" t="s">
        <v>1756</v>
      </c>
      <c r="J59" t="s">
        <v>8</v>
      </c>
      <c r="K59" t="s">
        <v>278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557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559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558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2:23" x14ac:dyDescent="0.3">
      <c r="D60" t="s">
        <v>831</v>
      </c>
      <c r="E60" t="s">
        <v>77</v>
      </c>
      <c r="F60" t="s">
        <v>129</v>
      </c>
      <c r="G60" t="s">
        <v>392</v>
      </c>
      <c r="H60">
        <v>50</v>
      </c>
      <c r="I60" t="s">
        <v>1756</v>
      </c>
      <c r="J60" t="s">
        <v>3</v>
      </c>
      <c r="K60" t="s">
        <v>279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557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559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558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2:23" x14ac:dyDescent="0.3">
      <c r="B61" t="s">
        <v>1898</v>
      </c>
      <c r="D61" t="s">
        <v>831</v>
      </c>
      <c r="E61" t="s">
        <v>78</v>
      </c>
      <c r="F61" t="s">
        <v>130</v>
      </c>
      <c r="G61" t="s">
        <v>393</v>
      </c>
      <c r="H61">
        <v>50</v>
      </c>
      <c r="I61" t="s">
        <v>1756</v>
      </c>
      <c r="J61" t="s">
        <v>4</v>
      </c>
      <c r="K61" t="s">
        <v>280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557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559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558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2:23" x14ac:dyDescent="0.3">
      <c r="D62" t="s">
        <v>831</v>
      </c>
      <c r="E62" t="s">
        <v>79</v>
      </c>
      <c r="F62" t="s">
        <v>131</v>
      </c>
      <c r="G62" t="s">
        <v>394</v>
      </c>
      <c r="H62">
        <v>50</v>
      </c>
      <c r="I62" t="s">
        <v>1756</v>
      </c>
      <c r="J62" t="s">
        <v>184</v>
      </c>
      <c r="K62" t="s">
        <v>281</v>
      </c>
      <c r="L62" t="str">
        <f t="shared" si="9"/>
        <v>'ruta_evac' : r_val['ruta_evac'],</v>
      </c>
      <c r="M62" t="str">
        <f t="shared" si="1"/>
        <v>'paro': paro,</v>
      </c>
      <c r="N62" t="s">
        <v>557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559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558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2:23" x14ac:dyDescent="0.3">
      <c r="D63" t="s">
        <v>831</v>
      </c>
      <c r="E63" t="s">
        <v>80</v>
      </c>
      <c r="F63" t="s">
        <v>132</v>
      </c>
      <c r="G63" t="s">
        <v>395</v>
      </c>
      <c r="H63">
        <v>50</v>
      </c>
      <c r="I63" t="s">
        <v>1756</v>
      </c>
      <c r="J63" t="s">
        <v>5</v>
      </c>
      <c r="K63" t="s">
        <v>249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557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559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558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2:23" x14ac:dyDescent="0.3">
      <c r="E64" t="s">
        <v>21</v>
      </c>
      <c r="F64" t="s">
        <v>413</v>
      </c>
      <c r="G64" t="s">
        <v>274</v>
      </c>
      <c r="H64">
        <v>50</v>
      </c>
      <c r="I64" t="s">
        <v>1756</v>
      </c>
      <c r="J64" t="s">
        <v>185</v>
      </c>
      <c r="K64" t="s">
        <v>282</v>
      </c>
      <c r="L64" t="str">
        <f t="shared" si="9"/>
        <v>'salida_emerg' : r_val['salida_emerg'],</v>
      </c>
      <c r="M64" t="str">
        <f t="shared" si="1"/>
        <v>'planta': planta,</v>
      </c>
      <c r="N64" t="s">
        <v>557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559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558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2:23" x14ac:dyDescent="0.3">
      <c r="E65" t="s">
        <v>414</v>
      </c>
      <c r="F65" t="s">
        <v>415</v>
      </c>
      <c r="G65" t="s">
        <v>416</v>
      </c>
      <c r="H65">
        <v>50</v>
      </c>
      <c r="I65" t="s">
        <v>1756</v>
      </c>
      <c r="J65" t="s">
        <v>186</v>
      </c>
      <c r="K65" t="s">
        <v>283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557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559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558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2:23" x14ac:dyDescent="0.3">
      <c r="C66" t="s">
        <v>842</v>
      </c>
      <c r="E66" t="s">
        <v>599</v>
      </c>
      <c r="F66" t="s">
        <v>600</v>
      </c>
      <c r="G66" t="s">
        <v>598</v>
      </c>
      <c r="H66">
        <v>155</v>
      </c>
      <c r="I66" t="s">
        <v>1755</v>
      </c>
      <c r="J66" t="s">
        <v>187</v>
      </c>
      <c r="K66" t="s">
        <v>284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557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559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558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2:23" x14ac:dyDescent="0.3">
      <c r="C67" t="s">
        <v>842</v>
      </c>
      <c r="E67" t="s">
        <v>601</v>
      </c>
      <c r="F67" t="s">
        <v>602</v>
      </c>
      <c r="G67" t="s">
        <v>603</v>
      </c>
      <c r="H67">
        <v>155</v>
      </c>
      <c r="I67" t="s">
        <v>1755</v>
      </c>
      <c r="J67" t="s">
        <v>6</v>
      </c>
      <c r="K67" t="s">
        <v>285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557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559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558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2:23" x14ac:dyDescent="0.3">
      <c r="C68" t="s">
        <v>842</v>
      </c>
      <c r="E68" t="s">
        <v>604</v>
      </c>
      <c r="F68" t="s">
        <v>605</v>
      </c>
      <c r="G68" t="s">
        <v>606</v>
      </c>
      <c r="H68">
        <v>50</v>
      </c>
      <c r="I68" t="s">
        <v>1756</v>
      </c>
      <c r="J68" t="s">
        <v>188</v>
      </c>
      <c r="K68" t="s">
        <v>286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557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559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558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2:23" x14ac:dyDescent="0.3">
      <c r="C69" t="s">
        <v>842</v>
      </c>
      <c r="E69" t="s">
        <v>607</v>
      </c>
      <c r="F69" t="s">
        <v>608</v>
      </c>
      <c r="G69" t="s">
        <v>609</v>
      </c>
      <c r="H69">
        <v>50</v>
      </c>
      <c r="I69" t="s">
        <v>1756</v>
      </c>
      <c r="J69" t="s">
        <v>189</v>
      </c>
      <c r="K69" t="s">
        <v>287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557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559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558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2:23" x14ac:dyDescent="0.3">
      <c r="C70" t="s">
        <v>842</v>
      </c>
      <c r="E70" t="s">
        <v>610</v>
      </c>
      <c r="F70" t="s">
        <v>611</v>
      </c>
      <c r="G70" t="s">
        <v>612</v>
      </c>
      <c r="H70">
        <v>50</v>
      </c>
      <c r="I70" t="s">
        <v>1756</v>
      </c>
      <c r="J70" t="s">
        <v>190</v>
      </c>
      <c r="K70" t="s">
        <v>288</v>
      </c>
      <c r="L70" t="str">
        <f t="shared" si="9"/>
        <v>'no_fumar' : r_val['no_fumar'],</v>
      </c>
      <c r="M70" t="str">
        <f t="shared" si="13"/>
        <v>'banio1': banio1,</v>
      </c>
      <c r="N70" t="s">
        <v>557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559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558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2:23" x14ac:dyDescent="0.3">
      <c r="C71" t="s">
        <v>842</v>
      </c>
      <c r="E71" t="s">
        <v>613</v>
      </c>
      <c r="F71" t="s">
        <v>614</v>
      </c>
      <c r="G71" t="s">
        <v>615</v>
      </c>
      <c r="H71">
        <v>50</v>
      </c>
      <c r="I71" t="s">
        <v>1756</v>
      </c>
      <c r="J71" t="s">
        <v>540</v>
      </c>
      <c r="K71" t="s">
        <v>2133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557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559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558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2:23" x14ac:dyDescent="0.3">
      <c r="C72" t="s">
        <v>842</v>
      </c>
      <c r="D72" t="s">
        <v>831</v>
      </c>
      <c r="E72" t="s">
        <v>704</v>
      </c>
      <c r="F72" t="s">
        <v>705</v>
      </c>
      <c r="G72" t="s">
        <v>706</v>
      </c>
      <c r="H72">
        <v>50</v>
      </c>
      <c r="I72" t="s">
        <v>1756</v>
      </c>
      <c r="J72" t="s">
        <v>9</v>
      </c>
      <c r="K72" t="s">
        <v>289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557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559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558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2:23" x14ac:dyDescent="0.3">
      <c r="C73" t="s">
        <v>842</v>
      </c>
      <c r="E73" t="s">
        <v>709</v>
      </c>
      <c r="F73" t="s">
        <v>710</v>
      </c>
      <c r="G73" t="s">
        <v>711</v>
      </c>
      <c r="H73">
        <v>50</v>
      </c>
      <c r="I73" t="s">
        <v>1756</v>
      </c>
      <c r="J73" t="s">
        <v>10</v>
      </c>
      <c r="K73" t="s">
        <v>290</v>
      </c>
      <c r="L73" t="str">
        <f t="shared" si="9"/>
        <v>'no_celular' : r_val['no_celular'],</v>
      </c>
      <c r="M73" t="str">
        <f t="shared" si="13"/>
        <v>'bateria': bateria,</v>
      </c>
      <c r="N73" t="s">
        <v>557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559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558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2:23" x14ac:dyDescent="0.3">
      <c r="B74" t="s">
        <v>1898</v>
      </c>
      <c r="C74" t="s">
        <v>842</v>
      </c>
      <c r="D74" t="s">
        <v>831</v>
      </c>
      <c r="E74" t="s">
        <v>712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1755</v>
      </c>
      <c r="J74" t="s">
        <v>11</v>
      </c>
      <c r="K74" t="s">
        <v>291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557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559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558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2:23" x14ac:dyDescent="0.3">
      <c r="B75" t="s">
        <v>1898</v>
      </c>
      <c r="C75" t="s">
        <v>842</v>
      </c>
      <c r="D75" t="s">
        <v>831</v>
      </c>
      <c r="E75" t="s">
        <v>713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1755</v>
      </c>
      <c r="J75" t="s">
        <v>12</v>
      </c>
      <c r="K75" t="s">
        <v>292</v>
      </c>
      <c r="L75" t="str">
        <f t="shared" si="9"/>
        <v>'uso_epp' : r_val['uso_epp'],</v>
      </c>
      <c r="M75" t="str">
        <f t="shared" si="13"/>
        <v>'acta2': acta2,</v>
      </c>
      <c r="N75" t="s">
        <v>557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559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558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2:23" x14ac:dyDescent="0.3">
      <c r="B76" t="s">
        <v>1898</v>
      </c>
      <c r="C76" t="s">
        <v>842</v>
      </c>
      <c r="D76" t="s">
        <v>831</v>
      </c>
      <c r="E76" t="s">
        <v>714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1755</v>
      </c>
      <c r="J76" t="s">
        <v>13</v>
      </c>
      <c r="K76" t="s">
        <v>293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557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559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558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2:23" x14ac:dyDescent="0.3">
      <c r="B77" t="s">
        <v>1898</v>
      </c>
      <c r="C77" t="s">
        <v>842</v>
      </c>
      <c r="D77" t="s">
        <v>831</v>
      </c>
      <c r="E77" t="s">
        <v>829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1755</v>
      </c>
      <c r="J77" t="s">
        <v>567</v>
      </c>
      <c r="K77" t="s">
        <v>566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557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559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558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2:23" x14ac:dyDescent="0.3">
      <c r="C78" t="s">
        <v>842</v>
      </c>
      <c r="D78" t="s">
        <v>831</v>
      </c>
      <c r="E78" t="s">
        <v>830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1755</v>
      </c>
      <c r="J78" t="s">
        <v>574</v>
      </c>
      <c r="K78" t="s">
        <v>575</v>
      </c>
      <c r="L78" t="str">
        <f t="shared" si="9"/>
        <v>'site_emer' : r_val['site_emer'],</v>
      </c>
      <c r="M78" t="str">
        <f t="shared" si="13"/>
        <v>'mantto2': mantto2,</v>
      </c>
      <c r="N78" t="s">
        <v>557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559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558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2:23" x14ac:dyDescent="0.3">
      <c r="B79" t="s">
        <v>1898</v>
      </c>
      <c r="C79" t="s">
        <v>842</v>
      </c>
      <c r="D79" t="s">
        <v>831</v>
      </c>
      <c r="E79" t="s">
        <v>715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1755</v>
      </c>
      <c r="J79" t="s">
        <v>573</v>
      </c>
      <c r="K79" t="s">
        <v>572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557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559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558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2:23" x14ac:dyDescent="0.3">
      <c r="B80" t="s">
        <v>1898</v>
      </c>
      <c r="C80" t="s">
        <v>842</v>
      </c>
      <c r="D80" t="s">
        <v>831</v>
      </c>
      <c r="E80" t="s">
        <v>716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1755</v>
      </c>
      <c r="J80" t="s">
        <v>15</v>
      </c>
      <c r="K80" t="s">
        <v>295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557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559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558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2:23" x14ac:dyDescent="0.3">
      <c r="B81" t="s">
        <v>1898</v>
      </c>
      <c r="C81" t="s">
        <v>842</v>
      </c>
      <c r="D81" t="s">
        <v>831</v>
      </c>
      <c r="E81" t="s">
        <v>717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1755</v>
      </c>
      <c r="J81" t="s">
        <v>16</v>
      </c>
      <c r="K81" t="s">
        <v>296</v>
      </c>
      <c r="L81" t="str">
        <f t="shared" si="25"/>
        <v>'aspersores' : r_val['aspersores'],</v>
      </c>
      <c r="M81" t="str">
        <f t="shared" si="13"/>
        <v>'inv_quim': inv_quim,</v>
      </c>
      <c r="N81" t="s">
        <v>557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559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558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2:23" x14ac:dyDescent="0.3">
      <c r="B82" t="s">
        <v>1898</v>
      </c>
      <c r="C82" t="s">
        <v>842</v>
      </c>
      <c r="D82" t="s">
        <v>831</v>
      </c>
      <c r="E82" t="s">
        <v>718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1755</v>
      </c>
      <c r="J82" t="s">
        <v>17</v>
      </c>
      <c r="K82" t="s">
        <v>297</v>
      </c>
      <c r="L82" t="str">
        <f t="shared" si="25"/>
        <v>'bomberos' : r_val['bomberos'],</v>
      </c>
      <c r="M82" t="str">
        <f t="shared" si="13"/>
        <v>'inv_emer': inv_emer,</v>
      </c>
      <c r="N82" t="s">
        <v>557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559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558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2:23" x14ac:dyDescent="0.3">
      <c r="B83" t="s">
        <v>1898</v>
      </c>
      <c r="C83" t="s">
        <v>842</v>
      </c>
      <c r="D83" t="s">
        <v>831</v>
      </c>
      <c r="E83" t="s">
        <v>719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1755</v>
      </c>
      <c r="J83" t="s">
        <v>565</v>
      </c>
      <c r="K83" t="s">
        <v>564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557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559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558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2:23" x14ac:dyDescent="0.3">
      <c r="B84" t="s">
        <v>1898</v>
      </c>
      <c r="C84" t="s">
        <v>842</v>
      </c>
      <c r="D84" t="s">
        <v>831</v>
      </c>
      <c r="E84" t="s">
        <v>720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1755</v>
      </c>
      <c r="J84" t="s">
        <v>18</v>
      </c>
      <c r="K84" t="s">
        <v>298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557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559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558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2:23" x14ac:dyDescent="0.3">
      <c r="B85" t="s">
        <v>1898</v>
      </c>
      <c r="C85" t="s">
        <v>842</v>
      </c>
      <c r="D85" t="s">
        <v>831</v>
      </c>
      <c r="E85" t="s">
        <v>721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1755</v>
      </c>
      <c r="J85" t="s">
        <v>569</v>
      </c>
      <c r="K85" t="s">
        <v>568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557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559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558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2:23" x14ac:dyDescent="0.3">
      <c r="B86" t="s">
        <v>1898</v>
      </c>
      <c r="C86" t="s">
        <v>842</v>
      </c>
      <c r="D86" t="s">
        <v>831</v>
      </c>
      <c r="E86" t="s">
        <v>725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1755</v>
      </c>
      <c r="J86" t="s">
        <v>19</v>
      </c>
      <c r="K86" t="s">
        <v>299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557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559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558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2:23" x14ac:dyDescent="0.3">
      <c r="B87" t="s">
        <v>1898</v>
      </c>
      <c r="D87" t="s">
        <v>831</v>
      </c>
      <c r="E87" t="s">
        <v>726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1755</v>
      </c>
      <c r="J87" t="s">
        <v>577</v>
      </c>
      <c r="K87" t="s">
        <v>576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557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559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558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2:23" x14ac:dyDescent="0.3">
      <c r="B88" t="s">
        <v>1898</v>
      </c>
      <c r="C88" t="s">
        <v>842</v>
      </c>
      <c r="D88" t="s">
        <v>831</v>
      </c>
      <c r="E88" t="s">
        <v>727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1755</v>
      </c>
      <c r="J88" t="s">
        <v>707</v>
      </c>
      <c r="K88" t="s">
        <v>708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557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559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558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2:23" x14ac:dyDescent="0.3">
      <c r="B89" t="s">
        <v>1898</v>
      </c>
      <c r="C89" t="s">
        <v>842</v>
      </c>
      <c r="D89" t="s">
        <v>831</v>
      </c>
      <c r="E89" t="s">
        <v>722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1755</v>
      </c>
      <c r="J89" t="s">
        <v>20</v>
      </c>
      <c r="K89" t="s">
        <v>300</v>
      </c>
      <c r="L89" t="str">
        <f t="shared" si="25"/>
        <v>'lampara' : r_val['lampara'],</v>
      </c>
      <c r="M89" t="str">
        <f t="shared" si="13"/>
        <v>'ev_sim1': ev_sim1,</v>
      </c>
      <c r="N89" t="s">
        <v>557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559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558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2:23" x14ac:dyDescent="0.3">
      <c r="B90" t="s">
        <v>1898</v>
      </c>
      <c r="C90" t="s">
        <v>842</v>
      </c>
      <c r="D90" t="s">
        <v>831</v>
      </c>
      <c r="E90" t="s">
        <v>723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1755</v>
      </c>
      <c r="J90" t="s">
        <v>561</v>
      </c>
      <c r="K90" t="s">
        <v>560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557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559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558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2:23" x14ac:dyDescent="0.3">
      <c r="B91" t="s">
        <v>1898</v>
      </c>
      <c r="C91" t="s">
        <v>842</v>
      </c>
      <c r="D91" t="s">
        <v>831</v>
      </c>
      <c r="E91" t="s">
        <v>724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1755</v>
      </c>
      <c r="J91" t="s">
        <v>22</v>
      </c>
      <c r="K91" t="s">
        <v>301</v>
      </c>
      <c r="L91" t="str">
        <f t="shared" si="25"/>
        <v>'baterias' : r_val['baterias'],</v>
      </c>
      <c r="M91" t="str">
        <f t="shared" si="13"/>
        <v>'visitas': visitas,</v>
      </c>
      <c r="N91" t="s">
        <v>557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559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558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2:23" x14ac:dyDescent="0.3">
      <c r="B92" t="s">
        <v>1898</v>
      </c>
      <c r="C92" t="s">
        <v>842</v>
      </c>
      <c r="D92" t="s">
        <v>831</v>
      </c>
      <c r="E92" t="s">
        <v>948</v>
      </c>
      <c r="F92" t="s">
        <v>949</v>
      </c>
      <c r="G92" t="s">
        <v>950</v>
      </c>
      <c r="H92">
        <v>155</v>
      </c>
      <c r="I92" t="s">
        <v>1755</v>
      </c>
      <c r="J92" t="s">
        <v>571</v>
      </c>
      <c r="K92" t="s">
        <v>570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557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559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558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2:23" x14ac:dyDescent="0.3">
      <c r="C93" t="s">
        <v>842</v>
      </c>
      <c r="E93" t="s">
        <v>1758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1755</v>
      </c>
      <c r="J93" t="s">
        <v>23</v>
      </c>
      <c r="K93" t="s">
        <v>302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557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559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558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2:23" x14ac:dyDescent="0.3">
      <c r="C94" t="s">
        <v>842</v>
      </c>
      <c r="E94" t="s">
        <v>1759</v>
      </c>
      <c r="F94" t="str">
        <f t="shared" ref="F94:F105" si="33">+_xlfn.CONCAT(E94,".png")</f>
        <v>corresp2.png</v>
      </c>
      <c r="G94" t="str">
        <f t="shared" ref="G94:G105" si="34">+_xlfn.CONCAT("{{ ",E94," }}")</f>
        <v>{{ corresp2 }}</v>
      </c>
      <c r="H94">
        <v>155</v>
      </c>
      <c r="I94" t="s">
        <v>1755</v>
      </c>
      <c r="J94" t="s">
        <v>563</v>
      </c>
      <c r="K94" t="s">
        <v>562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557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559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558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2:23" x14ac:dyDescent="0.3">
      <c r="C95" t="s">
        <v>842</v>
      </c>
      <c r="E95" t="s">
        <v>1760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1755</v>
      </c>
      <c r="J95" t="s">
        <v>191</v>
      </c>
      <c r="K95" t="s">
        <v>303</v>
      </c>
      <c r="L95" t="str">
        <f t="shared" si="25"/>
        <v>'tanques' : r_val['tanques'],</v>
      </c>
      <c r="M95" t="str">
        <f t="shared" si="13"/>
        <v>'corresp3': corresp3,</v>
      </c>
      <c r="N95" t="s">
        <v>557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559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558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2:23" x14ac:dyDescent="0.3">
      <c r="C96" t="s">
        <v>842</v>
      </c>
      <c r="E96" t="s">
        <v>1761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1755</v>
      </c>
      <c r="J96" t="s">
        <v>192</v>
      </c>
      <c r="K96" t="s">
        <v>304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557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559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558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842</v>
      </c>
      <c r="E97" t="s">
        <v>1762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1755</v>
      </c>
      <c r="J97" t="s">
        <v>193</v>
      </c>
      <c r="K97" t="s">
        <v>305</v>
      </c>
      <c r="L97" t="str">
        <f t="shared" si="25"/>
        <v>'tanque_2' : r_val['tanque_2'],</v>
      </c>
      <c r="M97" t="str">
        <f t="shared" si="13"/>
        <v>'registro1': registro1,</v>
      </c>
      <c r="N97" t="s">
        <v>557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559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558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842</v>
      </c>
      <c r="E98" t="s">
        <v>1763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1755</v>
      </c>
      <c r="J98" t="s">
        <v>194</v>
      </c>
      <c r="K98" t="s">
        <v>306</v>
      </c>
      <c r="L98" t="str">
        <f t="shared" si="25"/>
        <v>'tanque_3' : r_val['tanque_3'],</v>
      </c>
      <c r="M98" t="str">
        <f t="shared" si="13"/>
        <v>'registro2': registro2,</v>
      </c>
      <c r="N98" t="s">
        <v>557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559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558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842</v>
      </c>
      <c r="E99" t="s">
        <v>1764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1755</v>
      </c>
      <c r="J99" t="s">
        <v>0</v>
      </c>
      <c r="K99" t="s">
        <v>307</v>
      </c>
      <c r="L99" t="str">
        <f t="shared" si="25"/>
        <v>'dia' : r_val['dia'],</v>
      </c>
      <c r="M99" t="str">
        <f t="shared" si="13"/>
        <v>'ries_circ': ries_circ,</v>
      </c>
      <c r="N99" t="s">
        <v>557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559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558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842</v>
      </c>
      <c r="E100" t="s">
        <v>1765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1755</v>
      </c>
      <c r="J100" t="s">
        <v>1</v>
      </c>
      <c r="K100" t="s">
        <v>308</v>
      </c>
      <c r="L100" t="str">
        <f t="shared" si="25"/>
        <v>'mes' : r_val['mes'],</v>
      </c>
      <c r="M100" t="str">
        <f t="shared" si="13"/>
        <v>'mapa_ext': mapa_ext,</v>
      </c>
      <c r="N100" t="s">
        <v>557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559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558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842</v>
      </c>
      <c r="E101" t="s">
        <v>1766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1755</v>
      </c>
      <c r="J101" t="s">
        <v>2</v>
      </c>
      <c r="K101" t="s">
        <v>309</v>
      </c>
      <c r="L101" t="str">
        <f t="shared" si="25"/>
        <v>'anio' : r_val['anio'],</v>
      </c>
      <c r="M101" t="str">
        <f t="shared" si="13"/>
        <v>'rec_ext': rec_ext,</v>
      </c>
      <c r="N101" t="s">
        <v>557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559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558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842</v>
      </c>
      <c r="E102" t="s">
        <v>1767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1755</v>
      </c>
      <c r="J102" t="s">
        <v>195</v>
      </c>
      <c r="K102" t="s">
        <v>310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557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559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558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842</v>
      </c>
      <c r="E103" t="s">
        <v>1768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1755</v>
      </c>
      <c r="J103" t="s">
        <v>196</v>
      </c>
      <c r="K103" t="s">
        <v>311</v>
      </c>
      <c r="L103" t="str">
        <f t="shared" si="25"/>
        <v>'norte' : r_val['norte'],</v>
      </c>
      <c r="M103" t="str">
        <f t="shared" si="13"/>
        <v>'menor_ries': menor_ries,</v>
      </c>
      <c r="N103" t="s">
        <v>557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559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558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842</v>
      </c>
      <c r="E104" t="s">
        <v>1769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1755</v>
      </c>
      <c r="J104" t="s">
        <v>197</v>
      </c>
      <c r="K104" t="s">
        <v>312</v>
      </c>
      <c r="L104" t="str">
        <f t="shared" si="25"/>
        <v>'sur' : r_val['sur'],</v>
      </c>
      <c r="M104" t="str">
        <f t="shared" si="13"/>
        <v>'zona_evac': zona_evac,</v>
      </c>
      <c r="N104" t="s">
        <v>557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559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558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1898</v>
      </c>
      <c r="C105" t="s">
        <v>842</v>
      </c>
      <c r="E105" t="s">
        <v>2135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1756</v>
      </c>
      <c r="J105" t="s">
        <v>198</v>
      </c>
      <c r="K105" t="s">
        <v>313</v>
      </c>
      <c r="L105" t="str">
        <f t="shared" si="25"/>
        <v>'este' : r_val['este'],</v>
      </c>
      <c r="M105" t="str">
        <f t="shared" si="13"/>
        <v>'firma': firma,</v>
      </c>
      <c r="N105" t="s">
        <v>557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559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558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J106" t="s">
        <v>199</v>
      </c>
      <c r="K106" t="s">
        <v>314</v>
      </c>
      <c r="L106" t="str">
        <f t="shared" si="25"/>
        <v>'oeste' : r_val['oeste'],</v>
      </c>
    </row>
    <row r="107" spans="2:23" x14ac:dyDescent="0.3">
      <c r="J107" t="s">
        <v>596</v>
      </c>
      <c r="K107" t="s">
        <v>597</v>
      </c>
      <c r="L107" t="str">
        <f t="shared" si="25"/>
        <v>'ref_llegar' : r_val['ref_llegar'],</v>
      </c>
    </row>
    <row r="108" spans="2:23" x14ac:dyDescent="0.3">
      <c r="J108" t="s">
        <v>200</v>
      </c>
      <c r="K108" t="s">
        <v>315</v>
      </c>
      <c r="L108" t="str">
        <f t="shared" si="25"/>
        <v>'ley' : r_val['ley'],</v>
      </c>
    </row>
    <row r="109" spans="2:23" x14ac:dyDescent="0.3">
      <c r="J109" t="s">
        <v>201</v>
      </c>
      <c r="K109" t="s">
        <v>316</v>
      </c>
      <c r="L109" t="str">
        <f t="shared" si="25"/>
        <v>'reglamento' : r_val['reglamento'],</v>
      </c>
    </row>
    <row r="110" spans="2:23" x14ac:dyDescent="0.3">
      <c r="J110" t="s">
        <v>646</v>
      </c>
      <c r="K110" t="s">
        <v>686</v>
      </c>
      <c r="L110" t="str">
        <f t="shared" si="25"/>
        <v>'m_dir' : r_val['m_dir'],</v>
      </c>
    </row>
    <row r="111" spans="2:23" x14ac:dyDescent="0.3">
      <c r="J111" t="s">
        <v>202</v>
      </c>
      <c r="K111" t="s">
        <v>317</v>
      </c>
      <c r="L111" t="str">
        <f t="shared" ref="L111:L142" si="49">+_xlfn.CONCAT("'",J111,"' : r_val['",J111,"'],")</f>
        <v>'coord_suplente' : r_val['coord_suplente'],</v>
      </c>
    </row>
    <row r="112" spans="2:23" x14ac:dyDescent="0.3">
      <c r="J112" t="s">
        <v>647</v>
      </c>
      <c r="K112" t="s">
        <v>687</v>
      </c>
      <c r="L112" t="str">
        <f t="shared" si="49"/>
        <v>'m_jef_caj' : r_val['m_jef_caj'],</v>
      </c>
    </row>
    <row r="113" spans="10:12" x14ac:dyDescent="0.3">
      <c r="J113" t="s">
        <v>203</v>
      </c>
      <c r="K113" t="s">
        <v>318</v>
      </c>
      <c r="L113" t="str">
        <f t="shared" si="49"/>
        <v>'evacuacion' : r_val['evacuacion'],</v>
      </c>
    </row>
    <row r="114" spans="10:12" x14ac:dyDescent="0.3">
      <c r="J114" t="s">
        <v>580</v>
      </c>
      <c r="K114" t="s">
        <v>588</v>
      </c>
      <c r="L114" t="str">
        <f t="shared" si="49"/>
        <v>'evac_puesto' : r_val['evac_puesto'],</v>
      </c>
    </row>
    <row r="115" spans="10:12" x14ac:dyDescent="0.3">
      <c r="J115" t="s">
        <v>648</v>
      </c>
      <c r="K115" t="s">
        <v>688</v>
      </c>
      <c r="L115" t="str">
        <f t="shared" si="49"/>
        <v>'m_evac' : r_val['m_evac'],</v>
      </c>
    </row>
    <row r="116" spans="10:12" x14ac:dyDescent="0.3">
      <c r="J116" t="s">
        <v>204</v>
      </c>
      <c r="K116" t="s">
        <v>319</v>
      </c>
      <c r="L116" t="str">
        <f t="shared" si="49"/>
        <v>'evac_suplente' : r_val['evac_suplente'],</v>
      </c>
    </row>
    <row r="117" spans="10:12" x14ac:dyDescent="0.3">
      <c r="J117" t="s">
        <v>581</v>
      </c>
      <c r="K117" t="s">
        <v>589</v>
      </c>
      <c r="L117" t="str">
        <f t="shared" si="49"/>
        <v>'supl_evac_pue' : r_val['supl_evac_pue'],</v>
      </c>
    </row>
    <row r="118" spans="10:12" x14ac:dyDescent="0.3">
      <c r="J118" t="s">
        <v>649</v>
      </c>
      <c r="K118" t="s">
        <v>689</v>
      </c>
      <c r="L118" t="str">
        <f t="shared" si="49"/>
        <v>'m_supl_evac' : r_val['m_supl_evac'],</v>
      </c>
    </row>
    <row r="119" spans="10:12" x14ac:dyDescent="0.3">
      <c r="J119" t="s">
        <v>205</v>
      </c>
      <c r="K119" t="s">
        <v>320</v>
      </c>
      <c r="L119" t="str">
        <f t="shared" si="49"/>
        <v>'incendios' : r_val['incendios'],</v>
      </c>
    </row>
    <row r="120" spans="10:12" x14ac:dyDescent="0.3">
      <c r="J120" t="s">
        <v>582</v>
      </c>
      <c r="K120" t="s">
        <v>590</v>
      </c>
      <c r="L120" t="str">
        <f t="shared" si="49"/>
        <v>'incen_puesto' : r_val['incen_puesto'],</v>
      </c>
    </row>
    <row r="121" spans="10:12" x14ac:dyDescent="0.3">
      <c r="J121" t="s">
        <v>650</v>
      </c>
      <c r="K121" t="s">
        <v>690</v>
      </c>
      <c r="L121" t="str">
        <f t="shared" si="49"/>
        <v>'m_inc' : r_val['m_inc'],</v>
      </c>
    </row>
    <row r="122" spans="10:12" x14ac:dyDescent="0.3">
      <c r="J122" t="s">
        <v>206</v>
      </c>
      <c r="K122" t="s">
        <v>321</v>
      </c>
      <c r="L122" t="str">
        <f t="shared" si="49"/>
        <v>'inc_suplente' : r_val['inc_suplente'],</v>
      </c>
    </row>
    <row r="123" spans="10:12" x14ac:dyDescent="0.3">
      <c r="J123" t="s">
        <v>583</v>
      </c>
      <c r="K123" t="s">
        <v>591</v>
      </c>
      <c r="L123" t="str">
        <f t="shared" si="49"/>
        <v>'supl_inc_puesto' : r_val['supl_inc_puesto'],</v>
      </c>
    </row>
    <row r="124" spans="10:12" x14ac:dyDescent="0.3">
      <c r="J124" t="s">
        <v>651</v>
      </c>
      <c r="K124" t="s">
        <v>691</v>
      </c>
      <c r="L124" t="str">
        <f t="shared" si="49"/>
        <v>'m_supl_inc' : r_val['m_supl_inc'],</v>
      </c>
    </row>
    <row r="125" spans="10:12" x14ac:dyDescent="0.3">
      <c r="J125" t="s">
        <v>207</v>
      </c>
      <c r="K125" t="s">
        <v>322</v>
      </c>
      <c r="L125" t="str">
        <f t="shared" si="49"/>
        <v>'primeros_auxilios' : r_val['primeros_auxilios'],</v>
      </c>
    </row>
    <row r="126" spans="10:12" x14ac:dyDescent="0.3">
      <c r="J126" t="s">
        <v>584</v>
      </c>
      <c r="K126" t="s">
        <v>592</v>
      </c>
      <c r="L126" t="str">
        <f t="shared" si="49"/>
        <v>'prim_aux_puesto' : r_val['prim_aux_puesto'],</v>
      </c>
    </row>
    <row r="127" spans="10:12" x14ac:dyDescent="0.3">
      <c r="J127" t="s">
        <v>652</v>
      </c>
      <c r="K127" t="s">
        <v>692</v>
      </c>
      <c r="L127" t="str">
        <f t="shared" si="49"/>
        <v>'m_prim_aux' : r_val['m_prim_aux'],</v>
      </c>
    </row>
    <row r="128" spans="10:12" x14ac:dyDescent="0.3">
      <c r="J128" t="s">
        <v>208</v>
      </c>
      <c r="K128" t="s">
        <v>323</v>
      </c>
      <c r="L128" t="str">
        <f t="shared" si="49"/>
        <v>'aux_suplente' : r_val['aux_suplente'],</v>
      </c>
    </row>
    <row r="129" spans="10:12" x14ac:dyDescent="0.3">
      <c r="J129" t="s">
        <v>585</v>
      </c>
      <c r="K129" t="s">
        <v>593</v>
      </c>
      <c r="L129" t="str">
        <f t="shared" si="49"/>
        <v>'supl_prim_aux_puesto' : r_val['supl_prim_aux_puesto'],</v>
      </c>
    </row>
    <row r="130" spans="10:12" x14ac:dyDescent="0.3">
      <c r="J130" t="s">
        <v>653</v>
      </c>
      <c r="K130" t="s">
        <v>693</v>
      </c>
      <c r="L130" t="str">
        <f t="shared" si="49"/>
        <v>'m_supl_paux' : r_val['m_supl_paux'],</v>
      </c>
    </row>
    <row r="131" spans="10:12" x14ac:dyDescent="0.3">
      <c r="J131" t="s">
        <v>209</v>
      </c>
      <c r="K131" t="s">
        <v>324</v>
      </c>
      <c r="L131" t="str">
        <f t="shared" si="49"/>
        <v>'busqueda' : r_val['busqueda'],</v>
      </c>
    </row>
    <row r="132" spans="10:12" x14ac:dyDescent="0.3">
      <c r="J132" t="s">
        <v>586</v>
      </c>
      <c r="K132" t="s">
        <v>594</v>
      </c>
      <c r="L132" t="str">
        <f t="shared" si="49"/>
        <v>'busq_puesto' : r_val['busq_puesto'],</v>
      </c>
    </row>
    <row r="133" spans="10:12" x14ac:dyDescent="0.3">
      <c r="J133" t="s">
        <v>654</v>
      </c>
      <c r="K133" t="s">
        <v>694</v>
      </c>
      <c r="L133" t="str">
        <f t="shared" si="49"/>
        <v>'m_busq' : r_val['m_busq'],</v>
      </c>
    </row>
    <row r="134" spans="10:12" x14ac:dyDescent="0.3">
      <c r="J134" t="s">
        <v>210</v>
      </c>
      <c r="K134" t="s">
        <v>325</v>
      </c>
      <c r="L134" t="str">
        <f t="shared" si="49"/>
        <v>'busq_suplente' : r_val['busq_suplente'],</v>
      </c>
    </row>
    <row r="135" spans="10:12" x14ac:dyDescent="0.3">
      <c r="J135" t="s">
        <v>587</v>
      </c>
      <c r="K135" t="s">
        <v>595</v>
      </c>
      <c r="L135" t="str">
        <f t="shared" si="49"/>
        <v>'supl_busq_puesto' : r_val['supl_busq_puesto'],</v>
      </c>
    </row>
    <row r="136" spans="10:12" x14ac:dyDescent="0.3">
      <c r="J136" t="s">
        <v>655</v>
      </c>
      <c r="K136" t="s">
        <v>695</v>
      </c>
      <c r="L136" t="str">
        <f t="shared" si="49"/>
        <v>'m_supl_busq' : r_val['m_supl_busq'],</v>
      </c>
    </row>
    <row r="137" spans="10:12" x14ac:dyDescent="0.3">
      <c r="J137" t="s">
        <v>211</v>
      </c>
      <c r="K137" t="s">
        <v>326</v>
      </c>
      <c r="L137" t="str">
        <f t="shared" si="49"/>
        <v>'descrip_gi' : r_val['descrip_gi'],</v>
      </c>
    </row>
    <row r="138" spans="10:12" x14ac:dyDescent="0.3">
      <c r="J138" t="s">
        <v>212</v>
      </c>
      <c r="K138" t="s">
        <v>327</v>
      </c>
      <c r="L138" t="str">
        <f t="shared" si="49"/>
        <v>'gas_inflamable' : r_val['gas_inflamable'],</v>
      </c>
    </row>
    <row r="139" spans="10:12" x14ac:dyDescent="0.3">
      <c r="J139" t="s">
        <v>213</v>
      </c>
      <c r="K139" t="s">
        <v>328</v>
      </c>
      <c r="L139" t="str">
        <f t="shared" si="49"/>
        <v>'valor_gi' : r_val['valor_gi'],</v>
      </c>
    </row>
    <row r="140" spans="10:12" x14ac:dyDescent="0.3">
      <c r="J140" t="s">
        <v>214</v>
      </c>
      <c r="K140" t="s">
        <v>329</v>
      </c>
      <c r="L140" t="str">
        <f t="shared" si="49"/>
        <v>'descrp_li' : r_val['descrp_li'],</v>
      </c>
    </row>
    <row r="141" spans="10:12" x14ac:dyDescent="0.3">
      <c r="J141" t="s">
        <v>215</v>
      </c>
      <c r="K141" t="s">
        <v>330</v>
      </c>
      <c r="L141" t="str">
        <f t="shared" si="49"/>
        <v>'liquido_inflamable' : r_val['liquido_inflamable'],</v>
      </c>
    </row>
    <row r="142" spans="10:12" x14ac:dyDescent="0.3">
      <c r="J142" t="s">
        <v>216</v>
      </c>
      <c r="K142" t="s">
        <v>331</v>
      </c>
      <c r="L142" t="str">
        <f t="shared" si="49"/>
        <v>'valor_li' : r_val['valor_li'],</v>
      </c>
    </row>
    <row r="143" spans="10:12" x14ac:dyDescent="0.3">
      <c r="J143" t="s">
        <v>217</v>
      </c>
      <c r="K143" t="s">
        <v>332</v>
      </c>
      <c r="L143" t="str">
        <f t="shared" ref="L143:L181" si="50">+_xlfn.CONCAT("'",J143,"' : r_val['",J143,"'],")</f>
        <v>'descrip_lc' : r_val['descrip_lc'],</v>
      </c>
    </row>
    <row r="144" spans="10:12" x14ac:dyDescent="0.3">
      <c r="J144" t="s">
        <v>218</v>
      </c>
      <c r="K144" t="s">
        <v>333</v>
      </c>
      <c r="L144" t="str">
        <f t="shared" si="50"/>
        <v>'liquido_combustible' : r_val['liquido_combustible'],</v>
      </c>
    </row>
    <row r="145" spans="10:12" x14ac:dyDescent="0.3">
      <c r="J145" t="s">
        <v>219</v>
      </c>
      <c r="K145" t="s">
        <v>334</v>
      </c>
      <c r="L145" t="str">
        <f t="shared" si="50"/>
        <v>'valor_lc' : r_val['valor_lc'],</v>
      </c>
    </row>
    <row r="146" spans="10:12" x14ac:dyDescent="0.3">
      <c r="J146" t="s">
        <v>220</v>
      </c>
      <c r="K146" t="s">
        <v>335</v>
      </c>
      <c r="L146" t="str">
        <f t="shared" si="50"/>
        <v>'descrip_sc' : r_val['descrip_sc'],</v>
      </c>
    </row>
    <row r="147" spans="10:12" x14ac:dyDescent="0.3">
      <c r="J147" t="s">
        <v>221</v>
      </c>
      <c r="K147" t="s">
        <v>336</v>
      </c>
      <c r="L147" t="str">
        <f t="shared" si="50"/>
        <v>'solido_combusible' : r_val['solido_combusible'],</v>
      </c>
    </row>
    <row r="148" spans="10:12" x14ac:dyDescent="0.3">
      <c r="J148" t="s">
        <v>222</v>
      </c>
      <c r="K148" t="s">
        <v>337</v>
      </c>
      <c r="L148" t="str">
        <f t="shared" si="50"/>
        <v>'valor_sc' : r_val['valor_sc'],</v>
      </c>
    </row>
    <row r="149" spans="10:12" x14ac:dyDescent="0.3">
      <c r="J149" t="s">
        <v>223</v>
      </c>
      <c r="K149" t="s">
        <v>338</v>
      </c>
      <c r="L149" t="str">
        <f t="shared" si="50"/>
        <v>'tipo_riesgo' : r_val['tipo_riesgo'],</v>
      </c>
    </row>
    <row r="150" spans="10:12" x14ac:dyDescent="0.3">
      <c r="J150" t="s">
        <v>616</v>
      </c>
      <c r="K150" t="s">
        <v>656</v>
      </c>
      <c r="L150" t="str">
        <f t="shared" si="50"/>
        <v>'nombre1' : r_val['nombre1'],</v>
      </c>
    </row>
    <row r="151" spans="10:12" x14ac:dyDescent="0.3">
      <c r="J151" t="s">
        <v>618</v>
      </c>
      <c r="K151" t="s">
        <v>657</v>
      </c>
      <c r="L151" t="str">
        <f t="shared" si="50"/>
        <v>'puesto1' : r_val['puesto1'],</v>
      </c>
    </row>
    <row r="152" spans="10:12" x14ac:dyDescent="0.3">
      <c r="J152" t="s">
        <v>636</v>
      </c>
      <c r="K152" t="s">
        <v>658</v>
      </c>
      <c r="L152" t="str">
        <f t="shared" si="50"/>
        <v>'m1' : r_val['m1'],</v>
      </c>
    </row>
    <row r="153" spans="10:12" x14ac:dyDescent="0.3">
      <c r="J153" t="s">
        <v>617</v>
      </c>
      <c r="K153" t="s">
        <v>659</v>
      </c>
      <c r="L153" t="str">
        <f t="shared" si="50"/>
        <v>'nombre2' : r_val['nombre2'],</v>
      </c>
    </row>
    <row r="154" spans="10:12" x14ac:dyDescent="0.3">
      <c r="J154" t="s">
        <v>619</v>
      </c>
      <c r="K154" t="s">
        <v>660</v>
      </c>
      <c r="L154" t="str">
        <f t="shared" si="50"/>
        <v>'puesto2' : r_val['puesto2'],</v>
      </c>
    </row>
    <row r="155" spans="10:12" x14ac:dyDescent="0.3">
      <c r="J155" t="s">
        <v>637</v>
      </c>
      <c r="K155" t="s">
        <v>661</v>
      </c>
      <c r="L155" t="str">
        <f t="shared" si="50"/>
        <v>'m2' : r_val['m2'],</v>
      </c>
    </row>
    <row r="156" spans="10:12" x14ac:dyDescent="0.3">
      <c r="J156" t="s">
        <v>620</v>
      </c>
      <c r="K156" t="s">
        <v>662</v>
      </c>
      <c r="L156" t="str">
        <f t="shared" si="50"/>
        <v>'nombre3' : r_val['nombre3'],</v>
      </c>
    </row>
    <row r="157" spans="10:12" x14ac:dyDescent="0.3">
      <c r="J157" t="s">
        <v>621</v>
      </c>
      <c r="K157" t="s">
        <v>663</v>
      </c>
      <c r="L157" t="str">
        <f t="shared" si="50"/>
        <v>'puesto3' : r_val['puesto3'],</v>
      </c>
    </row>
    <row r="158" spans="10:12" x14ac:dyDescent="0.3">
      <c r="J158" t="s">
        <v>638</v>
      </c>
      <c r="K158" t="s">
        <v>664</v>
      </c>
      <c r="L158" t="str">
        <f t="shared" si="50"/>
        <v>'m3' : r_val['m3'],</v>
      </c>
    </row>
    <row r="159" spans="10:12" x14ac:dyDescent="0.3">
      <c r="J159" t="s">
        <v>622</v>
      </c>
      <c r="K159" t="s">
        <v>665</v>
      </c>
      <c r="L159" t="str">
        <f t="shared" si="50"/>
        <v>'nombre4' : r_val['nombre4'],</v>
      </c>
    </row>
    <row r="160" spans="10:12" x14ac:dyDescent="0.3">
      <c r="J160" t="s">
        <v>623</v>
      </c>
      <c r="K160" t="s">
        <v>666</v>
      </c>
      <c r="L160" t="str">
        <f t="shared" si="50"/>
        <v>'puesto4' : r_val['puesto4'],</v>
      </c>
    </row>
    <row r="161" spans="10:12" x14ac:dyDescent="0.3">
      <c r="J161" t="s">
        <v>639</v>
      </c>
      <c r="K161" t="s">
        <v>667</v>
      </c>
      <c r="L161" t="str">
        <f t="shared" si="50"/>
        <v>'m4' : r_val['m4'],</v>
      </c>
    </row>
    <row r="162" spans="10:12" x14ac:dyDescent="0.3">
      <c r="J162" t="s">
        <v>624</v>
      </c>
      <c r="K162" t="s">
        <v>668</v>
      </c>
      <c r="L162" t="str">
        <f t="shared" si="50"/>
        <v>'nombre5' : r_val['nombre5'],</v>
      </c>
    </row>
    <row r="163" spans="10:12" x14ac:dyDescent="0.3">
      <c r="J163" t="s">
        <v>625</v>
      </c>
      <c r="K163" t="s">
        <v>669</v>
      </c>
      <c r="L163" t="str">
        <f t="shared" si="50"/>
        <v>'puesto5' : r_val['puesto5'],</v>
      </c>
    </row>
    <row r="164" spans="10:12" x14ac:dyDescent="0.3">
      <c r="J164" t="s">
        <v>640</v>
      </c>
      <c r="K164" t="s">
        <v>670</v>
      </c>
      <c r="L164" t="str">
        <f t="shared" si="50"/>
        <v>'m5' : r_val['m5'],</v>
      </c>
    </row>
    <row r="165" spans="10:12" x14ac:dyDescent="0.3">
      <c r="J165" t="s">
        <v>626</v>
      </c>
      <c r="K165" t="s">
        <v>671</v>
      </c>
      <c r="L165" t="str">
        <f t="shared" si="50"/>
        <v>'nombre6' : r_val['nombre6'],</v>
      </c>
    </row>
    <row r="166" spans="10:12" x14ac:dyDescent="0.3">
      <c r="J166" t="s">
        <v>627</v>
      </c>
      <c r="K166" t="s">
        <v>672</v>
      </c>
      <c r="L166" t="str">
        <f t="shared" si="50"/>
        <v>'puesto6' : r_val['puesto6'],</v>
      </c>
    </row>
    <row r="167" spans="10:12" x14ac:dyDescent="0.3">
      <c r="J167" t="s">
        <v>641</v>
      </c>
      <c r="K167" t="s">
        <v>673</v>
      </c>
      <c r="L167" t="str">
        <f t="shared" si="50"/>
        <v>'m6' : r_val['m6'],</v>
      </c>
    </row>
    <row r="168" spans="10:12" x14ac:dyDescent="0.3">
      <c r="J168" t="s">
        <v>628</v>
      </c>
      <c r="K168" t="s">
        <v>674</v>
      </c>
      <c r="L168" t="str">
        <f t="shared" si="50"/>
        <v>'nombre7' : r_val['nombre7'],</v>
      </c>
    </row>
    <row r="169" spans="10:12" x14ac:dyDescent="0.3">
      <c r="J169" t="s">
        <v>629</v>
      </c>
      <c r="K169" t="s">
        <v>675</v>
      </c>
      <c r="L169" t="str">
        <f t="shared" si="50"/>
        <v>'puesto7' : r_val['puesto7'],</v>
      </c>
    </row>
    <row r="170" spans="10:12" x14ac:dyDescent="0.3">
      <c r="J170" t="s">
        <v>642</v>
      </c>
      <c r="K170" t="s">
        <v>676</v>
      </c>
      <c r="L170" t="str">
        <f t="shared" si="50"/>
        <v>'m7' : r_val['m7'],</v>
      </c>
    </row>
    <row r="171" spans="10:12" x14ac:dyDescent="0.3">
      <c r="J171" t="s">
        <v>630</v>
      </c>
      <c r="K171" t="s">
        <v>677</v>
      </c>
      <c r="L171" t="str">
        <f t="shared" si="50"/>
        <v>'nombre8' : r_val['nombre8'],</v>
      </c>
    </row>
    <row r="172" spans="10:12" x14ac:dyDescent="0.3">
      <c r="J172" t="s">
        <v>631</v>
      </c>
      <c r="K172" t="s">
        <v>678</v>
      </c>
      <c r="L172" t="str">
        <f t="shared" si="50"/>
        <v>'puesto8' : r_val['puesto8'],</v>
      </c>
    </row>
    <row r="173" spans="10:12" x14ac:dyDescent="0.3">
      <c r="J173" t="s">
        <v>643</v>
      </c>
      <c r="K173" t="s">
        <v>679</v>
      </c>
      <c r="L173" t="str">
        <f t="shared" si="50"/>
        <v>'m8' : r_val['m8'],</v>
      </c>
    </row>
    <row r="174" spans="10:12" x14ac:dyDescent="0.3">
      <c r="J174" t="s">
        <v>632</v>
      </c>
      <c r="K174" t="s">
        <v>680</v>
      </c>
      <c r="L174" t="str">
        <f t="shared" si="50"/>
        <v>'nombre9' : r_val['nombre9'],</v>
      </c>
    </row>
    <row r="175" spans="10:12" x14ac:dyDescent="0.3">
      <c r="J175" t="s">
        <v>633</v>
      </c>
      <c r="K175" t="s">
        <v>681</v>
      </c>
      <c r="L175" t="str">
        <f t="shared" si="50"/>
        <v>'puesto9' : r_val['puesto9'],</v>
      </c>
    </row>
    <row r="176" spans="10:12" x14ac:dyDescent="0.3">
      <c r="J176" t="s">
        <v>644</v>
      </c>
      <c r="K176" t="s">
        <v>682</v>
      </c>
      <c r="L176" t="str">
        <f t="shared" si="50"/>
        <v>'m9' : r_val['m9'],</v>
      </c>
    </row>
    <row r="177" spans="10:12" x14ac:dyDescent="0.3">
      <c r="J177" t="s">
        <v>634</v>
      </c>
      <c r="K177" t="s">
        <v>683</v>
      </c>
      <c r="L177" t="str">
        <f t="shared" si="50"/>
        <v>'nombre10' : r_val['nombre10'],</v>
      </c>
    </row>
    <row r="178" spans="10:12" x14ac:dyDescent="0.3">
      <c r="J178" t="s">
        <v>635</v>
      </c>
      <c r="K178" t="s">
        <v>684</v>
      </c>
      <c r="L178" t="str">
        <f t="shared" si="50"/>
        <v>'puesto10' : r_val['puesto10'],</v>
      </c>
    </row>
    <row r="179" spans="10:12" x14ac:dyDescent="0.3">
      <c r="J179" t="s">
        <v>645</v>
      </c>
      <c r="K179" t="s">
        <v>685</v>
      </c>
      <c r="L179" t="str">
        <f t="shared" si="50"/>
        <v>'m10' : r_val['m10'],</v>
      </c>
    </row>
    <row r="180" spans="10:12" x14ac:dyDescent="0.3">
      <c r="J180" t="s">
        <v>1727</v>
      </c>
      <c r="K180" t="str">
        <f>+_xlfn.CONCAT("{{ ",J180," }}")</f>
        <v>{{ registro_perito }}</v>
      </c>
      <c r="L180" t="str">
        <f t="shared" si="50"/>
        <v>'registro_perito' : r_val['registro_perito'],</v>
      </c>
    </row>
    <row r="181" spans="10:12" x14ac:dyDescent="0.3">
      <c r="J181" t="s">
        <v>1728</v>
      </c>
      <c r="K181" t="str">
        <f>+_xlfn.CONCAT("{{ ",J181," }}")</f>
        <v>{{ no_registro }}</v>
      </c>
      <c r="L181" t="str">
        <f t="shared" si="50"/>
        <v>'no_registro' : r_val['no_registro'],</v>
      </c>
    </row>
    <row r="182" spans="10:12" x14ac:dyDescent="0.3">
      <c r="J182" t="s">
        <v>1732</v>
      </c>
      <c r="K182" t="str">
        <f t="shared" ref="K182:K183" si="51">+_xlfn.CONCAT("{{ ",J182," }}")</f>
        <v>{{ dh_int }}</v>
      </c>
      <c r="L182" t="str">
        <f t="shared" ref="L182:L183" si="52">+_xlfn.CONCAT("'",J182,"' : r_val['",J182,"'],")</f>
        <v>'dh_int' : r_val['dh_int'],</v>
      </c>
    </row>
    <row r="183" spans="10:12" x14ac:dyDescent="0.3">
      <c r="J183" t="s">
        <v>1733</v>
      </c>
      <c r="K183" t="str">
        <f t="shared" si="51"/>
        <v>{{ dh_ext }}</v>
      </c>
      <c r="L183" t="str">
        <f t="shared" si="52"/>
        <v>'dh_ext' : r_val['dh_ext'],</v>
      </c>
    </row>
    <row r="184" spans="10:12" x14ac:dyDescent="0.3">
      <c r="J184" t="s">
        <v>1734</v>
      </c>
      <c r="K184" t="str">
        <f t="shared" ref="K184" si="53">+_xlfn.CONCAT("{{ ",J184," }}")</f>
        <v>{{ detectores_ext }}</v>
      </c>
      <c r="L184" t="str">
        <f t="shared" ref="L184" si="54">+_xlfn.CONCAT("'",J184,"' : r_val['",J184,"'],")</f>
        <v>'detectores_ext' : r_val['detectores_ext'],</v>
      </c>
    </row>
    <row r="185" spans="10:12" x14ac:dyDescent="0.3">
      <c r="J185" t="s">
        <v>1735</v>
      </c>
      <c r="K185" t="str">
        <f t="shared" ref="K185" si="55">+_xlfn.CONCAT("{{ ",J185," }}")</f>
        <v>{{ coord_sup_puesto }}</v>
      </c>
      <c r="L185" t="str">
        <f t="shared" ref="L185" si="56">+_xlfn.CONCAT("'",J185,"' : r_val['",J185,"'],")</f>
        <v>'coord_sup_puesto' : r_val['coord_sup_puesto'],</v>
      </c>
    </row>
    <row r="186" spans="10:12" x14ac:dyDescent="0.3">
      <c r="J186" t="s">
        <v>1741</v>
      </c>
      <c r="K186" t="str">
        <f t="shared" ref="K186:K189" si="57">+_xlfn.CONCAT("{{ ",J186," }}")</f>
        <v>{{ riesgo1 }}</v>
      </c>
      <c r="L186" t="str">
        <f t="shared" ref="L186:L189" si="58">+_xlfn.CONCAT("'",J186,"' : r_val['",J186,"'],")</f>
        <v>'riesgo1' : r_val['riesgo1'],</v>
      </c>
    </row>
    <row r="187" spans="10:12" x14ac:dyDescent="0.3">
      <c r="J187" t="s">
        <v>1742</v>
      </c>
      <c r="K187" t="str">
        <f t="shared" si="57"/>
        <v>{{ riesgo2 }}</v>
      </c>
      <c r="L187" t="str">
        <f t="shared" si="58"/>
        <v>'riesgo2' : r_val['riesgo2'],</v>
      </c>
    </row>
    <row r="188" spans="10:12" x14ac:dyDescent="0.3">
      <c r="J188" t="s">
        <v>1743</v>
      </c>
      <c r="K188" t="str">
        <f t="shared" si="57"/>
        <v>{{ riesgo3 }}</v>
      </c>
      <c r="L188" t="str">
        <f t="shared" si="58"/>
        <v>'riesgo3' : r_val['riesgo3'],</v>
      </c>
    </row>
    <row r="189" spans="10:12" x14ac:dyDescent="0.3">
      <c r="J189" t="s">
        <v>1744</v>
      </c>
      <c r="K189" t="str">
        <f t="shared" si="57"/>
        <v>{{ riesgo4 }}</v>
      </c>
      <c r="L189" t="str">
        <f t="shared" si="58"/>
        <v>'riesgo4' : r_val['riesgo4'],</v>
      </c>
    </row>
    <row r="190" spans="10:12" x14ac:dyDescent="0.3">
      <c r="J190" t="s">
        <v>1748</v>
      </c>
      <c r="K190" t="str">
        <f t="shared" ref="K190" si="59">+_xlfn.CONCAT("{{ ",J190," }}")</f>
        <v>{{ valor_gri }}</v>
      </c>
      <c r="L190" t="str">
        <f t="shared" ref="L190" si="60">+_xlfn.CONCAT("'",J190,"' : r_val['",J190,"'],")</f>
        <v>'valor_gri' : r_val['valor_gri'],</v>
      </c>
    </row>
    <row r="191" spans="10:12" x14ac:dyDescent="0.3">
      <c r="J191" t="s">
        <v>1749</v>
      </c>
      <c r="K191" t="str">
        <f t="shared" ref="K191:K194" si="61">+_xlfn.CONCAT("{{ ",J191," }}")</f>
        <v>{{ medidas_ries1 }}</v>
      </c>
      <c r="L191" t="str">
        <f t="shared" ref="L191:L194" si="62">+_xlfn.CONCAT("'",J191,"' : r_val['",J191,"'],")</f>
        <v>'medidas_ries1' : r_val['medidas_ries1'],</v>
      </c>
    </row>
    <row r="192" spans="10:12" x14ac:dyDescent="0.3">
      <c r="J192" t="s">
        <v>1750</v>
      </c>
      <c r="K192" t="str">
        <f t="shared" si="61"/>
        <v>{{ medidas_ries2 }}</v>
      </c>
      <c r="L192" t="str">
        <f t="shared" si="62"/>
        <v>'medidas_ries2' : r_val['medidas_ries2'],</v>
      </c>
    </row>
    <row r="193" spans="10:12" x14ac:dyDescent="0.3">
      <c r="J193" t="s">
        <v>1751</v>
      </c>
      <c r="K193" t="str">
        <f t="shared" si="61"/>
        <v>{{ medidas_ries3 }}</v>
      </c>
      <c r="L193" t="str">
        <f t="shared" si="62"/>
        <v>'medidas_ries3' : r_val['medidas_ries3'],</v>
      </c>
    </row>
    <row r="194" spans="10:12" x14ac:dyDescent="0.3">
      <c r="J194" t="s">
        <v>1752</v>
      </c>
      <c r="K194" t="str">
        <f t="shared" si="61"/>
        <v>{{ medidas_ries4 }}</v>
      </c>
      <c r="L194" t="str">
        <f t="shared" si="62"/>
        <v>'medidas_ries4' : r_val['medidas_ries4'],</v>
      </c>
    </row>
    <row r="195" spans="10:12" x14ac:dyDescent="0.3">
      <c r="J195" t="s">
        <v>2075</v>
      </c>
      <c r="K195" t="str">
        <f t="shared" ref="K195:K210" si="63">+_xlfn.CONCAT("{{ ",J195," }}")</f>
        <v>{{ barretas }}</v>
      </c>
      <c r="L195" t="str">
        <f t="shared" ref="L195:L210" si="64">+_xlfn.CONCAT("'",J195,"' : r_val['",J195,"'],")</f>
        <v>'barretas' : r_val['barretas'],</v>
      </c>
    </row>
    <row r="196" spans="10:12" x14ac:dyDescent="0.3">
      <c r="J196" t="s">
        <v>2076</v>
      </c>
      <c r="K196" t="str">
        <f t="shared" si="63"/>
        <v>{{ barretas_ubicacion }}</v>
      </c>
      <c r="L196" t="str">
        <f t="shared" si="64"/>
        <v>'barretas_ubicacion' : r_val['barretas_ubicacion'],</v>
      </c>
    </row>
    <row r="197" spans="10:12" x14ac:dyDescent="0.3">
      <c r="J197" t="s">
        <v>2077</v>
      </c>
      <c r="K197" t="str">
        <f t="shared" si="63"/>
        <v>{{ banderines }}</v>
      </c>
      <c r="L197" t="str">
        <f t="shared" si="64"/>
        <v>'banderines' : r_val['banderines'],</v>
      </c>
    </row>
    <row r="198" spans="10:12" x14ac:dyDescent="0.3">
      <c r="J198" t="s">
        <v>2078</v>
      </c>
      <c r="K198" t="str">
        <f t="shared" si="63"/>
        <v>{{ banderines_ubicacion }}</v>
      </c>
      <c r="L198" t="str">
        <f t="shared" si="64"/>
        <v>'banderines_ubicacion' : r_val['banderines_ubicacion'],</v>
      </c>
    </row>
    <row r="199" spans="10:12" x14ac:dyDescent="0.3">
      <c r="J199" t="s">
        <v>2079</v>
      </c>
      <c r="K199" t="str">
        <f t="shared" si="63"/>
        <v>{{ casco }}</v>
      </c>
      <c r="L199" t="str">
        <f t="shared" si="64"/>
        <v>'casco' : r_val['casco'],</v>
      </c>
    </row>
    <row r="200" spans="10:12" x14ac:dyDescent="0.3">
      <c r="J200" t="s">
        <v>2080</v>
      </c>
      <c r="K200" t="str">
        <f t="shared" si="63"/>
        <v>{{ casco_ubicacion }}</v>
      </c>
      <c r="L200" t="str">
        <f t="shared" si="64"/>
        <v>'casco_ubicacion' : r_val['casco_ubicacion'],</v>
      </c>
    </row>
    <row r="201" spans="10:12" x14ac:dyDescent="0.3">
      <c r="J201" t="s">
        <v>2081</v>
      </c>
      <c r="K201" t="str">
        <f t="shared" si="63"/>
        <v>{{ guantes }}</v>
      </c>
      <c r="L201" t="str">
        <f t="shared" si="64"/>
        <v>'guantes' : r_val['guantes'],</v>
      </c>
    </row>
    <row r="202" spans="10:12" x14ac:dyDescent="0.3">
      <c r="J202" t="s">
        <v>2082</v>
      </c>
      <c r="K202" t="str">
        <f t="shared" si="63"/>
        <v>{{ guantes_ubicacion }}</v>
      </c>
      <c r="L202" t="str">
        <f t="shared" si="64"/>
        <v>'guantes_ubicacion' : r_val['guantes_ubicacion'],</v>
      </c>
    </row>
    <row r="203" spans="10:12" x14ac:dyDescent="0.3">
      <c r="J203" t="s">
        <v>2083</v>
      </c>
      <c r="K203" t="str">
        <f t="shared" si="63"/>
        <v>{{ linterna }}</v>
      </c>
      <c r="L203" t="str">
        <f t="shared" si="64"/>
        <v>'linterna' : r_val['linterna'],</v>
      </c>
    </row>
    <row r="204" spans="10:12" x14ac:dyDescent="0.3">
      <c r="J204" t="s">
        <v>2084</v>
      </c>
      <c r="K204" t="str">
        <f t="shared" si="63"/>
        <v>{{ linterna_ubicacion }}</v>
      </c>
      <c r="L204" t="str">
        <f t="shared" si="64"/>
        <v>'linterna_ubicacion' : r_val['linterna_ubicacion'],</v>
      </c>
    </row>
    <row r="205" spans="10:12" x14ac:dyDescent="0.3">
      <c r="J205" t="s">
        <v>2085</v>
      </c>
      <c r="K205" t="str">
        <f t="shared" si="63"/>
        <v>{{ pala }}</v>
      </c>
      <c r="L205" t="str">
        <f t="shared" si="64"/>
        <v>'pala' : r_val['pala'],</v>
      </c>
    </row>
    <row r="206" spans="10:12" x14ac:dyDescent="0.3">
      <c r="J206" t="s">
        <v>2086</v>
      </c>
      <c r="K206" t="str">
        <f t="shared" si="63"/>
        <v>{{ pala_ubicacion }}</v>
      </c>
      <c r="L206" t="str">
        <f t="shared" si="64"/>
        <v>'pala_ubicacion' : r_val['pala_ubicacion'],</v>
      </c>
    </row>
    <row r="207" spans="10:12" x14ac:dyDescent="0.3">
      <c r="J207" t="s">
        <v>2087</v>
      </c>
      <c r="K207" t="str">
        <f t="shared" si="63"/>
        <v>{{ pico }}</v>
      </c>
      <c r="L207" t="str">
        <f t="shared" si="64"/>
        <v>'pico' : r_val['pico'],</v>
      </c>
    </row>
    <row r="208" spans="10:12" x14ac:dyDescent="0.3">
      <c r="J208" t="s">
        <v>2088</v>
      </c>
      <c r="K208" t="str">
        <f t="shared" si="63"/>
        <v>{{ pico_ubicacion }}</v>
      </c>
      <c r="L208" t="str">
        <f t="shared" si="64"/>
        <v>'pico_ubicacion' : r_val['pico_ubicacion'],</v>
      </c>
    </row>
    <row r="209" spans="10:12" x14ac:dyDescent="0.3">
      <c r="J209" t="s">
        <v>2089</v>
      </c>
      <c r="K209" t="str">
        <f t="shared" si="63"/>
        <v>{{ camilla }}</v>
      </c>
      <c r="L209" t="str">
        <f t="shared" si="64"/>
        <v>'camilla' : r_val['camilla'],</v>
      </c>
    </row>
    <row r="210" spans="10:12" x14ac:dyDescent="0.3">
      <c r="J210" t="s">
        <v>2090</v>
      </c>
      <c r="K210" t="str">
        <f t="shared" si="63"/>
        <v>{{ camilla_ubicacion }}</v>
      </c>
      <c r="L210" t="str">
        <f t="shared" si="64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2024-05-12T03:01:55Z</dcterms:modified>
</cp:coreProperties>
</file>