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78e1a455e5c02ce/Documentos/GitHub/Proyecto_PIPC/"/>
    </mc:Choice>
  </mc:AlternateContent>
  <xr:revisionPtr revIDLastSave="4" documentId="8_{B145F242-E461-4697-BC30-B63A2CA7B06A}" xr6:coauthVersionLast="47" xr6:coauthVersionMax="47" xr10:uidLastSave="{5FEB531F-07F2-44EF-A54B-53C4CBF1A992}"/>
  <bookViews>
    <workbookView xWindow="-108" yWindow="-108" windowWidth="23256" windowHeight="12456" activeTab="2" xr2:uid="{3F095A75-F066-4695-8672-8D4315F1EF23}"/>
  </bookViews>
  <sheets>
    <sheet name="BD" sheetId="1" r:id="rId1"/>
    <sheet name="DATOS" sheetId="2" r:id="rId2"/>
    <sheet name="CODE" sheetId="4" r:id="rId3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" i="4" l="1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80" i="4"/>
  <c r="N88" i="4"/>
  <c r="N92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1" i="4"/>
  <c r="L210" i="4"/>
  <c r="K210" i="4"/>
  <c r="L209" i="4"/>
  <c r="K209" i="4"/>
  <c r="L208" i="4"/>
  <c r="K208" i="4"/>
  <c r="L207" i="4"/>
  <c r="K207" i="4"/>
  <c r="L206" i="4"/>
  <c r="K206" i="4"/>
  <c r="L205" i="4"/>
  <c r="K205" i="4"/>
  <c r="L204" i="4"/>
  <c r="K204" i="4"/>
  <c r="L203" i="4"/>
  <c r="K203" i="4"/>
  <c r="L202" i="4"/>
  <c r="K202" i="4"/>
  <c r="L201" i="4"/>
  <c r="K201" i="4"/>
  <c r="L200" i="4"/>
  <c r="K200" i="4"/>
  <c r="L199" i="4"/>
  <c r="K199" i="4"/>
  <c r="L198" i="4"/>
  <c r="K198" i="4"/>
  <c r="L197" i="4"/>
  <c r="K197" i="4"/>
  <c r="L196" i="4"/>
  <c r="K196" i="4"/>
  <c r="L195" i="4"/>
  <c r="K195" i="4"/>
  <c r="L194" i="4"/>
  <c r="K194" i="4"/>
  <c r="L193" i="4"/>
  <c r="K193" i="4"/>
  <c r="L192" i="4"/>
  <c r="K192" i="4"/>
  <c r="L191" i="4"/>
  <c r="K191" i="4"/>
  <c r="L190" i="4"/>
  <c r="K190" i="4"/>
  <c r="L189" i="4"/>
  <c r="K189" i="4"/>
  <c r="L188" i="4"/>
  <c r="K188" i="4"/>
  <c r="L187" i="4"/>
  <c r="K187" i="4"/>
  <c r="L186" i="4"/>
  <c r="K186" i="4"/>
  <c r="L185" i="4"/>
  <c r="K185" i="4"/>
  <c r="L184" i="4"/>
  <c r="K184" i="4"/>
  <c r="L183" i="4"/>
  <c r="K183" i="4"/>
  <c r="L182" i="4"/>
  <c r="K182" i="4"/>
  <c r="L181" i="4"/>
  <c r="K181" i="4"/>
  <c r="L180" i="4"/>
  <c r="K180" i="4"/>
  <c r="L179" i="4"/>
  <c r="L178" i="4"/>
  <c r="L177" i="4"/>
  <c r="L176" i="4"/>
  <c r="L175" i="4"/>
  <c r="L174" i="4"/>
  <c r="L173" i="4"/>
  <c r="L172" i="4"/>
  <c r="L171" i="4"/>
  <c r="L170" i="4"/>
  <c r="L169" i="4"/>
  <c r="L168" i="4"/>
  <c r="L167" i="4"/>
  <c r="L166" i="4"/>
  <c r="L165" i="4"/>
  <c r="L164" i="4"/>
  <c r="L163" i="4"/>
  <c r="L162" i="4"/>
  <c r="L161" i="4"/>
  <c r="L160" i="4"/>
  <c r="L159" i="4"/>
  <c r="L158" i="4"/>
  <c r="L157" i="4"/>
  <c r="L156" i="4"/>
  <c r="L155" i="4"/>
  <c r="L154" i="4"/>
  <c r="L153" i="4"/>
  <c r="L152" i="4"/>
  <c r="L151" i="4"/>
  <c r="L150" i="4"/>
  <c r="L149" i="4"/>
  <c r="L148" i="4"/>
  <c r="L147" i="4"/>
  <c r="L146" i="4"/>
  <c r="L145" i="4"/>
  <c r="L144" i="4"/>
  <c r="L143" i="4"/>
  <c r="L142" i="4"/>
  <c r="L141" i="4"/>
  <c r="L140" i="4"/>
  <c r="L139" i="4"/>
  <c r="L138" i="4"/>
  <c r="L137" i="4"/>
  <c r="L136" i="4"/>
  <c r="L135" i="4"/>
  <c r="L134" i="4"/>
  <c r="L133" i="4"/>
  <c r="L132" i="4"/>
  <c r="L131" i="4"/>
  <c r="L130" i="4"/>
  <c r="L129" i="4"/>
  <c r="L128" i="4"/>
  <c r="L127" i="4"/>
  <c r="L126" i="4"/>
  <c r="M125" i="4"/>
  <c r="L125" i="4"/>
  <c r="G125" i="4"/>
  <c r="F125" i="4"/>
  <c r="N125" i="4" s="1"/>
  <c r="M124" i="4"/>
  <c r="L124" i="4"/>
  <c r="G124" i="4"/>
  <c r="F124" i="4"/>
  <c r="N124" i="4" s="1"/>
  <c r="M123" i="4"/>
  <c r="L123" i="4"/>
  <c r="G123" i="4"/>
  <c r="M122" i="4"/>
  <c r="L122" i="4"/>
  <c r="G122" i="4"/>
  <c r="M121" i="4"/>
  <c r="L121" i="4"/>
  <c r="G121" i="4"/>
  <c r="M120" i="4"/>
  <c r="L120" i="4"/>
  <c r="G120" i="4"/>
  <c r="M119" i="4"/>
  <c r="L119" i="4"/>
  <c r="G119" i="4"/>
  <c r="M118" i="4"/>
  <c r="L118" i="4"/>
  <c r="G118" i="4"/>
  <c r="M117" i="4"/>
  <c r="L117" i="4"/>
  <c r="G117" i="4"/>
  <c r="M116" i="4"/>
  <c r="L116" i="4"/>
  <c r="G116" i="4"/>
  <c r="M115" i="4"/>
  <c r="L115" i="4"/>
  <c r="G115" i="4"/>
  <c r="M114" i="4"/>
  <c r="L114" i="4"/>
  <c r="G114" i="4"/>
  <c r="M113" i="4"/>
  <c r="L113" i="4"/>
  <c r="G113" i="4"/>
  <c r="M112" i="4"/>
  <c r="L112" i="4"/>
  <c r="G112" i="4"/>
  <c r="M111" i="4"/>
  <c r="L111" i="4"/>
  <c r="G111" i="4"/>
  <c r="M110" i="4"/>
  <c r="L110" i="4"/>
  <c r="G110" i="4"/>
  <c r="M109" i="4"/>
  <c r="L109" i="4"/>
  <c r="G109" i="4"/>
  <c r="M108" i="4"/>
  <c r="L108" i="4"/>
  <c r="G108" i="4"/>
  <c r="M107" i="4"/>
  <c r="L107" i="4"/>
  <c r="G107" i="4"/>
  <c r="M106" i="4"/>
  <c r="L106" i="4"/>
  <c r="G106" i="4"/>
  <c r="M105" i="4"/>
  <c r="L105" i="4"/>
  <c r="G105" i="4"/>
  <c r="F105" i="4"/>
  <c r="N105" i="4" s="1"/>
  <c r="M104" i="4"/>
  <c r="L104" i="4"/>
  <c r="G104" i="4"/>
  <c r="F104" i="4"/>
  <c r="N104" i="4" s="1"/>
  <c r="M103" i="4"/>
  <c r="L103" i="4"/>
  <c r="G103" i="4"/>
  <c r="F103" i="4"/>
  <c r="N103" i="4" s="1"/>
  <c r="M102" i="4"/>
  <c r="L102" i="4"/>
  <c r="G102" i="4"/>
  <c r="F102" i="4"/>
  <c r="N102" i="4" s="1"/>
  <c r="M101" i="4"/>
  <c r="L101" i="4"/>
  <c r="G101" i="4"/>
  <c r="F101" i="4"/>
  <c r="N101" i="4" s="1"/>
  <c r="M100" i="4"/>
  <c r="L100" i="4"/>
  <c r="G100" i="4"/>
  <c r="F100" i="4"/>
  <c r="N100" i="4" s="1"/>
  <c r="M99" i="4"/>
  <c r="L99" i="4"/>
  <c r="G99" i="4"/>
  <c r="F99" i="4"/>
  <c r="N99" i="4" s="1"/>
  <c r="M98" i="4"/>
  <c r="L98" i="4"/>
  <c r="G98" i="4"/>
  <c r="F98" i="4"/>
  <c r="N98" i="4" s="1"/>
  <c r="M97" i="4"/>
  <c r="L97" i="4"/>
  <c r="G97" i="4"/>
  <c r="F97" i="4"/>
  <c r="N97" i="4" s="1"/>
  <c r="M96" i="4"/>
  <c r="L96" i="4"/>
  <c r="G96" i="4"/>
  <c r="F96" i="4"/>
  <c r="N96" i="4" s="1"/>
  <c r="M95" i="4"/>
  <c r="L95" i="4"/>
  <c r="G95" i="4"/>
  <c r="F95" i="4"/>
  <c r="N95" i="4" s="1"/>
  <c r="M94" i="4"/>
  <c r="L94" i="4"/>
  <c r="G94" i="4"/>
  <c r="F94" i="4"/>
  <c r="N94" i="4" s="1"/>
  <c r="M93" i="4"/>
  <c r="L93" i="4"/>
  <c r="G93" i="4"/>
  <c r="F93" i="4"/>
  <c r="N93" i="4" s="1"/>
  <c r="M92" i="4"/>
  <c r="L92" i="4"/>
  <c r="M91" i="4"/>
  <c r="L91" i="4"/>
  <c r="G91" i="4"/>
  <c r="F91" i="4"/>
  <c r="N91" i="4" s="1"/>
  <c r="M90" i="4"/>
  <c r="L90" i="4"/>
  <c r="G90" i="4"/>
  <c r="F90" i="4"/>
  <c r="N90" i="4" s="1"/>
  <c r="M89" i="4"/>
  <c r="L89" i="4"/>
  <c r="G89" i="4"/>
  <c r="F89" i="4"/>
  <c r="N89" i="4" s="1"/>
  <c r="M88" i="4"/>
  <c r="L88" i="4"/>
  <c r="G88" i="4"/>
  <c r="F88" i="4"/>
  <c r="M87" i="4"/>
  <c r="L87" i="4"/>
  <c r="G87" i="4"/>
  <c r="F87" i="4"/>
  <c r="N87" i="4" s="1"/>
  <c r="M86" i="4"/>
  <c r="L86" i="4"/>
  <c r="G86" i="4"/>
  <c r="F86" i="4"/>
  <c r="N86" i="4" s="1"/>
  <c r="M85" i="4"/>
  <c r="L85" i="4"/>
  <c r="G85" i="4"/>
  <c r="F85" i="4"/>
  <c r="N85" i="4" s="1"/>
  <c r="M84" i="4"/>
  <c r="L84" i="4"/>
  <c r="G84" i="4"/>
  <c r="F84" i="4"/>
  <c r="N84" i="4" s="1"/>
  <c r="M83" i="4"/>
  <c r="L83" i="4"/>
  <c r="G83" i="4"/>
  <c r="F83" i="4"/>
  <c r="N83" i="4" s="1"/>
  <c r="M82" i="4"/>
  <c r="L82" i="4"/>
  <c r="G82" i="4"/>
  <c r="F82" i="4"/>
  <c r="N82" i="4" s="1"/>
  <c r="M81" i="4"/>
  <c r="L81" i="4"/>
  <c r="G81" i="4"/>
  <c r="F81" i="4"/>
  <c r="N81" i="4" s="1"/>
  <c r="M80" i="4"/>
  <c r="L80" i="4"/>
  <c r="G80" i="4"/>
  <c r="F80" i="4"/>
  <c r="M79" i="4"/>
  <c r="L79" i="4"/>
  <c r="G79" i="4"/>
  <c r="F79" i="4"/>
  <c r="N79" i="4" s="1"/>
  <c r="M78" i="4"/>
  <c r="L78" i="4"/>
  <c r="G78" i="4"/>
  <c r="F78" i="4"/>
  <c r="N78" i="4" s="1"/>
  <c r="M77" i="4"/>
  <c r="L77" i="4"/>
  <c r="G77" i="4"/>
  <c r="F77" i="4"/>
  <c r="N77" i="4" s="1"/>
  <c r="M76" i="4"/>
  <c r="L76" i="4"/>
  <c r="G76" i="4"/>
  <c r="F76" i="4"/>
  <c r="N76" i="4" s="1"/>
  <c r="M75" i="4"/>
  <c r="L75" i="4"/>
  <c r="G75" i="4"/>
  <c r="F75" i="4"/>
  <c r="N75" i="4" s="1"/>
  <c r="M74" i="4"/>
  <c r="L74" i="4"/>
  <c r="G74" i="4"/>
  <c r="F74" i="4"/>
  <c r="N74" i="4" s="1"/>
  <c r="M73" i="4"/>
  <c r="L73" i="4"/>
  <c r="M72" i="4"/>
  <c r="L72" i="4"/>
  <c r="M71" i="4"/>
  <c r="L71" i="4"/>
  <c r="M70" i="4"/>
  <c r="L70" i="4"/>
  <c r="M69" i="4"/>
  <c r="L69" i="4"/>
  <c r="M68" i="4"/>
  <c r="L68" i="4"/>
  <c r="M67" i="4"/>
  <c r="L67" i="4"/>
  <c r="M66" i="4"/>
  <c r="L66" i="4"/>
  <c r="M65" i="4"/>
  <c r="L65" i="4"/>
  <c r="M64" i="4"/>
  <c r="L64" i="4"/>
  <c r="M63" i="4"/>
  <c r="L63" i="4"/>
  <c r="M62" i="4"/>
  <c r="L62" i="4"/>
  <c r="M61" i="4"/>
  <c r="L61" i="4"/>
  <c r="M60" i="4"/>
  <c r="L60" i="4"/>
  <c r="M59" i="4"/>
  <c r="L59" i="4"/>
  <c r="M58" i="4"/>
  <c r="L58" i="4"/>
  <c r="M57" i="4"/>
  <c r="L57" i="4"/>
  <c r="M56" i="4"/>
  <c r="L56" i="4"/>
  <c r="M55" i="4"/>
  <c r="L55" i="4"/>
  <c r="M54" i="4"/>
  <c r="L54" i="4"/>
  <c r="M53" i="4"/>
  <c r="L53" i="4"/>
  <c r="M52" i="4"/>
  <c r="L52" i="4"/>
  <c r="M51" i="4"/>
  <c r="L51" i="4"/>
  <c r="M50" i="4"/>
  <c r="L50" i="4"/>
  <c r="M49" i="4"/>
  <c r="L49" i="4"/>
  <c r="M48" i="4"/>
  <c r="L48" i="4"/>
  <c r="M47" i="4"/>
  <c r="L47" i="4"/>
  <c r="M46" i="4"/>
  <c r="L46" i="4"/>
  <c r="M45" i="4"/>
  <c r="L45" i="4"/>
  <c r="M44" i="4"/>
  <c r="L44" i="4"/>
  <c r="M43" i="4"/>
  <c r="L43" i="4"/>
  <c r="M42" i="4"/>
  <c r="L42" i="4"/>
  <c r="M41" i="4"/>
  <c r="L41" i="4"/>
  <c r="M40" i="4"/>
  <c r="L40" i="4"/>
  <c r="M39" i="4"/>
  <c r="L39" i="4"/>
  <c r="M38" i="4"/>
  <c r="L38" i="4"/>
  <c r="M37" i="4"/>
  <c r="L37" i="4"/>
  <c r="M36" i="4"/>
  <c r="L36" i="4"/>
  <c r="M35" i="4"/>
  <c r="L35" i="4"/>
  <c r="M34" i="4"/>
  <c r="L34" i="4"/>
  <c r="M33" i="4"/>
  <c r="L33" i="4"/>
  <c r="M32" i="4"/>
  <c r="L32" i="4"/>
  <c r="M31" i="4"/>
  <c r="L31" i="4"/>
  <c r="M30" i="4"/>
  <c r="L30" i="4"/>
  <c r="M29" i="4"/>
  <c r="L29" i="4"/>
  <c r="M28" i="4"/>
  <c r="L28" i="4"/>
  <c r="M27" i="4"/>
  <c r="L27" i="4"/>
  <c r="M26" i="4"/>
  <c r="L26" i="4"/>
  <c r="M25" i="4"/>
  <c r="L25" i="4"/>
  <c r="M24" i="4"/>
  <c r="L24" i="4"/>
  <c r="M23" i="4"/>
  <c r="L23" i="4"/>
  <c r="M22" i="4"/>
  <c r="L22" i="4"/>
  <c r="M21" i="4"/>
  <c r="L21" i="4"/>
  <c r="M20" i="4"/>
  <c r="L20" i="4"/>
  <c r="M19" i="4"/>
  <c r="L19" i="4"/>
  <c r="M18" i="4"/>
  <c r="L18" i="4"/>
  <c r="M17" i="4"/>
  <c r="L17" i="4"/>
  <c r="M16" i="4"/>
  <c r="L16" i="4"/>
  <c r="M15" i="4"/>
  <c r="L15" i="4"/>
  <c r="M14" i="4"/>
  <c r="L14" i="4"/>
  <c r="M13" i="4"/>
  <c r="L13" i="4"/>
  <c r="M12" i="4"/>
  <c r="L12" i="4"/>
  <c r="M11" i="4"/>
  <c r="L11" i="4"/>
  <c r="M10" i="4"/>
  <c r="L10" i="4"/>
  <c r="M9" i="4"/>
  <c r="L9" i="4"/>
  <c r="M8" i="4"/>
  <c r="L8" i="4"/>
  <c r="M7" i="4"/>
  <c r="L7" i="4"/>
  <c r="M6" i="4"/>
  <c r="L6" i="4"/>
  <c r="M5" i="4"/>
  <c r="L5" i="4"/>
  <c r="M4" i="4"/>
  <c r="L4" i="4"/>
  <c r="M3" i="4"/>
  <c r="L3" i="4"/>
  <c r="M2" i="4"/>
  <c r="L2" i="4"/>
  <c r="M1" i="4"/>
  <c r="L1" i="4"/>
  <c r="KX2" i="2"/>
  <c r="KW2" i="2"/>
  <c r="GC2" i="2"/>
  <c r="GB2" i="2"/>
  <c r="GA2" i="2"/>
  <c r="FZ2" i="2"/>
  <c r="FY2" i="2"/>
  <c r="FX2" i="2"/>
  <c r="FW2" i="2"/>
  <c r="FV2" i="2"/>
  <c r="FU2" i="2"/>
  <c r="FT2" i="2"/>
  <c r="FS2" i="2"/>
  <c r="FR2" i="2"/>
  <c r="FQ2" i="2"/>
  <c r="FP2" i="2"/>
  <c r="FO2" i="2"/>
  <c r="FN2" i="2"/>
  <c r="FM2" i="2"/>
  <c r="FL2" i="2"/>
  <c r="FK2" i="2"/>
  <c r="FJ2" i="2"/>
  <c r="FI2" i="2"/>
  <c r="FH2" i="2"/>
  <c r="FG2" i="2"/>
  <c r="FF2" i="2"/>
  <c r="FE2" i="2"/>
  <c r="FD2" i="2"/>
  <c r="FC2" i="2"/>
  <c r="FB2" i="2"/>
  <c r="FA2" i="2"/>
  <c r="EZ2" i="2"/>
  <c r="EY2" i="2"/>
  <c r="EX2" i="2"/>
  <c r="EW2" i="2"/>
  <c r="EV2" i="2"/>
  <c r="EU2" i="2"/>
  <c r="ET2" i="2"/>
  <c r="ES2" i="2"/>
  <c r="ER2" i="2"/>
  <c r="EQ2" i="2"/>
  <c r="EP2" i="2"/>
  <c r="EO2" i="2"/>
  <c r="EN2" i="2"/>
  <c r="EM2" i="2"/>
  <c r="EL2" i="2"/>
  <c r="EK2" i="2"/>
  <c r="EJ2" i="2"/>
  <c r="EI2" i="2"/>
  <c r="EH2" i="2"/>
  <c r="EG2" i="2"/>
  <c r="EF2" i="2"/>
  <c r="EE2" i="2"/>
  <c r="ED2" i="2"/>
  <c r="EC2" i="2"/>
  <c r="EB2" i="2"/>
  <c r="EA2" i="2"/>
  <c r="DZ2" i="2"/>
  <c r="DY2" i="2"/>
  <c r="DX2" i="2"/>
  <c r="DW2" i="2"/>
  <c r="DV2" i="2"/>
  <c r="DU2" i="2"/>
  <c r="DT2" i="2"/>
  <c r="DS2" i="2"/>
  <c r="DR2" i="2"/>
  <c r="DQ2" i="2"/>
  <c r="DP2" i="2"/>
  <c r="DO2" i="2"/>
  <c r="DN2" i="2"/>
  <c r="DM2" i="2"/>
  <c r="DL2" i="2"/>
  <c r="DK2" i="2"/>
  <c r="DJ2" i="2"/>
  <c r="DI2" i="2"/>
  <c r="DH2" i="2"/>
  <c r="DG2" i="2"/>
  <c r="DF2" i="2"/>
  <c r="DE2" i="2"/>
  <c r="DD2" i="2"/>
  <c r="DC2" i="2"/>
  <c r="DB2" i="2"/>
  <c r="DA2" i="2"/>
  <c r="CZ2" i="2"/>
  <c r="CY2" i="2"/>
  <c r="CX2" i="2"/>
  <c r="CW2" i="2"/>
  <c r="CV2" i="2"/>
  <c r="CU2" i="2"/>
  <c r="CT2" i="2"/>
  <c r="CS2" i="2"/>
  <c r="CR2" i="2"/>
  <c r="CQ2" i="2"/>
  <c r="CP2" i="2"/>
  <c r="CO2" i="2"/>
  <c r="CN2" i="2"/>
  <c r="CM2" i="2"/>
  <c r="CL2" i="2"/>
  <c r="CK2" i="2"/>
  <c r="CJ2" i="2"/>
  <c r="CI2" i="2"/>
  <c r="CH2" i="2"/>
  <c r="CG2" i="2"/>
  <c r="CF2" i="2"/>
  <c r="CE2" i="2"/>
  <c r="CD2" i="2"/>
  <c r="CC2" i="2"/>
  <c r="CB2" i="2"/>
  <c r="CA2" i="2"/>
  <c r="BZ2" i="2"/>
  <c r="BY2" i="2"/>
  <c r="BX2" i="2"/>
  <c r="BW2" i="2"/>
  <c r="BV2" i="2"/>
  <c r="BU2" i="2"/>
  <c r="BT2" i="2"/>
  <c r="BS2" i="2"/>
  <c r="BR2" i="2"/>
  <c r="BQ2" i="2"/>
  <c r="BP2" i="2"/>
  <c r="BO2" i="2"/>
  <c r="BN2" i="2"/>
  <c r="BM2" i="2"/>
  <c r="BL2" i="2"/>
  <c r="BK2" i="2"/>
  <c r="BJ2" i="2"/>
  <c r="BI2" i="2"/>
  <c r="BH2" i="2"/>
  <c r="BG2" i="2"/>
  <c r="BF2" i="2"/>
  <c r="BE2" i="2"/>
  <c r="BD2" i="2"/>
  <c r="BC2" i="2"/>
  <c r="BB2" i="2"/>
  <c r="BA2" i="2"/>
  <c r="AZ2" i="2"/>
  <c r="AY2" i="2"/>
  <c r="AX2" i="2"/>
  <c r="AW2" i="2"/>
  <c r="AV2" i="2"/>
  <c r="AU2" i="2"/>
  <c r="AT2" i="2"/>
  <c r="AS2" i="2"/>
  <c r="AR2" i="2"/>
  <c r="AQ2" i="2"/>
  <c r="AP2" i="2"/>
  <c r="AO2" i="2"/>
  <c r="AN2" i="2"/>
  <c r="AM2" i="2"/>
  <c r="AL2" i="2"/>
  <c r="AK2" i="2"/>
  <c r="AJ2" i="2"/>
  <c r="AI2" i="2"/>
  <c r="AH2" i="2"/>
  <c r="AG2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B2" i="2"/>
  <c r="A1" i="2"/>
  <c r="GG197" i="1"/>
  <c r="GF197" i="1"/>
  <c r="GE197" i="1"/>
  <c r="GB197" i="1"/>
  <c r="FY197" i="1"/>
  <c r="FV197" i="1"/>
  <c r="CU197" i="1"/>
  <c r="BB197" i="1"/>
  <c r="GG196" i="1"/>
  <c r="GF196" i="1"/>
  <c r="GE196" i="1"/>
  <c r="GB196" i="1"/>
  <c r="FY196" i="1"/>
  <c r="FV196" i="1"/>
  <c r="CU196" i="1"/>
  <c r="BB196" i="1"/>
  <c r="GG195" i="1"/>
  <c r="GF195" i="1"/>
  <c r="GE195" i="1"/>
  <c r="GB195" i="1"/>
  <c r="FY195" i="1"/>
  <c r="FV195" i="1"/>
  <c r="CU195" i="1"/>
  <c r="BB195" i="1"/>
  <c r="GG194" i="1"/>
  <c r="GF194" i="1"/>
  <c r="GE194" i="1"/>
  <c r="GB194" i="1"/>
  <c r="FY194" i="1"/>
  <c r="FV194" i="1"/>
  <c r="CU194" i="1"/>
  <c r="BB194" i="1"/>
  <c r="GG193" i="1"/>
  <c r="GF193" i="1"/>
  <c r="GE193" i="1"/>
  <c r="GB193" i="1"/>
  <c r="FY193" i="1"/>
  <c r="FV193" i="1"/>
  <c r="CU193" i="1"/>
  <c r="BB193" i="1"/>
  <c r="GG192" i="1"/>
  <c r="GF192" i="1"/>
  <c r="GE192" i="1"/>
  <c r="GB192" i="1"/>
  <c r="FY192" i="1"/>
  <c r="FV192" i="1"/>
  <c r="CU192" i="1"/>
  <c r="BB192" i="1"/>
  <c r="GG191" i="1"/>
  <c r="GF191" i="1"/>
  <c r="GE191" i="1"/>
  <c r="GB191" i="1"/>
  <c r="FY191" i="1"/>
  <c r="FV191" i="1"/>
  <c r="CU191" i="1"/>
  <c r="BB191" i="1"/>
  <c r="GG190" i="1"/>
  <c r="GF190" i="1"/>
  <c r="GE190" i="1"/>
  <c r="GB190" i="1"/>
  <c r="FY190" i="1"/>
  <c r="FV190" i="1"/>
  <c r="CU190" i="1"/>
  <c r="BB190" i="1"/>
  <c r="GG189" i="1"/>
  <c r="GF189" i="1"/>
  <c r="GE189" i="1"/>
  <c r="GB189" i="1"/>
  <c r="FY189" i="1"/>
  <c r="FV189" i="1"/>
  <c r="CU189" i="1"/>
  <c r="BB189" i="1"/>
  <c r="GG188" i="1"/>
  <c r="GF188" i="1"/>
  <c r="GE188" i="1"/>
  <c r="GB188" i="1"/>
  <c r="FY188" i="1"/>
  <c r="FV188" i="1"/>
  <c r="CU188" i="1"/>
  <c r="BB188" i="1"/>
  <c r="GG187" i="1"/>
  <c r="GF187" i="1"/>
  <c r="GE187" i="1"/>
  <c r="GB187" i="1"/>
  <c r="FY187" i="1"/>
  <c r="FV187" i="1"/>
  <c r="CU187" i="1"/>
  <c r="BB187" i="1"/>
  <c r="GG186" i="1"/>
  <c r="GF186" i="1"/>
  <c r="GE186" i="1"/>
  <c r="GB186" i="1"/>
  <c r="FY186" i="1"/>
  <c r="FV186" i="1"/>
  <c r="CU186" i="1"/>
  <c r="BB186" i="1"/>
  <c r="GG185" i="1"/>
  <c r="GF185" i="1"/>
  <c r="GE185" i="1"/>
  <c r="GB185" i="1"/>
  <c r="FY185" i="1"/>
  <c r="FV185" i="1"/>
  <c r="CU185" i="1"/>
  <c r="BB185" i="1"/>
  <c r="GG184" i="1"/>
  <c r="GF184" i="1"/>
  <c r="GE184" i="1"/>
  <c r="GB184" i="1"/>
  <c r="FY184" i="1"/>
  <c r="FV184" i="1"/>
  <c r="CU184" i="1"/>
  <c r="BB184" i="1"/>
  <c r="GG183" i="1"/>
  <c r="GF183" i="1"/>
  <c r="GE183" i="1"/>
  <c r="GB183" i="1"/>
  <c r="FY183" i="1"/>
  <c r="FV183" i="1"/>
  <c r="CU183" i="1"/>
  <c r="BB183" i="1"/>
  <c r="GG182" i="1"/>
  <c r="GF182" i="1"/>
  <c r="GE182" i="1"/>
  <c r="GB182" i="1"/>
  <c r="FY182" i="1"/>
  <c r="FV182" i="1"/>
  <c r="CU182" i="1"/>
  <c r="BB182" i="1"/>
  <c r="GG181" i="1"/>
  <c r="GF181" i="1"/>
  <c r="GE181" i="1"/>
  <c r="GB181" i="1"/>
  <c r="FY181" i="1"/>
  <c r="FV181" i="1"/>
  <c r="CU181" i="1"/>
  <c r="BB181" i="1"/>
  <c r="GG180" i="1"/>
  <c r="GF180" i="1"/>
  <c r="GE180" i="1"/>
  <c r="GB180" i="1"/>
  <c r="FY180" i="1"/>
  <c r="FV180" i="1"/>
  <c r="CU180" i="1"/>
  <c r="BB180" i="1"/>
  <c r="GG179" i="1"/>
  <c r="GF179" i="1"/>
  <c r="GE179" i="1"/>
  <c r="GB179" i="1"/>
  <c r="FY179" i="1"/>
  <c r="FV179" i="1"/>
  <c r="CU179" i="1"/>
  <c r="BB179" i="1"/>
  <c r="GG178" i="1"/>
  <c r="GF178" i="1"/>
  <c r="GE178" i="1"/>
  <c r="GB178" i="1"/>
  <c r="FY178" i="1"/>
  <c r="FV178" i="1"/>
  <c r="CU178" i="1"/>
  <c r="BB178" i="1"/>
  <c r="GG177" i="1"/>
  <c r="GF177" i="1"/>
  <c r="GE177" i="1"/>
  <c r="GB177" i="1"/>
  <c r="FY177" i="1"/>
  <c r="FV177" i="1"/>
  <c r="CU177" i="1"/>
  <c r="BB177" i="1"/>
  <c r="GG176" i="1"/>
  <c r="GF176" i="1"/>
  <c r="GE176" i="1"/>
  <c r="GB176" i="1"/>
  <c r="FY176" i="1"/>
  <c r="FV176" i="1"/>
  <c r="CU176" i="1"/>
  <c r="BB176" i="1"/>
  <c r="GG175" i="1"/>
  <c r="GF175" i="1"/>
  <c r="GE175" i="1"/>
  <c r="GB175" i="1"/>
  <c r="FY175" i="1"/>
  <c r="FV175" i="1"/>
  <c r="CU175" i="1"/>
  <c r="BB175" i="1"/>
  <c r="GG174" i="1"/>
  <c r="GF174" i="1"/>
  <c r="GE174" i="1"/>
  <c r="GB174" i="1"/>
  <c r="FY174" i="1"/>
  <c r="FV174" i="1"/>
  <c r="CU174" i="1"/>
  <c r="BB174" i="1"/>
  <c r="GG173" i="1"/>
  <c r="GF173" i="1"/>
  <c r="GE173" i="1"/>
  <c r="GB173" i="1"/>
  <c r="FY173" i="1"/>
  <c r="FV173" i="1"/>
  <c r="CU173" i="1"/>
  <c r="BB173" i="1"/>
  <c r="GG172" i="1"/>
  <c r="GF172" i="1"/>
  <c r="GE172" i="1"/>
  <c r="GB172" i="1"/>
  <c r="FY172" i="1"/>
  <c r="FV172" i="1"/>
  <c r="CU172" i="1"/>
  <c r="BB172" i="1"/>
  <c r="GG171" i="1"/>
  <c r="GF171" i="1"/>
  <c r="GE171" i="1"/>
  <c r="GB171" i="1"/>
  <c r="FY171" i="1"/>
  <c r="FV171" i="1"/>
  <c r="CU171" i="1"/>
  <c r="BB171" i="1"/>
  <c r="GG170" i="1"/>
  <c r="GF170" i="1"/>
  <c r="GE170" i="1"/>
  <c r="GB170" i="1"/>
  <c r="FY170" i="1"/>
  <c r="FV170" i="1"/>
  <c r="CU170" i="1"/>
  <c r="BB170" i="1"/>
  <c r="GG169" i="1"/>
  <c r="GF169" i="1"/>
  <c r="GE169" i="1"/>
  <c r="GB169" i="1"/>
  <c r="FY169" i="1"/>
  <c r="FV169" i="1"/>
  <c r="CU169" i="1"/>
  <c r="BB169" i="1"/>
  <c r="GG168" i="1"/>
  <c r="GF168" i="1"/>
  <c r="GE168" i="1"/>
  <c r="GB168" i="1"/>
  <c r="FY168" i="1"/>
  <c r="FV168" i="1"/>
  <c r="CU168" i="1"/>
  <c r="BB168" i="1"/>
  <c r="GG167" i="1"/>
  <c r="GF167" i="1"/>
  <c r="GE167" i="1"/>
  <c r="GB167" i="1"/>
  <c r="FY167" i="1"/>
  <c r="FV167" i="1"/>
  <c r="CU167" i="1"/>
  <c r="BB167" i="1"/>
  <c r="GG166" i="1"/>
  <c r="GF166" i="1"/>
  <c r="GE166" i="1"/>
  <c r="GB166" i="1"/>
  <c r="FY166" i="1"/>
  <c r="FV166" i="1"/>
  <c r="CU166" i="1"/>
  <c r="BB166" i="1"/>
  <c r="GG165" i="1"/>
  <c r="GF165" i="1"/>
  <c r="GE165" i="1"/>
  <c r="GB165" i="1"/>
  <c r="FY165" i="1"/>
  <c r="FV165" i="1"/>
  <c r="CU165" i="1"/>
  <c r="BB165" i="1"/>
  <c r="GG164" i="1"/>
  <c r="GF164" i="1"/>
  <c r="GE164" i="1"/>
  <c r="GB164" i="1"/>
  <c r="FY164" i="1"/>
  <c r="FV164" i="1"/>
  <c r="CU164" i="1"/>
  <c r="BB164" i="1"/>
  <c r="GG163" i="1"/>
  <c r="GF163" i="1"/>
  <c r="GE163" i="1"/>
  <c r="GB163" i="1"/>
  <c r="FY163" i="1"/>
  <c r="FV163" i="1"/>
  <c r="CU163" i="1"/>
  <c r="BB163" i="1"/>
  <c r="GG162" i="1"/>
  <c r="GF162" i="1"/>
  <c r="GE162" i="1"/>
  <c r="GB162" i="1"/>
  <c r="FY162" i="1"/>
  <c r="FV162" i="1"/>
  <c r="CU162" i="1"/>
  <c r="BB162" i="1"/>
  <c r="GG161" i="1"/>
  <c r="GF161" i="1"/>
  <c r="GE161" i="1"/>
  <c r="GB161" i="1"/>
  <c r="FY161" i="1"/>
  <c r="FV161" i="1"/>
  <c r="CU161" i="1"/>
  <c r="BB161" i="1"/>
  <c r="GG160" i="1"/>
  <c r="GF160" i="1"/>
  <c r="GE160" i="1"/>
  <c r="GB160" i="1"/>
  <c r="FY160" i="1"/>
  <c r="FV160" i="1"/>
  <c r="CU160" i="1"/>
  <c r="BB160" i="1"/>
  <c r="GG159" i="1"/>
  <c r="GF159" i="1"/>
  <c r="GE159" i="1"/>
  <c r="GB159" i="1"/>
  <c r="FY159" i="1"/>
  <c r="FV159" i="1"/>
  <c r="CU159" i="1"/>
  <c r="BB159" i="1"/>
  <c r="GG158" i="1"/>
  <c r="GF158" i="1"/>
  <c r="GE158" i="1"/>
  <c r="GB158" i="1"/>
  <c r="FY158" i="1"/>
  <c r="FV158" i="1"/>
  <c r="CU158" i="1"/>
  <c r="BB158" i="1"/>
  <c r="GG157" i="1"/>
  <c r="GF157" i="1"/>
  <c r="GE157" i="1"/>
  <c r="GB157" i="1"/>
  <c r="FY157" i="1"/>
  <c r="FV157" i="1"/>
  <c r="CU157" i="1"/>
  <c r="BB157" i="1"/>
  <c r="GG156" i="1"/>
  <c r="GF156" i="1"/>
  <c r="GE156" i="1"/>
  <c r="GB156" i="1"/>
  <c r="FY156" i="1"/>
  <c r="FV156" i="1"/>
  <c r="CU156" i="1"/>
  <c r="BB156" i="1"/>
  <c r="GG155" i="1"/>
  <c r="GF155" i="1"/>
  <c r="GE155" i="1"/>
  <c r="GB155" i="1"/>
  <c r="FY155" i="1"/>
  <c r="FV155" i="1"/>
  <c r="CU155" i="1"/>
  <c r="BB155" i="1"/>
  <c r="GG154" i="1"/>
  <c r="GF154" i="1"/>
  <c r="GE154" i="1"/>
  <c r="GB154" i="1"/>
  <c r="FY154" i="1"/>
  <c r="FV154" i="1"/>
  <c r="CU154" i="1"/>
  <c r="BB154" i="1"/>
  <c r="GG153" i="1"/>
  <c r="GF153" i="1"/>
  <c r="GE153" i="1"/>
  <c r="GB153" i="1"/>
  <c r="FY153" i="1"/>
  <c r="FV153" i="1"/>
  <c r="CU153" i="1"/>
  <c r="BB153" i="1"/>
  <c r="GG152" i="1"/>
  <c r="GF152" i="1"/>
  <c r="GE152" i="1"/>
  <c r="GB152" i="1"/>
  <c r="FY152" i="1"/>
  <c r="FV152" i="1"/>
  <c r="CU152" i="1"/>
  <c r="BB152" i="1"/>
  <c r="GG151" i="1"/>
  <c r="GF151" i="1"/>
  <c r="GE151" i="1"/>
  <c r="GB151" i="1"/>
  <c r="FY151" i="1"/>
  <c r="FV151" i="1"/>
  <c r="CU151" i="1"/>
  <c r="BB151" i="1"/>
  <c r="GG150" i="1"/>
  <c r="GF150" i="1"/>
  <c r="GE150" i="1"/>
  <c r="GB150" i="1"/>
  <c r="FY150" i="1"/>
  <c r="FV150" i="1"/>
  <c r="CU150" i="1"/>
  <c r="BB150" i="1"/>
  <c r="GG149" i="1"/>
  <c r="GF149" i="1"/>
  <c r="GE149" i="1"/>
  <c r="GB149" i="1"/>
  <c r="FY149" i="1"/>
  <c r="FV149" i="1"/>
  <c r="CU149" i="1"/>
  <c r="BB149" i="1"/>
  <c r="GG148" i="1"/>
  <c r="GF148" i="1"/>
  <c r="GE148" i="1"/>
  <c r="GB148" i="1"/>
  <c r="FY148" i="1"/>
  <c r="FV148" i="1"/>
  <c r="CU148" i="1"/>
  <c r="BB148" i="1"/>
  <c r="GG147" i="1"/>
  <c r="GF147" i="1"/>
  <c r="GE147" i="1"/>
  <c r="GB147" i="1"/>
  <c r="FY147" i="1"/>
  <c r="FV147" i="1"/>
  <c r="CU147" i="1"/>
  <c r="BB147" i="1"/>
  <c r="GG146" i="1"/>
  <c r="GF146" i="1"/>
  <c r="GE146" i="1"/>
  <c r="GB146" i="1"/>
  <c r="FY146" i="1"/>
  <c r="FV146" i="1"/>
  <c r="CU146" i="1"/>
  <c r="BB146" i="1"/>
  <c r="GG145" i="1"/>
  <c r="GF145" i="1"/>
  <c r="GE145" i="1"/>
  <c r="GB145" i="1"/>
  <c r="FY145" i="1"/>
  <c r="FV145" i="1"/>
  <c r="CU145" i="1"/>
  <c r="BB145" i="1"/>
  <c r="GG144" i="1"/>
  <c r="GF144" i="1"/>
  <c r="GE144" i="1"/>
  <c r="GB144" i="1"/>
  <c r="FY144" i="1"/>
  <c r="FV144" i="1"/>
  <c r="CU144" i="1"/>
  <c r="BB144" i="1"/>
  <c r="GG143" i="1"/>
  <c r="GF143" i="1"/>
  <c r="GE143" i="1"/>
  <c r="GB143" i="1"/>
  <c r="FY143" i="1"/>
  <c r="FV143" i="1"/>
  <c r="CU143" i="1"/>
  <c r="BB143" i="1"/>
  <c r="GG142" i="1"/>
  <c r="GF142" i="1"/>
  <c r="GE142" i="1"/>
  <c r="GB142" i="1"/>
  <c r="FY142" i="1"/>
  <c r="FV142" i="1"/>
  <c r="CU142" i="1"/>
  <c r="BB142" i="1"/>
  <c r="GG141" i="1"/>
  <c r="GF141" i="1"/>
  <c r="GE141" i="1"/>
  <c r="GB141" i="1"/>
  <c r="FY141" i="1"/>
  <c r="FV141" i="1"/>
  <c r="CU141" i="1"/>
  <c r="BB141" i="1"/>
  <c r="GG140" i="1"/>
  <c r="GF140" i="1"/>
  <c r="GE140" i="1"/>
  <c r="GB140" i="1"/>
  <c r="FY140" i="1"/>
  <c r="FV140" i="1"/>
  <c r="CU140" i="1"/>
  <c r="BB140" i="1"/>
  <c r="GG139" i="1"/>
  <c r="GF139" i="1"/>
  <c r="GE139" i="1"/>
  <c r="GB139" i="1"/>
  <c r="FY139" i="1"/>
  <c r="FV139" i="1"/>
  <c r="CU139" i="1"/>
  <c r="BB139" i="1"/>
  <c r="GG138" i="1"/>
  <c r="GF138" i="1"/>
  <c r="GE138" i="1"/>
  <c r="GB138" i="1"/>
  <c r="FY138" i="1"/>
  <c r="FV138" i="1"/>
  <c r="CU138" i="1"/>
  <c r="BB138" i="1"/>
  <c r="GG137" i="1"/>
  <c r="GF137" i="1"/>
  <c r="GE137" i="1"/>
  <c r="GB137" i="1"/>
  <c r="FY137" i="1"/>
  <c r="FV137" i="1"/>
  <c r="CU137" i="1"/>
  <c r="BB137" i="1"/>
  <c r="GG136" i="1"/>
  <c r="GF136" i="1"/>
  <c r="GE136" i="1"/>
  <c r="GB136" i="1"/>
  <c r="FY136" i="1"/>
  <c r="FV136" i="1"/>
  <c r="CU136" i="1"/>
  <c r="BB136" i="1"/>
  <c r="GG135" i="1"/>
  <c r="GF135" i="1"/>
  <c r="GE135" i="1"/>
  <c r="GB135" i="1"/>
  <c r="FY135" i="1"/>
  <c r="FV135" i="1"/>
  <c r="CU135" i="1"/>
  <c r="BB135" i="1"/>
  <c r="GG134" i="1"/>
  <c r="GF134" i="1"/>
  <c r="GE134" i="1"/>
  <c r="GB134" i="1"/>
  <c r="FY134" i="1"/>
  <c r="FV134" i="1"/>
  <c r="CU134" i="1"/>
  <c r="BB134" i="1"/>
  <c r="GG133" i="1"/>
  <c r="GF133" i="1"/>
  <c r="GE133" i="1"/>
  <c r="GB133" i="1"/>
  <c r="FY133" i="1"/>
  <c r="FV133" i="1"/>
  <c r="CU133" i="1"/>
  <c r="BB133" i="1"/>
  <c r="GG132" i="1"/>
  <c r="GF132" i="1"/>
  <c r="GE132" i="1"/>
  <c r="GB132" i="1"/>
  <c r="FY132" i="1"/>
  <c r="FV132" i="1"/>
  <c r="CU132" i="1"/>
  <c r="BB132" i="1"/>
  <c r="GG131" i="1"/>
  <c r="GF131" i="1"/>
  <c r="GE131" i="1"/>
  <c r="GB131" i="1"/>
  <c r="FY131" i="1"/>
  <c r="FV131" i="1"/>
  <c r="CU131" i="1"/>
  <c r="BB131" i="1"/>
  <c r="GG130" i="1"/>
  <c r="GF130" i="1"/>
  <c r="GE130" i="1"/>
  <c r="GB130" i="1"/>
  <c r="FY130" i="1"/>
  <c r="FV130" i="1"/>
  <c r="CU130" i="1"/>
  <c r="BB130" i="1"/>
  <c r="GG129" i="1"/>
  <c r="GF129" i="1"/>
  <c r="GE129" i="1"/>
  <c r="GB129" i="1"/>
  <c r="FY129" i="1"/>
  <c r="FV129" i="1"/>
  <c r="CU129" i="1"/>
  <c r="BB129" i="1"/>
  <c r="GG128" i="1"/>
  <c r="GF128" i="1"/>
  <c r="GE128" i="1"/>
  <c r="GB128" i="1"/>
  <c r="FY128" i="1"/>
  <c r="FV128" i="1"/>
  <c r="CU128" i="1"/>
  <c r="BB128" i="1"/>
  <c r="GG127" i="1"/>
  <c r="GF127" i="1"/>
  <c r="GE127" i="1"/>
  <c r="GB127" i="1"/>
  <c r="FY127" i="1"/>
  <c r="FV127" i="1"/>
  <c r="CU127" i="1"/>
  <c r="BB127" i="1"/>
  <c r="GG126" i="1"/>
  <c r="GF126" i="1"/>
  <c r="GE126" i="1"/>
  <c r="GB126" i="1"/>
  <c r="FY126" i="1"/>
  <c r="FV126" i="1"/>
  <c r="CU126" i="1"/>
  <c r="BB126" i="1"/>
  <c r="GG125" i="1"/>
  <c r="GF125" i="1"/>
  <c r="GE125" i="1"/>
  <c r="GB125" i="1"/>
  <c r="FY125" i="1"/>
  <c r="FV125" i="1"/>
  <c r="CU125" i="1"/>
  <c r="BB125" i="1"/>
  <c r="GG124" i="1"/>
  <c r="GF124" i="1"/>
  <c r="GE124" i="1"/>
  <c r="GB124" i="1"/>
  <c r="FY124" i="1"/>
  <c r="FV124" i="1"/>
  <c r="CU124" i="1"/>
  <c r="BB124" i="1"/>
  <c r="GG123" i="1"/>
  <c r="GF123" i="1"/>
  <c r="GE123" i="1"/>
  <c r="GB123" i="1"/>
  <c r="FY123" i="1"/>
  <c r="FV123" i="1"/>
  <c r="CU123" i="1"/>
  <c r="BB123" i="1"/>
  <c r="GG122" i="1"/>
  <c r="GF122" i="1"/>
  <c r="GE122" i="1"/>
  <c r="GB122" i="1"/>
  <c r="FY122" i="1"/>
  <c r="FV122" i="1"/>
  <c r="CU122" i="1"/>
  <c r="BB122" i="1"/>
  <c r="GG121" i="1"/>
  <c r="GF121" i="1"/>
  <c r="GE121" i="1"/>
  <c r="GB121" i="1"/>
  <c r="FY121" i="1"/>
  <c r="FV121" i="1"/>
  <c r="CU121" i="1"/>
  <c r="BB121" i="1"/>
  <c r="GG120" i="1"/>
  <c r="GF120" i="1"/>
  <c r="GE120" i="1"/>
  <c r="GB120" i="1"/>
  <c r="FY120" i="1"/>
  <c r="FV120" i="1"/>
  <c r="CU120" i="1"/>
  <c r="BB120" i="1"/>
  <c r="GG119" i="1"/>
  <c r="GF119" i="1"/>
  <c r="GE119" i="1"/>
  <c r="GB119" i="1"/>
  <c r="FY119" i="1"/>
  <c r="FV119" i="1"/>
  <c r="CU119" i="1"/>
  <c r="BB119" i="1"/>
  <c r="GG118" i="1"/>
  <c r="GF118" i="1"/>
  <c r="GE118" i="1"/>
  <c r="GB118" i="1"/>
  <c r="FY118" i="1"/>
  <c r="FV118" i="1"/>
  <c r="CU118" i="1"/>
  <c r="BB118" i="1"/>
  <c r="GG117" i="1"/>
  <c r="GF117" i="1"/>
  <c r="GE117" i="1"/>
  <c r="GB117" i="1"/>
  <c r="FY117" i="1"/>
  <c r="FV117" i="1"/>
  <c r="CU117" i="1"/>
  <c r="BB117" i="1"/>
  <c r="GG116" i="1"/>
  <c r="GF116" i="1"/>
  <c r="GE116" i="1"/>
  <c r="GB116" i="1"/>
  <c r="FY116" i="1"/>
  <c r="FV116" i="1"/>
  <c r="CU116" i="1"/>
  <c r="BB116" i="1"/>
  <c r="GG115" i="1"/>
  <c r="GF115" i="1"/>
  <c r="GE115" i="1"/>
  <c r="GB115" i="1"/>
  <c r="FY115" i="1"/>
  <c r="FV115" i="1"/>
  <c r="CU115" i="1"/>
  <c r="BB115" i="1"/>
  <c r="GG114" i="1"/>
  <c r="GF114" i="1"/>
  <c r="GE114" i="1"/>
  <c r="GB114" i="1"/>
  <c r="FY114" i="1"/>
  <c r="FV114" i="1"/>
  <c r="CU114" i="1"/>
  <c r="BB114" i="1"/>
  <c r="GG113" i="1"/>
  <c r="GF113" i="1"/>
  <c r="GE113" i="1"/>
  <c r="GB113" i="1"/>
  <c r="FY113" i="1"/>
  <c r="FV113" i="1"/>
  <c r="CU113" i="1"/>
  <c r="BB113" i="1"/>
  <c r="GG112" i="1"/>
  <c r="GF112" i="1"/>
  <c r="GE112" i="1"/>
  <c r="GB112" i="1"/>
  <c r="FY112" i="1"/>
  <c r="FV112" i="1"/>
  <c r="CU112" i="1"/>
  <c r="BB112" i="1"/>
  <c r="GG111" i="1"/>
  <c r="GF111" i="1"/>
  <c r="GE111" i="1"/>
  <c r="GB111" i="1"/>
  <c r="FY111" i="1"/>
  <c r="FV111" i="1"/>
  <c r="CU111" i="1"/>
  <c r="BB111" i="1"/>
  <c r="GG110" i="1"/>
  <c r="GF110" i="1"/>
  <c r="GE110" i="1"/>
  <c r="GB110" i="1"/>
  <c r="FY110" i="1"/>
  <c r="FV110" i="1"/>
  <c r="CU110" i="1"/>
  <c r="BB110" i="1"/>
  <c r="GG109" i="1"/>
  <c r="GF109" i="1"/>
  <c r="GE109" i="1"/>
  <c r="GB109" i="1"/>
  <c r="FY109" i="1"/>
  <c r="FV109" i="1"/>
  <c r="CU109" i="1"/>
  <c r="BB109" i="1"/>
  <c r="GG108" i="1"/>
  <c r="GF108" i="1"/>
  <c r="GE108" i="1"/>
  <c r="GB108" i="1"/>
  <c r="FY108" i="1"/>
  <c r="FV108" i="1"/>
  <c r="CU108" i="1"/>
  <c r="BB108" i="1"/>
  <c r="GG107" i="1"/>
  <c r="GF107" i="1"/>
  <c r="GE107" i="1"/>
  <c r="GB107" i="1"/>
  <c r="FY107" i="1"/>
  <c r="FV107" i="1"/>
  <c r="CU107" i="1"/>
  <c r="BB107" i="1"/>
  <c r="GG106" i="1"/>
  <c r="GF106" i="1"/>
  <c r="GE106" i="1"/>
  <c r="GB106" i="1"/>
  <c r="FY106" i="1"/>
  <c r="FV106" i="1"/>
  <c r="CU106" i="1"/>
  <c r="BB106" i="1"/>
  <c r="GG105" i="1"/>
  <c r="GF105" i="1"/>
  <c r="GE105" i="1"/>
  <c r="GB105" i="1"/>
  <c r="FY105" i="1"/>
  <c r="FV105" i="1"/>
  <c r="CU105" i="1"/>
  <c r="BB105" i="1"/>
  <c r="GG104" i="1"/>
  <c r="GF104" i="1"/>
  <c r="GE104" i="1"/>
  <c r="GB104" i="1"/>
  <c r="FY104" i="1"/>
  <c r="FV104" i="1"/>
  <c r="CU104" i="1"/>
  <c r="BB104" i="1"/>
  <c r="GG103" i="1"/>
  <c r="GF103" i="1"/>
  <c r="GE103" i="1"/>
  <c r="GB103" i="1"/>
  <c r="FY103" i="1"/>
  <c r="FV103" i="1"/>
  <c r="CU103" i="1"/>
  <c r="BB103" i="1"/>
  <c r="GG102" i="1"/>
  <c r="GF102" i="1"/>
  <c r="GE102" i="1"/>
  <c r="GB102" i="1"/>
  <c r="FY102" i="1"/>
  <c r="FV102" i="1"/>
  <c r="CU102" i="1"/>
  <c r="BB102" i="1"/>
  <c r="GG101" i="1"/>
  <c r="GF101" i="1"/>
  <c r="GE101" i="1"/>
  <c r="GB101" i="1"/>
  <c r="FY101" i="1"/>
  <c r="FV101" i="1"/>
  <c r="CU101" i="1"/>
  <c r="BB101" i="1"/>
  <c r="GG100" i="1"/>
  <c r="GF100" i="1"/>
  <c r="GE100" i="1"/>
  <c r="GB100" i="1"/>
  <c r="FY100" i="1"/>
  <c r="FV100" i="1"/>
  <c r="CU100" i="1"/>
  <c r="BB100" i="1"/>
  <c r="GG99" i="1"/>
  <c r="GF99" i="1"/>
  <c r="GE99" i="1"/>
  <c r="GD99" i="1"/>
  <c r="GB99" i="1"/>
  <c r="FY99" i="1"/>
  <c r="FV99" i="1"/>
  <c r="CU99" i="1"/>
  <c r="BB99" i="1"/>
  <c r="GG98" i="1"/>
  <c r="GF98" i="1"/>
  <c r="GE98" i="1"/>
  <c r="GD98" i="1"/>
  <c r="GB98" i="1"/>
  <c r="FY98" i="1"/>
  <c r="FV98" i="1"/>
  <c r="CU98" i="1"/>
  <c r="BB98" i="1"/>
  <c r="GG97" i="1"/>
  <c r="GF97" i="1"/>
  <c r="GE97" i="1"/>
  <c r="GD97" i="1"/>
  <c r="GB97" i="1"/>
  <c r="FY97" i="1"/>
  <c r="FV97" i="1"/>
  <c r="CU97" i="1"/>
  <c r="BB97" i="1"/>
  <c r="GG96" i="1"/>
  <c r="GF96" i="1"/>
  <c r="GE96" i="1"/>
  <c r="GD96" i="1"/>
  <c r="GB96" i="1"/>
  <c r="FY96" i="1"/>
  <c r="FV96" i="1"/>
  <c r="CU96" i="1"/>
  <c r="BB96" i="1"/>
  <c r="GG95" i="1"/>
  <c r="GF95" i="1"/>
  <c r="GE95" i="1"/>
  <c r="GD95" i="1"/>
  <c r="GB95" i="1"/>
  <c r="FY95" i="1"/>
  <c r="FV95" i="1"/>
  <c r="CU95" i="1"/>
  <c r="BB95" i="1"/>
  <c r="GG94" i="1"/>
  <c r="GF94" i="1"/>
  <c r="GE94" i="1"/>
  <c r="GD94" i="1"/>
  <c r="GB94" i="1"/>
  <c r="FY94" i="1"/>
  <c r="FV94" i="1"/>
  <c r="CU94" i="1"/>
  <c r="BB94" i="1"/>
  <c r="GG93" i="1"/>
  <c r="GF93" i="1"/>
  <c r="GE93" i="1"/>
  <c r="GB93" i="1"/>
  <c r="FY93" i="1"/>
  <c r="FV93" i="1"/>
  <c r="CU93" i="1"/>
  <c r="BB93" i="1"/>
  <c r="GG92" i="1"/>
  <c r="GF92" i="1"/>
  <c r="GE92" i="1"/>
  <c r="GD92" i="1"/>
  <c r="GB92" i="1"/>
  <c r="FY92" i="1"/>
  <c r="FV92" i="1"/>
  <c r="CU92" i="1"/>
  <c r="BB92" i="1"/>
  <c r="GG91" i="1"/>
  <c r="GF91" i="1"/>
  <c r="GE91" i="1"/>
  <c r="GB91" i="1"/>
  <c r="FY91" i="1"/>
  <c r="FV91" i="1"/>
  <c r="CU91" i="1"/>
  <c r="BB91" i="1"/>
  <c r="GG90" i="1"/>
  <c r="GF90" i="1"/>
  <c r="GE90" i="1"/>
  <c r="GD90" i="1"/>
  <c r="GB90" i="1"/>
  <c r="FY90" i="1"/>
  <c r="FV90" i="1"/>
  <c r="CU90" i="1"/>
  <c r="BB90" i="1"/>
  <c r="GG89" i="1"/>
  <c r="GF89" i="1"/>
  <c r="GE89" i="1"/>
  <c r="GD89" i="1"/>
  <c r="GB89" i="1"/>
  <c r="FY89" i="1"/>
  <c r="FV89" i="1"/>
  <c r="CU89" i="1"/>
  <c r="BB89" i="1"/>
  <c r="GG88" i="1"/>
  <c r="GF88" i="1"/>
  <c r="GE88" i="1"/>
  <c r="GD88" i="1"/>
  <c r="GB88" i="1"/>
  <c r="FY88" i="1"/>
  <c r="FV88" i="1"/>
  <c r="CU88" i="1"/>
  <c r="BB88" i="1"/>
  <c r="GG87" i="1"/>
  <c r="GF87" i="1"/>
  <c r="GE87" i="1"/>
  <c r="GD87" i="1"/>
  <c r="GB87" i="1"/>
  <c r="FY87" i="1"/>
  <c r="FV87" i="1"/>
  <c r="CU87" i="1"/>
  <c r="BB87" i="1"/>
  <c r="GG86" i="1"/>
  <c r="GF86" i="1"/>
  <c r="GE86" i="1"/>
  <c r="GD86" i="1"/>
  <c r="GB86" i="1"/>
  <c r="FY86" i="1"/>
  <c r="FV86" i="1"/>
  <c r="CU86" i="1"/>
  <c r="BB86" i="1"/>
  <c r="GG85" i="1"/>
  <c r="GF85" i="1"/>
  <c r="GE85" i="1"/>
  <c r="GD85" i="1"/>
  <c r="GB85" i="1"/>
  <c r="FY85" i="1"/>
  <c r="FV85" i="1"/>
  <c r="CU85" i="1"/>
  <c r="BB85" i="1"/>
  <c r="GG84" i="1"/>
  <c r="GF84" i="1"/>
  <c r="GE84" i="1"/>
  <c r="GD84" i="1"/>
  <c r="GB84" i="1"/>
  <c r="FY84" i="1"/>
  <c r="FV84" i="1"/>
  <c r="CU84" i="1"/>
  <c r="BB84" i="1"/>
  <c r="GG83" i="1"/>
  <c r="GF83" i="1"/>
  <c r="GE83" i="1"/>
  <c r="GB83" i="1"/>
  <c r="FY83" i="1"/>
  <c r="FV83" i="1"/>
  <c r="CU83" i="1"/>
  <c r="BB83" i="1"/>
  <c r="GG82" i="1"/>
  <c r="GF82" i="1"/>
  <c r="GE82" i="1"/>
  <c r="GB82" i="1"/>
  <c r="FY82" i="1"/>
  <c r="FV82" i="1"/>
  <c r="CU82" i="1"/>
  <c r="BB82" i="1"/>
  <c r="GG81" i="1"/>
  <c r="GF81" i="1"/>
  <c r="GE81" i="1"/>
  <c r="GB81" i="1"/>
  <c r="FY81" i="1"/>
  <c r="FV81" i="1"/>
  <c r="CU81" i="1"/>
  <c r="BB81" i="1"/>
  <c r="GG80" i="1"/>
  <c r="GF80" i="1"/>
  <c r="GE80" i="1"/>
  <c r="GB80" i="1"/>
  <c r="FY80" i="1"/>
  <c r="FV80" i="1"/>
  <c r="CU80" i="1"/>
  <c r="BB80" i="1"/>
  <c r="GG79" i="1"/>
  <c r="GF79" i="1"/>
  <c r="GE79" i="1"/>
  <c r="GB79" i="1"/>
  <c r="FY79" i="1"/>
  <c r="FV79" i="1"/>
  <c r="CU79" i="1"/>
  <c r="BB79" i="1"/>
  <c r="GG78" i="1"/>
  <c r="GF78" i="1"/>
  <c r="GE78" i="1"/>
  <c r="GD78" i="1"/>
  <c r="GB78" i="1"/>
  <c r="FY78" i="1"/>
  <c r="FV78" i="1"/>
  <c r="CU78" i="1"/>
  <c r="BB78" i="1"/>
  <c r="GG77" i="1"/>
  <c r="GF77" i="1"/>
  <c r="GE77" i="1"/>
  <c r="GD77" i="1"/>
  <c r="GB77" i="1"/>
  <c r="FY77" i="1"/>
  <c r="FV77" i="1"/>
  <c r="CU77" i="1"/>
  <c r="BB77" i="1"/>
  <c r="GG76" i="1"/>
  <c r="GF76" i="1"/>
  <c r="GE76" i="1"/>
  <c r="GD76" i="1"/>
  <c r="GB76" i="1"/>
  <c r="FY76" i="1"/>
  <c r="FV76" i="1"/>
  <c r="CU76" i="1"/>
  <c r="BB76" i="1"/>
  <c r="GG75" i="1"/>
  <c r="GF75" i="1"/>
  <c r="GE75" i="1"/>
  <c r="GD75" i="1"/>
  <c r="GB75" i="1"/>
  <c r="FY75" i="1"/>
  <c r="FV75" i="1"/>
  <c r="CU75" i="1"/>
  <c r="BB75" i="1"/>
  <c r="GG74" i="1"/>
  <c r="GF74" i="1"/>
  <c r="GE74" i="1"/>
  <c r="GD74" i="1"/>
  <c r="GB74" i="1"/>
  <c r="FY74" i="1"/>
  <c r="FV74" i="1"/>
  <c r="CU74" i="1"/>
  <c r="BB74" i="1"/>
  <c r="GG73" i="1"/>
  <c r="GF73" i="1"/>
  <c r="GE73" i="1"/>
  <c r="GD73" i="1"/>
  <c r="GB73" i="1"/>
  <c r="FY73" i="1"/>
  <c r="FV73" i="1"/>
  <c r="CU73" i="1"/>
  <c r="BB73" i="1"/>
  <c r="GG72" i="1"/>
  <c r="GF72" i="1"/>
  <c r="GE72" i="1"/>
  <c r="GD72" i="1"/>
  <c r="GB72" i="1"/>
  <c r="FY72" i="1"/>
  <c r="FV72" i="1"/>
  <c r="CU72" i="1"/>
  <c r="BB72" i="1"/>
  <c r="GG71" i="1"/>
  <c r="GF71" i="1"/>
  <c r="GE71" i="1"/>
  <c r="GD71" i="1"/>
  <c r="GB71" i="1"/>
  <c r="FY71" i="1"/>
  <c r="FV71" i="1"/>
  <c r="CU71" i="1"/>
  <c r="BB71" i="1"/>
  <c r="GG70" i="1"/>
  <c r="GF70" i="1"/>
  <c r="GE70" i="1"/>
  <c r="GD70" i="1"/>
  <c r="GB70" i="1"/>
  <c r="FY70" i="1"/>
  <c r="FV70" i="1"/>
  <c r="CU70" i="1"/>
  <c r="BB70" i="1"/>
  <c r="GG69" i="1"/>
  <c r="GF69" i="1"/>
  <c r="GE69" i="1"/>
  <c r="GD69" i="1"/>
  <c r="GB69" i="1"/>
  <c r="FY69" i="1"/>
  <c r="FV69" i="1"/>
  <c r="CU69" i="1"/>
  <c r="BB69" i="1"/>
  <c r="GG68" i="1"/>
  <c r="GF68" i="1"/>
  <c r="GE68" i="1"/>
  <c r="GD68" i="1"/>
  <c r="GB68" i="1"/>
  <c r="FY68" i="1"/>
  <c r="FV68" i="1"/>
  <c r="CU68" i="1"/>
  <c r="BB68" i="1"/>
  <c r="GG67" i="1"/>
  <c r="GF67" i="1"/>
  <c r="GE67" i="1"/>
  <c r="GD67" i="1"/>
  <c r="GB67" i="1"/>
  <c r="FY67" i="1"/>
  <c r="FV67" i="1"/>
  <c r="CU67" i="1"/>
  <c r="BB67" i="1"/>
  <c r="GG66" i="1"/>
  <c r="GF66" i="1"/>
  <c r="GE66" i="1"/>
  <c r="GD66" i="1"/>
  <c r="GB66" i="1"/>
  <c r="FY66" i="1"/>
  <c r="FV66" i="1"/>
  <c r="CU66" i="1"/>
  <c r="BB66" i="1"/>
  <c r="GG65" i="1"/>
  <c r="GF65" i="1"/>
  <c r="GE65" i="1"/>
  <c r="GD65" i="1"/>
  <c r="GB65" i="1"/>
  <c r="FY65" i="1"/>
  <c r="FV65" i="1"/>
  <c r="CU65" i="1"/>
  <c r="BB65" i="1"/>
  <c r="GG64" i="1"/>
  <c r="GF64" i="1"/>
  <c r="GE64" i="1"/>
  <c r="GD64" i="1"/>
  <c r="GB64" i="1"/>
  <c r="FY64" i="1"/>
  <c r="FV64" i="1"/>
  <c r="CU64" i="1"/>
  <c r="BB64" i="1"/>
  <c r="GG63" i="1"/>
  <c r="GF63" i="1"/>
  <c r="GE63" i="1"/>
  <c r="GD63" i="1"/>
  <c r="GB63" i="1"/>
  <c r="FY63" i="1"/>
  <c r="FV63" i="1"/>
  <c r="CU63" i="1"/>
  <c r="BB63" i="1"/>
  <c r="AD63" i="1"/>
  <c r="GG62" i="1"/>
  <c r="GF62" i="1"/>
  <c r="GE62" i="1"/>
  <c r="GD62" i="1"/>
  <c r="GB62" i="1"/>
  <c r="FY62" i="1"/>
  <c r="FV62" i="1"/>
  <c r="CU62" i="1"/>
  <c r="BB62" i="1"/>
  <c r="GG61" i="1"/>
  <c r="GF61" i="1"/>
  <c r="GE61" i="1"/>
  <c r="GD61" i="1"/>
  <c r="GB61" i="1"/>
  <c r="FY61" i="1"/>
  <c r="FV61" i="1"/>
  <c r="CU61" i="1"/>
  <c r="BB61" i="1"/>
  <c r="AD61" i="1"/>
  <c r="GG60" i="1"/>
  <c r="GF60" i="1"/>
  <c r="GE60" i="1"/>
  <c r="GD60" i="1"/>
  <c r="GB60" i="1"/>
  <c r="FY60" i="1"/>
  <c r="FV60" i="1"/>
  <c r="CU60" i="1"/>
  <c r="BB60" i="1"/>
  <c r="AD60" i="1"/>
  <c r="GG59" i="1"/>
  <c r="GF59" i="1"/>
  <c r="GE59" i="1"/>
  <c r="GD59" i="1"/>
  <c r="GB59" i="1"/>
  <c r="FY59" i="1"/>
  <c r="FV59" i="1"/>
  <c r="CU59" i="1"/>
  <c r="BB59" i="1"/>
  <c r="AD59" i="1"/>
  <c r="GG58" i="1"/>
  <c r="GF58" i="1"/>
  <c r="GE58" i="1"/>
  <c r="GD58" i="1"/>
  <c r="GB58" i="1"/>
  <c r="FY58" i="1"/>
  <c r="FV58" i="1"/>
  <c r="CU58" i="1"/>
  <c r="BB58" i="1"/>
  <c r="AD58" i="1"/>
  <c r="GG57" i="1"/>
  <c r="GF57" i="1"/>
  <c r="GE57" i="1"/>
  <c r="GD57" i="1"/>
  <c r="GB57" i="1"/>
  <c r="FY57" i="1"/>
  <c r="FV57" i="1"/>
  <c r="CU57" i="1"/>
  <c r="BB57" i="1"/>
  <c r="AD57" i="1"/>
  <c r="GG56" i="1"/>
  <c r="GF56" i="1"/>
  <c r="GE56" i="1"/>
  <c r="GD56" i="1"/>
  <c r="GB56" i="1"/>
  <c r="FY56" i="1"/>
  <c r="FV56" i="1"/>
  <c r="CU56" i="1"/>
  <c r="BB56" i="1"/>
  <c r="AD56" i="1"/>
  <c r="GG55" i="1"/>
  <c r="GF55" i="1"/>
  <c r="GE55" i="1"/>
  <c r="GD55" i="1"/>
  <c r="GB55" i="1"/>
  <c r="FY55" i="1"/>
  <c r="FV55" i="1"/>
  <c r="CU55" i="1"/>
  <c r="BB55" i="1"/>
  <c r="AD55" i="1"/>
  <c r="GG54" i="1"/>
  <c r="GF54" i="1"/>
  <c r="GE54" i="1"/>
  <c r="GD54" i="1"/>
  <c r="GB54" i="1"/>
  <c r="FY54" i="1"/>
  <c r="FV54" i="1"/>
  <c r="FU54" i="1"/>
  <c r="CU54" i="1"/>
  <c r="BB54" i="1"/>
  <c r="AD54" i="1"/>
  <c r="GG53" i="1"/>
  <c r="GF53" i="1"/>
  <c r="GE53" i="1"/>
  <c r="GB53" i="1"/>
  <c r="FY53" i="1"/>
  <c r="FV53" i="1"/>
  <c r="CU53" i="1"/>
  <c r="BB53" i="1"/>
  <c r="GG52" i="1"/>
  <c r="GF52" i="1"/>
  <c r="GE52" i="1"/>
  <c r="GB52" i="1"/>
  <c r="FY52" i="1"/>
  <c r="FV52" i="1"/>
  <c r="CU52" i="1"/>
  <c r="BB52" i="1"/>
  <c r="GG51" i="1"/>
  <c r="GF51" i="1"/>
  <c r="GE51" i="1"/>
  <c r="GB51" i="1"/>
  <c r="FY51" i="1"/>
  <c r="FV51" i="1"/>
  <c r="CU51" i="1"/>
  <c r="BB51" i="1"/>
  <c r="GG50" i="1"/>
  <c r="GF50" i="1"/>
  <c r="GE50" i="1"/>
  <c r="GB50" i="1"/>
  <c r="FY50" i="1"/>
  <c r="FV50" i="1"/>
  <c r="CU50" i="1"/>
  <c r="BB50" i="1"/>
  <c r="GG49" i="1"/>
  <c r="GF49" i="1"/>
  <c r="GE49" i="1"/>
  <c r="GB49" i="1"/>
  <c r="FY49" i="1"/>
  <c r="FV49" i="1"/>
  <c r="CU49" i="1"/>
  <c r="BB49" i="1"/>
  <c r="GG48" i="1"/>
  <c r="GF48" i="1"/>
  <c r="GE48" i="1"/>
  <c r="GB48" i="1"/>
  <c r="FY48" i="1"/>
  <c r="FV48" i="1"/>
  <c r="CU48" i="1"/>
  <c r="BB48" i="1"/>
  <c r="GG47" i="1"/>
  <c r="GF47" i="1"/>
  <c r="GE47" i="1"/>
  <c r="GB47" i="1"/>
  <c r="FY47" i="1"/>
  <c r="FV47" i="1"/>
  <c r="CU47" i="1"/>
  <c r="BB47" i="1"/>
  <c r="GG46" i="1"/>
  <c r="GF46" i="1"/>
  <c r="GE46" i="1"/>
  <c r="GB46" i="1"/>
  <c r="FY46" i="1"/>
  <c r="FV46" i="1"/>
  <c r="CU46" i="1"/>
  <c r="BB46" i="1"/>
  <c r="GG45" i="1"/>
  <c r="GF45" i="1"/>
  <c r="GE45" i="1"/>
  <c r="GB45" i="1"/>
  <c r="FY45" i="1"/>
  <c r="FV45" i="1"/>
  <c r="CU45" i="1"/>
  <c r="BB45" i="1"/>
  <c r="GG44" i="1"/>
  <c r="GF44" i="1"/>
  <c r="GE44" i="1"/>
  <c r="GB44" i="1"/>
  <c r="FY44" i="1"/>
  <c r="FV44" i="1"/>
  <c r="CU44" i="1"/>
  <c r="BB44" i="1"/>
  <c r="GG43" i="1"/>
  <c r="GF43" i="1"/>
  <c r="GE43" i="1"/>
  <c r="GB43" i="1"/>
  <c r="FY43" i="1"/>
  <c r="FV43" i="1"/>
  <c r="CU43" i="1"/>
  <c r="BB43" i="1"/>
  <c r="GG42" i="1"/>
  <c r="GF42" i="1"/>
  <c r="GE42" i="1"/>
  <c r="GB42" i="1"/>
  <c r="FY42" i="1"/>
  <c r="FV42" i="1"/>
  <c r="CU42" i="1"/>
  <c r="BB42" i="1"/>
  <c r="GG41" i="1"/>
  <c r="GF41" i="1"/>
  <c r="GE41" i="1"/>
  <c r="GB41" i="1"/>
  <c r="FY41" i="1"/>
  <c r="FV41" i="1"/>
  <c r="CU41" i="1"/>
  <c r="BB41" i="1"/>
  <c r="GG40" i="1"/>
  <c r="GF40" i="1"/>
  <c r="GE40" i="1"/>
  <c r="GB40" i="1"/>
  <c r="FY40" i="1"/>
  <c r="FV40" i="1"/>
  <c r="CU40" i="1"/>
  <c r="BB40" i="1"/>
  <c r="GG39" i="1"/>
  <c r="GF39" i="1"/>
  <c r="GE39" i="1"/>
  <c r="GB39" i="1"/>
  <c r="FY39" i="1"/>
  <c r="FV39" i="1"/>
  <c r="CU39" i="1"/>
  <c r="BB39" i="1"/>
  <c r="GG38" i="1"/>
  <c r="GF38" i="1"/>
  <c r="GE38" i="1"/>
  <c r="GB38" i="1"/>
  <c r="FY38" i="1"/>
  <c r="FV38" i="1"/>
  <c r="CU38" i="1"/>
  <c r="BB38" i="1"/>
  <c r="GG37" i="1"/>
  <c r="GF37" i="1"/>
  <c r="GE37" i="1"/>
  <c r="GB37" i="1"/>
  <c r="FY37" i="1"/>
  <c r="FV37" i="1"/>
  <c r="CU37" i="1"/>
  <c r="BB37" i="1"/>
  <c r="GG36" i="1"/>
  <c r="GF36" i="1"/>
  <c r="GE36" i="1"/>
  <c r="GB36" i="1"/>
  <c r="FY36" i="1"/>
  <c r="FV36" i="1"/>
  <c r="CU36" i="1"/>
  <c r="BB36" i="1"/>
  <c r="GG35" i="1"/>
  <c r="GF35" i="1"/>
  <c r="GE35" i="1"/>
  <c r="GB35" i="1"/>
  <c r="FY35" i="1"/>
  <c r="FV35" i="1"/>
  <c r="CU35" i="1"/>
  <c r="BB35" i="1"/>
  <c r="GG34" i="1"/>
  <c r="GF34" i="1"/>
  <c r="GE34" i="1"/>
  <c r="GB34" i="1"/>
  <c r="FY34" i="1"/>
  <c r="FV34" i="1"/>
  <c r="CU34" i="1"/>
  <c r="BB34" i="1"/>
  <c r="GG33" i="1"/>
  <c r="GF33" i="1"/>
  <c r="GE33" i="1"/>
  <c r="GB33" i="1"/>
  <c r="FY33" i="1"/>
  <c r="FV33" i="1"/>
  <c r="CU33" i="1"/>
  <c r="BB33" i="1"/>
  <c r="GG32" i="1"/>
  <c r="GF32" i="1"/>
  <c r="GE32" i="1"/>
  <c r="GB32" i="1"/>
  <c r="FY32" i="1"/>
  <c r="FV32" i="1"/>
  <c r="CU32" i="1"/>
  <c r="BB32" i="1"/>
  <c r="GG31" i="1"/>
  <c r="GF31" i="1"/>
  <c r="GE31" i="1"/>
  <c r="GB31" i="1"/>
  <c r="FY31" i="1"/>
  <c r="FV31" i="1"/>
  <c r="CU31" i="1"/>
  <c r="BB31" i="1"/>
  <c r="GG30" i="1"/>
  <c r="GF30" i="1"/>
  <c r="GE30" i="1"/>
  <c r="GB30" i="1"/>
  <c r="FY30" i="1"/>
  <c r="FV30" i="1"/>
  <c r="CU30" i="1"/>
  <c r="BB30" i="1"/>
  <c r="GG29" i="1"/>
  <c r="GF29" i="1"/>
  <c r="GE29" i="1"/>
  <c r="GB29" i="1"/>
  <c r="FY29" i="1"/>
  <c r="FV29" i="1"/>
  <c r="CU29" i="1"/>
  <c r="BB29" i="1"/>
  <c r="GG28" i="1"/>
  <c r="GF28" i="1"/>
  <c r="GE28" i="1"/>
  <c r="GB28" i="1"/>
  <c r="FY28" i="1"/>
  <c r="FV28" i="1"/>
  <c r="CU28" i="1"/>
  <c r="BB28" i="1"/>
  <c r="GG27" i="1"/>
  <c r="GF27" i="1"/>
  <c r="GE27" i="1"/>
  <c r="GB27" i="1"/>
  <c r="FY27" i="1"/>
  <c r="FV27" i="1"/>
  <c r="CU27" i="1"/>
  <c r="BB27" i="1"/>
  <c r="GG26" i="1"/>
  <c r="GF26" i="1"/>
  <c r="GE26" i="1"/>
  <c r="GB26" i="1"/>
  <c r="FY26" i="1"/>
  <c r="FV26" i="1"/>
  <c r="CU26" i="1"/>
  <c r="BB26" i="1"/>
  <c r="GG25" i="1"/>
  <c r="GF25" i="1"/>
  <c r="GE25" i="1"/>
  <c r="GB25" i="1"/>
  <c r="FY25" i="1"/>
  <c r="FV25" i="1"/>
  <c r="CU25" i="1"/>
  <c r="BB25" i="1"/>
  <c r="GG24" i="1"/>
  <c r="GF24" i="1"/>
  <c r="GE24" i="1"/>
  <c r="GB24" i="1"/>
  <c r="FY24" i="1"/>
  <c r="FV24" i="1"/>
  <c r="CU24" i="1"/>
  <c r="BB24" i="1"/>
  <c r="GG23" i="1"/>
  <c r="GF23" i="1"/>
  <c r="GE23" i="1"/>
  <c r="GB23" i="1"/>
  <c r="FY23" i="1"/>
  <c r="FV23" i="1"/>
  <c r="CU23" i="1"/>
  <c r="BV23" i="1"/>
  <c r="BB23" i="1"/>
  <c r="GG22" i="1"/>
  <c r="GF22" i="1"/>
  <c r="GE22" i="1"/>
  <c r="GB22" i="1"/>
  <c r="FY22" i="1"/>
  <c r="FV22" i="1"/>
  <c r="CU22" i="1"/>
  <c r="BB22" i="1"/>
  <c r="GG21" i="1"/>
  <c r="GF21" i="1"/>
  <c r="GE21" i="1"/>
  <c r="GB21" i="1"/>
  <c r="FY21" i="1"/>
  <c r="FV21" i="1"/>
  <c r="CU21" i="1"/>
  <c r="BB21" i="1"/>
  <c r="GG20" i="1"/>
  <c r="GF20" i="1"/>
  <c r="GE20" i="1"/>
  <c r="GB20" i="1"/>
  <c r="FY20" i="1"/>
  <c r="FV20" i="1"/>
  <c r="CU20" i="1"/>
  <c r="BB20" i="1"/>
  <c r="GG19" i="1"/>
  <c r="GF19" i="1"/>
  <c r="GE19" i="1"/>
  <c r="GB19" i="1"/>
  <c r="FY19" i="1"/>
  <c r="FV19" i="1"/>
  <c r="CU19" i="1"/>
  <c r="BB19" i="1"/>
  <c r="GG18" i="1"/>
  <c r="GF18" i="1"/>
  <c r="GE18" i="1"/>
  <c r="GB18" i="1"/>
  <c r="FY18" i="1"/>
  <c r="FV18" i="1"/>
  <c r="CU18" i="1"/>
  <c r="BB18" i="1"/>
  <c r="GG17" i="1"/>
  <c r="GF17" i="1"/>
  <c r="GE17" i="1"/>
  <c r="GB17" i="1"/>
  <c r="FY17" i="1"/>
  <c r="FV17" i="1"/>
  <c r="CU17" i="1"/>
  <c r="BB17" i="1"/>
  <c r="GG16" i="1"/>
  <c r="GF16" i="1"/>
  <c r="GE16" i="1"/>
  <c r="GB16" i="1"/>
  <c r="FY16" i="1"/>
  <c r="FV16" i="1"/>
  <c r="CU16" i="1"/>
  <c r="BB16" i="1"/>
  <c r="GG15" i="1"/>
  <c r="GF15" i="1"/>
  <c r="GE15" i="1"/>
  <c r="GB15" i="1"/>
  <c r="FY15" i="1"/>
  <c r="FV15" i="1"/>
  <c r="CU15" i="1"/>
  <c r="BB15" i="1"/>
  <c r="GG14" i="1"/>
  <c r="GF14" i="1"/>
  <c r="GE14" i="1"/>
  <c r="GB14" i="1"/>
  <c r="FY14" i="1"/>
  <c r="FV14" i="1"/>
  <c r="CU14" i="1"/>
  <c r="BB14" i="1"/>
  <c r="GG13" i="1"/>
  <c r="GF13" i="1"/>
  <c r="GE13" i="1"/>
  <c r="GB13" i="1"/>
  <c r="FY13" i="1"/>
  <c r="FV13" i="1"/>
  <c r="CU13" i="1"/>
  <c r="BB13" i="1"/>
  <c r="GG12" i="1"/>
  <c r="GF12" i="1"/>
  <c r="GE12" i="1"/>
  <c r="GB12" i="1"/>
  <c r="FY12" i="1"/>
  <c r="FV12" i="1"/>
  <c r="CU12" i="1"/>
  <c r="BB12" i="1"/>
  <c r="GG11" i="1"/>
  <c r="GF11" i="1"/>
  <c r="GE11" i="1"/>
  <c r="GB11" i="1"/>
  <c r="FY11" i="1"/>
  <c r="FV11" i="1"/>
  <c r="CU11" i="1"/>
  <c r="BB11" i="1"/>
  <c r="GG10" i="1"/>
  <c r="GF10" i="1"/>
  <c r="GE10" i="1"/>
  <c r="GB10" i="1"/>
  <c r="FY10" i="1"/>
  <c r="FV10" i="1"/>
  <c r="CU10" i="1"/>
  <c r="BB10" i="1"/>
  <c r="GG9" i="1"/>
  <c r="GF9" i="1"/>
  <c r="GE9" i="1"/>
  <c r="GB9" i="1"/>
  <c r="FY9" i="1"/>
  <c r="FV9" i="1"/>
  <c r="CU9" i="1"/>
  <c r="BB9" i="1"/>
  <c r="GG8" i="1"/>
  <c r="GF8" i="1"/>
  <c r="GE8" i="1"/>
  <c r="GB8" i="1"/>
  <c r="FY8" i="1"/>
  <c r="FV8" i="1"/>
  <c r="CU8" i="1"/>
  <c r="BB8" i="1"/>
  <c r="GG7" i="1"/>
  <c r="GF7" i="1"/>
  <c r="GE7" i="1"/>
  <c r="GB7" i="1"/>
  <c r="FY7" i="1"/>
  <c r="FV7" i="1"/>
  <c r="CU7" i="1"/>
  <c r="BB7" i="1"/>
  <c r="GG6" i="1"/>
  <c r="GF6" i="1"/>
  <c r="GE6" i="1"/>
  <c r="GB6" i="1"/>
  <c r="FY6" i="1"/>
  <c r="FV6" i="1"/>
  <c r="CU6" i="1"/>
  <c r="BB6" i="1"/>
  <c r="GG5" i="1"/>
  <c r="GF5" i="1"/>
  <c r="GE5" i="1"/>
  <c r="GB5" i="1"/>
  <c r="FY5" i="1"/>
  <c r="FV5" i="1"/>
  <c r="CU5" i="1"/>
  <c r="BB5" i="1"/>
  <c r="GG4" i="1"/>
  <c r="GF4" i="1"/>
  <c r="GE4" i="1"/>
  <c r="GB4" i="1"/>
  <c r="FY4" i="1"/>
  <c r="FV4" i="1"/>
  <c r="CU4" i="1"/>
  <c r="BB4" i="1"/>
  <c r="GG3" i="1"/>
  <c r="GF3" i="1"/>
  <c r="GE3" i="1"/>
  <c r="GB3" i="1"/>
  <c r="FY3" i="1"/>
  <c r="FV3" i="1"/>
  <c r="CU3" i="1"/>
  <c r="BB3" i="1"/>
  <c r="GG2" i="1"/>
  <c r="GF2" i="1"/>
  <c r="GE2" i="1"/>
  <c r="GB2" i="1"/>
  <c r="FY2" i="1"/>
  <c r="FV2" i="1"/>
  <c r="CU2" i="1"/>
  <c r="BB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G</author>
  </authors>
  <commentList>
    <comment ref="ES15" authorId="0" shapeId="0" xr:uid="{4CC8E379-641B-4958-9FD4-FEF1C582223F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CAJERO UNIVERSAL A</t>
        </r>
      </text>
    </comment>
    <comment ref="AP24" authorId="0" shapeId="0" xr:uid="{AAA23801-9567-4374-B21F-8BF1FE5424C8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DIRECTOR DE OFICINA</t>
        </r>
      </text>
    </comment>
    <comment ref="AP25" authorId="0" shapeId="0" xr:uid="{66A0A431-1EDA-4A84-889B-CA6B8477EA2F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DIRECTOR DE OFICINA</t>
        </r>
      </text>
    </comment>
    <comment ref="ES25" authorId="0" shapeId="0" xr:uid="{4B16DDAB-5EA0-404A-8FD4-40A81C12C164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EJECUTIVO HIPOTECARIO RH</t>
        </r>
      </text>
    </comment>
    <comment ref="ES29" authorId="0" shapeId="0" xr:uid="{13FDFB1E-86F8-49C9-AF27-3BB516CCB1BF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CAJERO UNIVERSAL A</t>
        </r>
      </text>
    </comment>
    <comment ref="ES30" authorId="0" shapeId="0" xr:uid="{A5B5CAC0-09A4-4510-AD93-CA3B30D25A56}">
      <text>
        <r>
          <rPr>
            <b/>
            <sz val="9"/>
            <color indexed="81"/>
            <rFont val="Tahoma"/>
            <family val="2"/>
          </rPr>
          <t>Luis G:</t>
        </r>
        <r>
          <rPr>
            <sz val="9"/>
            <color indexed="81"/>
            <rFont val="Tahoma"/>
            <family val="2"/>
          </rPr>
          <t xml:space="preserve">
CAJERO UNIVERSAL A</t>
        </r>
      </text>
    </comment>
    <comment ref="ES32" authorId="0" shapeId="0" xr:uid="{EB57FE02-C5A3-4FDB-84A9-217C20305887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CAJERO UNIVERSAL A</t>
        </r>
      </text>
    </comment>
    <comment ref="ES34" authorId="0" shapeId="0" xr:uid="{9208681E-678C-4869-AD4E-2013EB54CDB6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AUXILIAR JEFE DE CAJAS</t>
        </r>
      </text>
    </comment>
    <comment ref="ES38" authorId="0" shapeId="0" xr:uid="{74917839-16A8-46CF-9225-D9E52633B0E0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CAJERO UNIVERSAL A</t>
        </r>
      </text>
    </comment>
    <comment ref="ES41" authorId="0" shapeId="0" xr:uid="{4CD735FC-8E7A-4F86-AB0E-9F08A2B62D49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CAJERO UNIVERSAL A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G</author>
  </authors>
  <commentList>
    <comment ref="D12" authorId="0" shapeId="0" xr:uid="{A0500F11-E6B2-419F-AFA9-D1692D6169C6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Foto de baño</t>
        </r>
      </text>
    </comment>
    <comment ref="E66" authorId="0" shapeId="0" xr:uid="{D75A6D2B-7364-43BA-93E8-4AB87229CE0E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Largo 140</t>
        </r>
      </text>
    </comment>
    <comment ref="E67" authorId="0" shapeId="0" xr:uid="{655C6526-9202-4A46-9408-4C51CD77F6CC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alto 200, largo 160</t>
        </r>
      </text>
    </comment>
    <comment ref="E68" authorId="0" shapeId="0" xr:uid="{F77024E5-108E-45A3-B401-02E18EFB931D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alto 60</t>
        </r>
      </text>
    </comment>
    <comment ref="E69" authorId="0" shapeId="0" xr:uid="{B39D76E5-B4EC-40A4-A492-3B6A5C425914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alto 60</t>
        </r>
      </text>
    </comment>
    <comment ref="E70" authorId="0" shapeId="0" xr:uid="{F0169482-201F-4EBE-9CC2-D5BAC08F91A7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alto 60</t>
        </r>
      </text>
    </comment>
    <comment ref="E71" authorId="0" shapeId="0" xr:uid="{A4E33876-BAB3-4416-9D36-04000180E1C2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alto 60</t>
        </r>
      </text>
    </comment>
    <comment ref="E72" authorId="0" shapeId="0" xr:uid="{FFF89B80-0EC4-4941-AAB4-EA85BC18ABE1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Alto 60</t>
        </r>
      </text>
    </comment>
    <comment ref="E73" authorId="0" shapeId="0" xr:uid="{C9BC3C22-856C-4C4B-8445-E85CBDCE8A24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Alto 60</t>
        </r>
      </text>
    </comment>
    <comment ref="E74" authorId="0" shapeId="0" xr:uid="{EF6E6CA1-902E-44C5-A4E1-5D517BF8C3C0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alto 190
ancho 150</t>
        </r>
      </text>
    </comment>
    <comment ref="E79" authorId="0" shapeId="0" xr:uid="{12F3D2AC-77D3-465B-9182-DE15CC16FEE6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Alto 95</t>
        </r>
      </text>
    </comment>
  </commentList>
</comments>
</file>

<file path=xl/sharedStrings.xml><?xml version="1.0" encoding="utf-8"?>
<sst xmlns="http://schemas.openxmlformats.org/spreadsheetml/2006/main" count="8065" uniqueCount="2703">
  <si>
    <t>dia</t>
  </si>
  <si>
    <t>mes</t>
  </si>
  <si>
    <t>anio</t>
  </si>
  <si>
    <t>detectores_humo</t>
  </si>
  <si>
    <t>ubicación_dh</t>
  </si>
  <si>
    <t>escaleras</t>
  </si>
  <si>
    <t>sismo_incendio</t>
  </si>
  <si>
    <t>tipo_alarma</t>
  </si>
  <si>
    <t>ubicacion_alarma</t>
  </si>
  <si>
    <t>apague_motor</t>
  </si>
  <si>
    <t>no_celular</t>
  </si>
  <si>
    <t>no_gorra_lentes</t>
  </si>
  <si>
    <t>uso_epp</t>
  </si>
  <si>
    <t>detectores_mov</t>
  </si>
  <si>
    <t>site</t>
  </si>
  <si>
    <t>hidrantes</t>
  </si>
  <si>
    <t>aspersores</t>
  </si>
  <si>
    <t>bomberos</t>
  </si>
  <si>
    <t>detector_gas</t>
  </si>
  <si>
    <t>equipo_brigada</t>
  </si>
  <si>
    <t>lampara</t>
  </si>
  <si>
    <t>planta</t>
  </si>
  <si>
    <t>baterias</t>
  </si>
  <si>
    <t>tambo_arena</t>
  </si>
  <si>
    <t>fachada</t>
  </si>
  <si>
    <t>logo1</t>
  </si>
  <si>
    <t>logo2</t>
  </si>
  <si>
    <t>mapa</t>
  </si>
  <si>
    <t>mueble1</t>
  </si>
  <si>
    <t>mueble2</t>
  </si>
  <si>
    <t>electrico</t>
  </si>
  <si>
    <t>banio</t>
  </si>
  <si>
    <t>sismo</t>
  </si>
  <si>
    <t>inundacion</t>
  </si>
  <si>
    <t>torm_elect</t>
  </si>
  <si>
    <t>incendio</t>
  </si>
  <si>
    <t>influenza</t>
  </si>
  <si>
    <t>radiacion</t>
  </si>
  <si>
    <t>ext1</t>
  </si>
  <si>
    <t>ext2</t>
  </si>
  <si>
    <t>ext3</t>
  </si>
  <si>
    <t>ext4</t>
  </si>
  <si>
    <t>botiquin</t>
  </si>
  <si>
    <t>ruta1</t>
  </si>
  <si>
    <t>ruta2</t>
  </si>
  <si>
    <t>salida</t>
  </si>
  <si>
    <t>alarma</t>
  </si>
  <si>
    <t>prohib1</t>
  </si>
  <si>
    <t>prohib2</t>
  </si>
  <si>
    <t>prohib3</t>
  </si>
  <si>
    <t>prohib4</t>
  </si>
  <si>
    <t>layout</t>
  </si>
  <si>
    <t>cap1</t>
  </si>
  <si>
    <t>cap2</t>
  </si>
  <si>
    <t>cap3</t>
  </si>
  <si>
    <t>cap4</t>
  </si>
  <si>
    <t>cap5</t>
  </si>
  <si>
    <t>cap6</t>
  </si>
  <si>
    <t>cap7</t>
  </si>
  <si>
    <t>cap8</t>
  </si>
  <si>
    <t>cap9</t>
  </si>
  <si>
    <t>cap10</t>
  </si>
  <si>
    <t>cap11</t>
  </si>
  <si>
    <t>cap12</t>
  </si>
  <si>
    <t>sim1</t>
  </si>
  <si>
    <t>sim2</t>
  </si>
  <si>
    <t>sim3</t>
  </si>
  <si>
    <t>sim4</t>
  </si>
  <si>
    <t>sim5</t>
  </si>
  <si>
    <t>sim6</t>
  </si>
  <si>
    <t>techo</t>
  </si>
  <si>
    <t>pisos</t>
  </si>
  <si>
    <t>puerta</t>
  </si>
  <si>
    <t>estantes</t>
  </si>
  <si>
    <t>dh</t>
  </si>
  <si>
    <t>ventanas</t>
  </si>
  <si>
    <t>compresor</t>
  </si>
  <si>
    <t>quimicos</t>
  </si>
  <si>
    <t>tanques_gaso</t>
  </si>
  <si>
    <t>paro</t>
  </si>
  <si>
    <t>trampa_grasa</t>
  </si>
  <si>
    <t>logo1.jpg</t>
  </si>
  <si>
    <t>logo2.jpg</t>
  </si>
  <si>
    <t>fachada.jpg</t>
  </si>
  <si>
    <t>mueble (1).jpg</t>
  </si>
  <si>
    <t>mueble (2).jpg</t>
  </si>
  <si>
    <t>electrico.jpg</t>
  </si>
  <si>
    <t>banio.jpg</t>
  </si>
  <si>
    <t>ext (1).jpg</t>
  </si>
  <si>
    <t>ext (2).jpg</t>
  </si>
  <si>
    <t>ext (3).jpg</t>
  </si>
  <si>
    <t>ext (4).jpg</t>
  </si>
  <si>
    <t>botiquin.jpg</t>
  </si>
  <si>
    <t>ruta (1).jpg</t>
  </si>
  <si>
    <t>ruta (2).jpg</t>
  </si>
  <si>
    <t>ruta (3).jpg</t>
  </si>
  <si>
    <t>salida.jpg</t>
  </si>
  <si>
    <t>alarma.jpg</t>
  </si>
  <si>
    <t>prohib (1).jpg</t>
  </si>
  <si>
    <t>prohib (2).jpg</t>
  </si>
  <si>
    <t>prohib (3).jpg</t>
  </si>
  <si>
    <t>prohib (4).jpg</t>
  </si>
  <si>
    <t>cap (1).jpg</t>
  </si>
  <si>
    <t>cap (2).jpg</t>
  </si>
  <si>
    <t>cap (3).jpg</t>
  </si>
  <si>
    <t>cap (4).jpg</t>
  </si>
  <si>
    <t>cap (5).jpg</t>
  </si>
  <si>
    <t>cap (6).jpg</t>
  </si>
  <si>
    <t>cap (7).jpg</t>
  </si>
  <si>
    <t>cap (8).jpg</t>
  </si>
  <si>
    <t>cap (9).jpg</t>
  </si>
  <si>
    <t>cap (10).jpg</t>
  </si>
  <si>
    <t>cap (11).jpg</t>
  </si>
  <si>
    <t>cap (12).jpg</t>
  </si>
  <si>
    <t>sim (1).jpg</t>
  </si>
  <si>
    <t>sim (2).jpg</t>
  </si>
  <si>
    <t>sim (3).jpg</t>
  </si>
  <si>
    <t>sim (4).jpg</t>
  </si>
  <si>
    <t>sim (5).jpg</t>
  </si>
  <si>
    <t>sim (6).jpg</t>
  </si>
  <si>
    <t>techo.jpg</t>
  </si>
  <si>
    <t>pisos.jpg</t>
  </si>
  <si>
    <t>puerta.jpg</t>
  </si>
  <si>
    <t>estantes.jpg</t>
  </si>
  <si>
    <t>site.jpg</t>
  </si>
  <si>
    <t>dh.jpg</t>
  </si>
  <si>
    <t>ventanas.jpg</t>
  </si>
  <si>
    <t>compresor.jpg</t>
  </si>
  <si>
    <t>quimicos.jpg</t>
  </si>
  <si>
    <t>tanques_gaso.jpg</t>
  </si>
  <si>
    <t>paro.jpg</t>
  </si>
  <si>
    <t>trampa_grasa.jpg</t>
  </si>
  <si>
    <t>id</t>
  </si>
  <si>
    <t>pipc</t>
  </si>
  <si>
    <t>razon_social</t>
  </si>
  <si>
    <t>nombre_comercial</t>
  </si>
  <si>
    <t>rfc</t>
  </si>
  <si>
    <t>codigo_gasolinera</t>
  </si>
  <si>
    <t>giro_comercial</t>
  </si>
  <si>
    <t>descripcion_actividades</t>
  </si>
  <si>
    <t>calle</t>
  </si>
  <si>
    <t>no_exterior</t>
  </si>
  <si>
    <t>no_interior</t>
  </si>
  <si>
    <t>colonia_barrio</t>
  </si>
  <si>
    <t>municipio</t>
  </si>
  <si>
    <t>estado</t>
  </si>
  <si>
    <t>codigo_postal</t>
  </si>
  <si>
    <t>telefono</t>
  </si>
  <si>
    <t>email</t>
  </si>
  <si>
    <t>antiguedad_inmueble</t>
  </si>
  <si>
    <t>inicio_operaciones</t>
  </si>
  <si>
    <t>mod_estructurales</t>
  </si>
  <si>
    <t>mod_arquitect</t>
  </si>
  <si>
    <t>terreno_m2</t>
  </si>
  <si>
    <t>construccion_m2</t>
  </si>
  <si>
    <t>edificios</t>
  </si>
  <si>
    <t>niveles</t>
  </si>
  <si>
    <t>accesos</t>
  </si>
  <si>
    <t>salidas_emergencia</t>
  </si>
  <si>
    <t>escaleras_emergencia</t>
  </si>
  <si>
    <t>estacionamiento</t>
  </si>
  <si>
    <t>representante_legal</t>
  </si>
  <si>
    <t>responsable_pipc</t>
  </si>
  <si>
    <t>trabajadores</t>
  </si>
  <si>
    <t>poblacion_discapacidad</t>
  </si>
  <si>
    <t>hombres</t>
  </si>
  <si>
    <t>mujeres</t>
  </si>
  <si>
    <t>hombre_dicapacidad</t>
  </si>
  <si>
    <t>mujeres_discapacidad</t>
  </si>
  <si>
    <t>turnos</t>
  </si>
  <si>
    <t>visitantes</t>
  </si>
  <si>
    <t>proveedores</t>
  </si>
  <si>
    <t>dias</t>
  </si>
  <si>
    <t>horario</t>
  </si>
  <si>
    <t>senial_informacion</t>
  </si>
  <si>
    <t>ubicación_bot</t>
  </si>
  <si>
    <t>extintor</t>
  </si>
  <si>
    <t>ubicación_ext</t>
  </si>
  <si>
    <t>paros_emergencia</t>
  </si>
  <si>
    <t>ubicación_pe</t>
  </si>
  <si>
    <t>venteo</t>
  </si>
  <si>
    <t>ubicación_vent</t>
  </si>
  <si>
    <t>ubicación_plant</t>
  </si>
  <si>
    <t>ruta_evac</t>
  </si>
  <si>
    <t>salida_emerg</t>
  </si>
  <si>
    <t>zona_menor_rg</t>
  </si>
  <si>
    <t>punto_reunion</t>
  </si>
  <si>
    <t>riesgo_electrico</t>
  </si>
  <si>
    <t>senial_prohibicion</t>
  </si>
  <si>
    <t>no_fumar</t>
  </si>
  <si>
    <t>tanques</t>
  </si>
  <si>
    <t>tanque_1</t>
  </si>
  <si>
    <t>tanque_2</t>
  </si>
  <si>
    <t>tanque_3</t>
  </si>
  <si>
    <t>coordenadas</t>
  </si>
  <si>
    <t>norte</t>
  </si>
  <si>
    <t>sur</t>
  </si>
  <si>
    <t>este</t>
  </si>
  <si>
    <t>oeste</t>
  </si>
  <si>
    <t>ley</t>
  </si>
  <si>
    <t>reglamento</t>
  </si>
  <si>
    <t>coord_suplente</t>
  </si>
  <si>
    <t>evacuacion</t>
  </si>
  <si>
    <t>evac_suplente</t>
  </si>
  <si>
    <t>incendios</t>
  </si>
  <si>
    <t>inc_suplente</t>
  </si>
  <si>
    <t>primeros_auxilios</t>
  </si>
  <si>
    <t>aux_suplente</t>
  </si>
  <si>
    <t>busqueda</t>
  </si>
  <si>
    <t>busq_suplente</t>
  </si>
  <si>
    <t>descrip_gi</t>
  </si>
  <si>
    <t>gas_inflamable</t>
  </si>
  <si>
    <t>valor_gi</t>
  </si>
  <si>
    <t>descrp_li</t>
  </si>
  <si>
    <t>liquido_inflamable</t>
  </si>
  <si>
    <t>valor_li</t>
  </si>
  <si>
    <t>descrip_lc</t>
  </si>
  <si>
    <t>liquido_combustible</t>
  </si>
  <si>
    <t>valor_lc</t>
  </si>
  <si>
    <t>descrip_sc</t>
  </si>
  <si>
    <t>solido_combusible</t>
  </si>
  <si>
    <t>valor_sc</t>
  </si>
  <si>
    <t>tipo_riesgo</t>
  </si>
  <si>
    <t>{{ razon_social }}</t>
  </si>
  <si>
    <t>{{ nombre_comercial }}</t>
  </si>
  <si>
    <t>{{ rfc }}</t>
  </si>
  <si>
    <t>{{ codigo_gasolinera }}</t>
  </si>
  <si>
    <t>{{ giro_comercial }}</t>
  </si>
  <si>
    <t>{{ descripcion_actividades }}</t>
  </si>
  <si>
    <t>{{ calle }}</t>
  </si>
  <si>
    <t>{{ no_exterior }}</t>
  </si>
  <si>
    <t>{{ no_interior }}</t>
  </si>
  <si>
    <t>{{ colonia_barrio }}</t>
  </si>
  <si>
    <t>{{ municipio }}</t>
  </si>
  <si>
    <t>{{ estado }}</t>
  </si>
  <si>
    <t>{{ codigo_postal }}</t>
  </si>
  <si>
    <t>{{ telefono }}</t>
  </si>
  <si>
    <t>{{ email }}</t>
  </si>
  <si>
    <t>{{ antiguedad_inmueble }}</t>
  </si>
  <si>
    <t>{{ inicio_operaciones }}</t>
  </si>
  <si>
    <t>{{ mod_estructurales }}</t>
  </si>
  <si>
    <t>{{ mod_arquitect }}</t>
  </si>
  <si>
    <t>{{ terreno_m2 }}</t>
  </si>
  <si>
    <t>{{ construccion_m2 }}</t>
  </si>
  <si>
    <t>{{ edificios }}</t>
  </si>
  <si>
    <t>{{ niveles }}</t>
  </si>
  <si>
    <t>{{ accesos }}</t>
  </si>
  <si>
    <t>{{ salidas_emergencia }}</t>
  </si>
  <si>
    <t>{{ escaleras }}</t>
  </si>
  <si>
    <t>{{ escaleras_emergencia }}</t>
  </si>
  <si>
    <t>{{ estacionamiento }}</t>
  </si>
  <si>
    <t>{{ representante_legal }}</t>
  </si>
  <si>
    <t>{{ responsable_pipc }}</t>
  </si>
  <si>
    <t>{{ trabajadores }}</t>
  </si>
  <si>
    <t>{{ poblacion_discapacidad }}</t>
  </si>
  <si>
    <t>{{ hombres }}</t>
  </si>
  <si>
    <t>{{ mujeres }}</t>
  </si>
  <si>
    <t>{{ hombre_dicapacidad }}</t>
  </si>
  <si>
    <t>{{ mujeres_discapacidad }}</t>
  </si>
  <si>
    <t>{{ turnos }}</t>
  </si>
  <si>
    <t>{{ visitantes }}</t>
  </si>
  <si>
    <t>{{ proveedores }}</t>
  </si>
  <si>
    <t>{{ dias }}</t>
  </si>
  <si>
    <t>{{ horario }}</t>
  </si>
  <si>
    <t>{{ senial_informacion }}</t>
  </si>
  <si>
    <t>{{ botiquin }}</t>
  </si>
  <si>
    <t>{{ ubicación_bot }}</t>
  </si>
  <si>
    <t>{{ extintor }}</t>
  </si>
  <si>
    <t>{{ ubicación_ext }}</t>
  </si>
  <si>
    <t>{{ paros_emergencia }}</t>
  </si>
  <si>
    <t>{{ ubicación_pe }}</t>
  </si>
  <si>
    <t>{{ venteo }}</t>
  </si>
  <si>
    <t>{{ ubicación_vent }}</t>
  </si>
  <si>
    <t>{{ planta }}</t>
  </si>
  <si>
    <t>{{ ubicación_plant }}</t>
  </si>
  <si>
    <t>{{ alarma }}</t>
  </si>
  <si>
    <t>{{ tipo_alarma }}</t>
  </si>
  <si>
    <t>{{ ubicacion_alarma }}</t>
  </si>
  <si>
    <t>{{ detectores_humo }}</t>
  </si>
  <si>
    <t>{{ ubicación_dh }}</t>
  </si>
  <si>
    <t>{{ ruta_evac }}</t>
  </si>
  <si>
    <t>{{ salida_emerg }}</t>
  </si>
  <si>
    <t>{{ zona_menor_rg }}</t>
  </si>
  <si>
    <t>{{ punto_reunion }}</t>
  </si>
  <si>
    <t>{{ sismo_incendio }}</t>
  </si>
  <si>
    <t>{{ riesgo_electrico }}</t>
  </si>
  <si>
    <t>{{ senial_prohibicion }}</t>
  </si>
  <si>
    <t>{{ no_fumar }}</t>
  </si>
  <si>
    <t>{{ apague_motor }}</t>
  </si>
  <si>
    <t>{{ no_celular }}</t>
  </si>
  <si>
    <t>{{ no_gorra_lentes }}</t>
  </si>
  <si>
    <t>{{ uso_epp }}</t>
  </si>
  <si>
    <t>{{ detectores_mov }}</t>
  </si>
  <si>
    <t>{{ site }}</t>
  </si>
  <si>
    <t>{{ hidrantes }}</t>
  </si>
  <si>
    <t>{{ aspersores }}</t>
  </si>
  <si>
    <t>{{ bomberos }}</t>
  </si>
  <si>
    <t>{{ detector_gas }}</t>
  </si>
  <si>
    <t>{{ equipo_brigada }}</t>
  </si>
  <si>
    <t>{{ lampara }}</t>
  </si>
  <si>
    <t>{{ baterias }}</t>
  </si>
  <si>
    <t>{{ tambo_arena }}</t>
  </si>
  <si>
    <t>{{ tanques }}</t>
  </si>
  <si>
    <t>{{ tanque_1 }}</t>
  </si>
  <si>
    <t>{{ tanque_2 }}</t>
  </si>
  <si>
    <t>{{ tanque_3 }}</t>
  </si>
  <si>
    <t>{{ dia }}</t>
  </si>
  <si>
    <t>{{ mes }}</t>
  </si>
  <si>
    <t>{{ anio }}</t>
  </si>
  <si>
    <t>{{ coordenadas }}</t>
  </si>
  <si>
    <t>{{ norte }}</t>
  </si>
  <si>
    <t>{{ sur }}</t>
  </si>
  <si>
    <t>{{ este }}</t>
  </si>
  <si>
    <t>{{ oeste }}</t>
  </si>
  <si>
    <t>{{ ley }}</t>
  </si>
  <si>
    <t>{{ reglamento }}</t>
  </si>
  <si>
    <t>{{ coord_suplente }}</t>
  </si>
  <si>
    <t>{{ evacuacion }}</t>
  </si>
  <si>
    <t>{{ evac_suplente }}</t>
  </si>
  <si>
    <t>{{ incendios }}</t>
  </si>
  <si>
    <t>{{ inc_suplente }}</t>
  </si>
  <si>
    <t>{{ primeros_auxilios }}</t>
  </si>
  <si>
    <t>{{ aux_suplente }}</t>
  </si>
  <si>
    <t>{{ busqueda }}</t>
  </si>
  <si>
    <t>{{ busq_suplente }}</t>
  </si>
  <si>
    <t>{{ descrip_gi }}</t>
  </si>
  <si>
    <t>{{ gas_inflamable }}</t>
  </si>
  <si>
    <t>{{ valor_gi }}</t>
  </si>
  <si>
    <t>{{ descrp_li }}</t>
  </si>
  <si>
    <t>{{ liquido_inflamable }}</t>
  </si>
  <si>
    <t>{{ valor_li }}</t>
  </si>
  <si>
    <t>{{ descrip_lc }}</t>
  </si>
  <si>
    <t>{{ liquido_combustible }}</t>
  </si>
  <si>
    <t>{{ valor_lc }}</t>
  </si>
  <si>
    <t>{{ descrip_sc }}</t>
  </si>
  <si>
    <t>{{ solido_combusible }}</t>
  </si>
  <si>
    <t>{{ valor_sc }}</t>
  </si>
  <si>
    <t>{{ tipo_riesgo }}</t>
  </si>
  <si>
    <t>ruta3</t>
  </si>
  <si>
    <t>{{ logo1 }}</t>
  </si>
  <si>
    <t>{{ logo2 }}</t>
  </si>
  <si>
    <t>{{ fachada }}</t>
  </si>
  <si>
    <t>{{ mapa }}</t>
  </si>
  <si>
    <t>{{ mueble1 }}</t>
  </si>
  <si>
    <t>{{ mueble2 }}</t>
  </si>
  <si>
    <t>{{ electrico }}</t>
  </si>
  <si>
    <t>{{ banio }}</t>
  </si>
  <si>
    <t>{{ sismo }}</t>
  </si>
  <si>
    <t>{{ inundacion }}</t>
  </si>
  <si>
    <t>{{ torm_elect }}</t>
  </si>
  <si>
    <t>{{ incendio }}</t>
  </si>
  <si>
    <t>{{ influenza }}</t>
  </si>
  <si>
    <t>{{ radiacion }}</t>
  </si>
  <si>
    <t>{{ ext1 }}</t>
  </si>
  <si>
    <t>{{ ext2 }}</t>
  </si>
  <si>
    <t>{{ ext3 }}</t>
  </si>
  <si>
    <t>{{ ext4 }}</t>
  </si>
  <si>
    <t>{{ ruta1 }}</t>
  </si>
  <si>
    <t>{{ ruta2 }}</t>
  </si>
  <si>
    <t>{{ ruta3 }}</t>
  </si>
  <si>
    <t>{{ salida }}</t>
  </si>
  <si>
    <t>{{ prohib1 }}</t>
  </si>
  <si>
    <t>{{ prohib2 }}</t>
  </si>
  <si>
    <t>{{ prohib3 }}</t>
  </si>
  <si>
    <t>{{ prohib4 }}</t>
  </si>
  <si>
    <t>{{ layout }}</t>
  </si>
  <si>
    <t>{{ cap1 }}</t>
  </si>
  <si>
    <t>{{ cap2 }}</t>
  </si>
  <si>
    <t>{{ cap3 }}</t>
  </si>
  <si>
    <t>{{ cap4 }}</t>
  </si>
  <si>
    <t>{{ cap5 }}</t>
  </si>
  <si>
    <t>{{ cap6 }}</t>
  </si>
  <si>
    <t>{{ cap7 }}</t>
  </si>
  <si>
    <t>{{ cap8 }}</t>
  </si>
  <si>
    <t>{{ cap9 }}</t>
  </si>
  <si>
    <t>{{ cap10 }}</t>
  </si>
  <si>
    <t>{{ cap11 }}</t>
  </si>
  <si>
    <t>{{ cap12 }}</t>
  </si>
  <si>
    <t>{{ sim1 }}</t>
  </si>
  <si>
    <t>{{ sim2 }}</t>
  </si>
  <si>
    <t>{{ sim3 }}</t>
  </si>
  <si>
    <t>{{ sim4 }}</t>
  </si>
  <si>
    <t>{{ sim5 }}</t>
  </si>
  <si>
    <t>{{ sim6 }}</t>
  </si>
  <si>
    <t>{{ techo }}</t>
  </si>
  <si>
    <t>{{ pisos }}</t>
  </si>
  <si>
    <t>{{ puerta }}</t>
  </si>
  <si>
    <t>{{ estantes }}</t>
  </si>
  <si>
    <t>{{ dh }}</t>
  </si>
  <si>
    <t>{{ ventanas }}</t>
  </si>
  <si>
    <t>{{ compresor }}</t>
  </si>
  <si>
    <t>{{ quimicos }}</t>
  </si>
  <si>
    <t>{{ tanques_gaso }}</t>
  </si>
  <si>
    <t>{{ paro }}</t>
  </si>
  <si>
    <t>{{ trampa_grasa }}</t>
  </si>
  <si>
    <t>esc_emer</t>
  </si>
  <si>
    <t>esc_emer.jpg</t>
  </si>
  <si>
    <t>{{ esc_emer }}</t>
  </si>
  <si>
    <t>venteo_sist</t>
  </si>
  <si>
    <t>{{ venteo_sist }}</t>
  </si>
  <si>
    <t>venteo.jpg</t>
  </si>
  <si>
    <t>{{ maguera }}</t>
  </si>
  <si>
    <t>manguera</t>
  </si>
  <si>
    <t>manguera.jpg</t>
  </si>
  <si>
    <t>cisterna</t>
  </si>
  <si>
    <t>cisterna.jpg</t>
  </si>
  <si>
    <t>{{ cisterna }}</t>
  </si>
  <si>
    <t>met_alarma</t>
  </si>
  <si>
    <t>{{ met_alarma }}</t>
  </si>
  <si>
    <t>botiquin_emer</t>
  </si>
  <si>
    <t>planta_emer</t>
  </si>
  <si>
    <t>{{ planta_emer }}</t>
  </si>
  <si>
    <t>planta.jpg</t>
  </si>
  <si>
    <t>deposito</t>
  </si>
  <si>
    <t>deposito.jpg</t>
  </si>
  <si>
    <t>{{ deposito }}</t>
  </si>
  <si>
    <t>GDL</t>
  </si>
  <si>
    <t>FARMACIA GUADALAJARA S.A. DE C.V.</t>
  </si>
  <si>
    <t>FGU830930PD3</t>
  </si>
  <si>
    <t>DISPENSACIÓN DE MEDICAMENTOS, ATENCIÓN AL CLIENTE, VENTA DE PRODUCTOS DE SALUD, BELLEZA Y ABARROTES</t>
  </si>
  <si>
    <t>SAN MARTIN TEXMELUCAN</t>
  </si>
  <si>
    <t>PUEBLA</t>
  </si>
  <si>
    <t>ismaeldominguezr@yahoo.com</t>
  </si>
  <si>
    <t>7 DE SEPTIEMBRE DE 2015</t>
  </si>
  <si>
    <t>6 CAJONES</t>
  </si>
  <si>
    <t>PABLO SAUL FLORIO VALADEZ</t>
  </si>
  <si>
    <t>ISMAEL DOMINGUEZ R</t>
  </si>
  <si>
    <t>LUNES - DOMINGO</t>
  </si>
  <si>
    <t>24 HORAS</t>
  </si>
  <si>
    <t>AREA INTERNA</t>
  </si>
  <si>
    <t>EN TODA LA FARMACIA</t>
  </si>
  <si>
    <t>ULTIMO NIVEL</t>
  </si>
  <si>
    <t>AREA INTERNA Y EXTERNA</t>
  </si>
  <si>
    <t>ENERO</t>
  </si>
  <si>
    <t>19.285579598674722, -98.43843423120165</t>
  </si>
  <si>
    <t>CASA HABITACIÓN</t>
  </si>
  <si>
    <t>AVENIDA MÉXICO</t>
  </si>
  <si>
    <t>LOCALES COMERCIALES</t>
  </si>
  <si>
    <t>REFACCIONARIA CALIFORNIA</t>
  </si>
  <si>
    <t>Ley del Sistema Estatal de Protección Civil del Estado de Puebla última reforma publicada en el periódico oficial el 08 de abril de 2022.</t>
  </si>
  <si>
    <t>Reglamento de la Ley del Sistema Estatal de Protección Civil para el Estado Libre y Soberano de Puebla, publicado el 1 de julio de 1998.</t>
  </si>
  <si>
    <t>JUAN VICTOR AGUILAR IBARRA</t>
  </si>
  <si>
    <t>MAYTE VILLANUEVA DE LA CRUZ</t>
  </si>
  <si>
    <t>ERNESTO CARLOS GUZMAN</t>
  </si>
  <si>
    <t>ARELI LOPEZ LEYVA</t>
  </si>
  <si>
    <t>MARIA CANDELARIA BRAVO LIRA</t>
  </si>
  <si>
    <t>PAULO ACOSTA</t>
  </si>
  <si>
    <t>YARA PAOLA SANCHEZ R</t>
  </si>
  <si>
    <t>MARIA ARELI VARGAS ZEPEDA</t>
  </si>
  <si>
    <t>JUAN CARLOS TORRES ITURBIDE</t>
  </si>
  <si>
    <t>ALCOHOL</t>
  </si>
  <si>
    <t>GASOLINA</t>
  </si>
  <si>
    <t>MOBILIARIO</t>
  </si>
  <si>
    <t>MINI SUPER CON VENTA DE VINOS Y LICORES EN BOTELLA CERRADA</t>
  </si>
  <si>
    <t>FARMACIA Y TIENDA DE AUTOSERVICIO CON VENTA DE BEBIDAS ALCOHOLICAS EN BOTELLA CERRADA</t>
  </si>
  <si>
    <t>jemg_5935@hotmail.com</t>
  </si>
  <si>
    <t>DICIEMBRE DE 2012</t>
  </si>
  <si>
    <t>5 CAJONES</t>
  </si>
  <si>
    <t>NORMA ANGELICA TEPOX ROMERO</t>
  </si>
  <si>
    <t>MEGAFONO Y CHICHARRA</t>
  </si>
  <si>
    <t>AREA INTERNA Y FARMACIA</t>
  </si>
  <si>
    <t>19.27632, -98.43108</t>
  </si>
  <si>
    <t>CALLE GUADALAJARA</t>
  </si>
  <si>
    <t>CARRETERA 190</t>
  </si>
  <si>
    <t>JUAN DE LA BARRERA PONIENTE</t>
  </si>
  <si>
    <t>CARRETERA 117</t>
  </si>
  <si>
    <t>ROSA MARIA RAMIREZ SEVILLA</t>
  </si>
  <si>
    <t>JOSE ARMANDO REYES GARCIA</t>
  </si>
  <si>
    <t>ANGEL MINOR HERNANDEZ</t>
  </si>
  <si>
    <t>ERIKA ATENCO MORALES</t>
  </si>
  <si>
    <t>ELOISA HERNANDEZ MORALES</t>
  </si>
  <si>
    <t>MARIA ESTHER PEREZ PEREZ</t>
  </si>
  <si>
    <t>BEATRIZ JIMENEZ DOMINGUEZ</t>
  </si>
  <si>
    <t>CARLOS MIGUEL SOLIS GONZALEZ</t>
  </si>
  <si>
    <t>SOIRA MICHEL LEYVA CRUZ</t>
  </si>
  <si>
    <t>BLVD. XICOTENCATL</t>
  </si>
  <si>
    <t>fsca34@hotmail.com</t>
  </si>
  <si>
    <t>7 DE SEPTIEMBRE DE 2016</t>
  </si>
  <si>
    <t>FRANCISCA CAMACHO SEGURA</t>
  </si>
  <si>
    <t>19.285018758433026, -98.43067887876668</t>
  </si>
  <si>
    <t>CALLE RAFAEL RODRÍGUEZ</t>
  </si>
  <si>
    <t>FRANCISCO I. MADERO NORTE</t>
  </si>
  <si>
    <t>J.O. DE DOMINGUEZ NORTE</t>
  </si>
  <si>
    <t>YESSICA MUNOZ SANCHEZ</t>
  </si>
  <si>
    <t>MARLEM CONTRERAS HERNANDEZ</t>
  </si>
  <si>
    <t>OLIVIA VILLANUEVA DE LA CRUZ</t>
  </si>
  <si>
    <t>ANAHI ROBLES LIMON</t>
  </si>
  <si>
    <t>NANCY LOZADA JUAREZ</t>
  </si>
  <si>
    <t>MARIAN RUBIO HERNANDEZ</t>
  </si>
  <si>
    <t>ALAN LOPEZ LEYVA</t>
  </si>
  <si>
    <t>IHULEMA FLORES ELIZALDE</t>
  </si>
  <si>
    <t>JUAN NAVA BANOS</t>
  </si>
  <si>
    <t xml:space="preserve">TIENDA DE AUTO SERVICIO CON APERTURA DE 24 HORAS CON VENTA DE ALCOHOL </t>
  </si>
  <si>
    <t>SUC. 368 LA LIBERTAD</t>
  </si>
  <si>
    <t>SUC. 953 AV. MEXICO</t>
  </si>
  <si>
    <t>SUC. 1079 XICOTENCATL</t>
  </si>
  <si>
    <t>tete221942@hotmail.com</t>
  </si>
  <si>
    <t>ENERO DE 2019</t>
  </si>
  <si>
    <t>20 CAJONES</t>
  </si>
  <si>
    <t>MARIA ESTHER REYES RODRIGUEZ</t>
  </si>
  <si>
    <t>19.29138, -98.45449</t>
  </si>
  <si>
    <t>AVENIDA ALVARO OBREGON</t>
  </si>
  <si>
    <t>LLANO GRANDE</t>
  </si>
  <si>
    <t>CENTRAL SAN RAFAEL</t>
  </si>
  <si>
    <t>CALLE SATURNO</t>
  </si>
  <si>
    <t>SANDRA NAYELY LEYVA NAMBO</t>
  </si>
  <si>
    <t>CECILIA RUIZ BOFE</t>
  </si>
  <si>
    <t>VERONICA RUIZ VOFE</t>
  </si>
  <si>
    <t>CLAUDIA DAISY MARIN DE AQUINO</t>
  </si>
  <si>
    <t>MARIANA ESTELA RAMIREZ MUNOZ</t>
  </si>
  <si>
    <t>LUZ ADRIANA HERNANDEZ GUTIERREZ</t>
  </si>
  <si>
    <t>YURAI ARANA SANCHEZ</t>
  </si>
  <si>
    <t>GUSTAVO BENITEZ R</t>
  </si>
  <si>
    <t>DULCE MARIA ROMERO VARGAS</t>
  </si>
  <si>
    <t>CENTROS ESCOLARES FUNDACION GEU</t>
  </si>
  <si>
    <t>CENTRO EDUCATIVO TEPEACA</t>
  </si>
  <si>
    <t>CEG110503IN2</t>
  </si>
  <si>
    <t>ESCUELA PRIVADA NIVEL PRIMARIA</t>
  </si>
  <si>
    <t>ENSEÑANZA DE MATERIAS BÁSICAS (MATEMÁTICAS, CIENCIAS, LENGUA), EDUCACIÓN FÍSICA, ACTIVIDADES ARTÍSTICAS Y CULTURALES, ASÍ COMO ORIENTACIÓN Y APOYO EMOCIONAL A LOS ESTUDIANTES</t>
  </si>
  <si>
    <t>TEPEACA</t>
  </si>
  <si>
    <t>sramirez@cegeu.org.mx</t>
  </si>
  <si>
    <t>30 DE AGOSTO DE 2011</t>
  </si>
  <si>
    <t>9 CAJONES</t>
  </si>
  <si>
    <t>SIMONA ARACELI RAMIREZ SOLAR</t>
  </si>
  <si>
    <t>LUNES - VIERNES</t>
  </si>
  <si>
    <t>8:00 - 19:00 HORAS</t>
  </si>
  <si>
    <t>SALON PRIMARIA</t>
  </si>
  <si>
    <t>EN TODA LA ESCUELA</t>
  </si>
  <si>
    <t>DIRECCION</t>
  </si>
  <si>
    <t>DIRECCION, BIBLIOTECA Y COMPUTACION</t>
  </si>
  <si>
    <t xml:space="preserve">area_restrig </t>
  </si>
  <si>
    <t>MARZO</t>
  </si>
  <si>
    <t>TERESA FERNANDA CARMONA HERNANDEZ</t>
  </si>
  <si>
    <t>MARISOL MARTINEZ CRUZ</t>
  </si>
  <si>
    <t>BLANCA IBERIA ROSAS MARTINEZ</t>
  </si>
  <si>
    <t>ALEJANDRA LOPEZ VERA</t>
  </si>
  <si>
    <t>VERONICA PONCE SILXA</t>
  </si>
  <si>
    <t>ERICK MANUEL AGUILAR</t>
  </si>
  <si>
    <t>MARIA DOLORES MARTINEZ GONZALEZ</t>
  </si>
  <si>
    <t>JAVIER BAEZ BEJARANO</t>
  </si>
  <si>
    <t>LIZBETH A. CERON GUARNEROS</t>
  </si>
  <si>
    <t>GENERAL</t>
  </si>
  <si>
    <t>18.95889731820051, -97.91335927278011</t>
  </si>
  <si>
    <t>JARDIN DE NINOS MANUEL CENTENO</t>
  </si>
  <si>
    <t>TERRENO</t>
  </si>
  <si>
    <t>ROTONDA</t>
  </si>
  <si>
    <t>ESCUELA TECNICA</t>
  </si>
  <si>
    <t>{{ ubicacion_lampara }}</t>
  </si>
  <si>
    <t>ubicacion_lampara</t>
  </si>
  <si>
    <t>{{ ubicacion_tambo }}</t>
  </si>
  <si>
    <t>ubicacion_tambo</t>
  </si>
  <si>
    <t>{{ ubicacion_bombero }}</t>
  </si>
  <si>
    <t>ubicacion_bombero</t>
  </si>
  <si>
    <t>{{ ubicación_mov }}</t>
  </si>
  <si>
    <t>ubicación_mov</t>
  </si>
  <si>
    <t>{{ ubicación_gas }}</t>
  </si>
  <si>
    <t>ubicación_gas</t>
  </si>
  <si>
    <t>{{ ubiacion_baterias }}</t>
  </si>
  <si>
    <t>ubiacion_baterias</t>
  </si>
  <si>
    <t>{{ ubicacion_site }}</t>
  </si>
  <si>
    <t>ubicacion_site</t>
  </si>
  <si>
    <t>site_emer</t>
  </si>
  <si>
    <t>{{ site_emer }}</t>
  </si>
  <si>
    <t>{{ ubicacion_brigada }}</t>
  </si>
  <si>
    <t>ubicacion_brigada</t>
  </si>
  <si>
    <t>GASOLINERA</t>
  </si>
  <si>
    <t>SUC. 2027 TLANALAPAN</t>
  </si>
  <si>
    <t>evac_puesto</t>
  </si>
  <si>
    <t>supl_evac_pue</t>
  </si>
  <si>
    <t>incen_puesto</t>
  </si>
  <si>
    <t>supl_inc_puesto</t>
  </si>
  <si>
    <t>prim_aux_puesto</t>
  </si>
  <si>
    <t>supl_prim_aux_puesto</t>
  </si>
  <si>
    <t>busq_puesto</t>
  </si>
  <si>
    <t>supl_busq_puesto</t>
  </si>
  <si>
    <t>{{ evac_puesto }}</t>
  </si>
  <si>
    <t>{{ supl_evac_pue }}</t>
  </si>
  <si>
    <t>{{ incen_puesto }}</t>
  </si>
  <si>
    <t>{{ supl_inc_puesto }}</t>
  </si>
  <si>
    <t>{{ prim_aux_puesto }}</t>
  </si>
  <si>
    <t>{{ supl_prim_aux_puesto }}</t>
  </si>
  <si>
    <t>{{ busq_puesto }}</t>
  </si>
  <si>
    <t>{{ supl_busq_puesto }}</t>
  </si>
  <si>
    <t>ref_llegar</t>
  </si>
  <si>
    <t>{{ ref_llegar }}</t>
  </si>
  <si>
    <t>{{ mapa_satel }}</t>
  </si>
  <si>
    <t>mapa_satel</t>
  </si>
  <si>
    <t>mapa_satel.png</t>
  </si>
  <si>
    <t>plano</t>
  </si>
  <si>
    <t>plano.jpg</t>
  </si>
  <si>
    <t>{{ plano }}</t>
  </si>
  <si>
    <t>inmueble1</t>
  </si>
  <si>
    <t>inmueble (1).jpg</t>
  </si>
  <si>
    <t>{{ inmueble1 }}</t>
  </si>
  <si>
    <t>inmueble2</t>
  </si>
  <si>
    <t>inmueble (2).jpg</t>
  </si>
  <si>
    <t>{{ inmueble2 }}</t>
  </si>
  <si>
    <t>banio1</t>
  </si>
  <si>
    <t>banio1.jpg</t>
  </si>
  <si>
    <t>{{ banio1 }}</t>
  </si>
  <si>
    <t>electrico1</t>
  </si>
  <si>
    <t>electrico1.jpg</t>
  </si>
  <si>
    <t>{{ electrico1 }}</t>
  </si>
  <si>
    <t>nombre1</t>
  </si>
  <si>
    <t>nombre2</t>
  </si>
  <si>
    <t>puesto1</t>
  </si>
  <si>
    <t>puesto2</t>
  </si>
  <si>
    <t>nombre3</t>
  </si>
  <si>
    <t>puesto3</t>
  </si>
  <si>
    <t>nombre4</t>
  </si>
  <si>
    <t>puesto4</t>
  </si>
  <si>
    <t>nombre5</t>
  </si>
  <si>
    <t>puesto5</t>
  </si>
  <si>
    <t>nombre6</t>
  </si>
  <si>
    <t>puesto6</t>
  </si>
  <si>
    <t>nombre7</t>
  </si>
  <si>
    <t>puesto7</t>
  </si>
  <si>
    <t>nombre8</t>
  </si>
  <si>
    <t>puesto8</t>
  </si>
  <si>
    <t>nombre9</t>
  </si>
  <si>
    <t>puesto9</t>
  </si>
  <si>
    <t>nombre10</t>
  </si>
  <si>
    <t>puesto10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</si>
  <si>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</si>
  <si>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</si>
  <si>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</si>
  <si>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</si>
  <si>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</si>
  <si>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</si>
  <si>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</si>
  <si>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</si>
  <si>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</si>
  <si>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</si>
  <si>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m_dir</t>
  </si>
  <si>
    <t>m_jef_caj</t>
  </si>
  <si>
    <t>m_evac</t>
  </si>
  <si>
    <t>m_supl_evac</t>
  </si>
  <si>
    <t>m_inc</t>
  </si>
  <si>
    <t>m_supl_inc</t>
  </si>
  <si>
    <t>m_prim_aux</t>
  </si>
  <si>
    <t>m_supl_paux</t>
  </si>
  <si>
    <t>m_busq</t>
  </si>
  <si>
    <t>m_supl_busq</t>
  </si>
  <si>
    <t>{{ nombre1 }}</t>
  </si>
  <si>
    <t>{{ puesto1 }}</t>
  </si>
  <si>
    <t>{{ m1 }}</t>
  </si>
  <si>
    <t>{{ nombre2 }}</t>
  </si>
  <si>
    <t>{{ puesto2 }}</t>
  </si>
  <si>
    <t>{{ m2 }}</t>
  </si>
  <si>
    <t>{{ nombre3 }}</t>
  </si>
  <si>
    <t>{{ puesto3 }}</t>
  </si>
  <si>
    <t>{{ m3 }}</t>
  </si>
  <si>
    <t>{{ nombre4 }}</t>
  </si>
  <si>
    <t>{{ puesto4 }}</t>
  </si>
  <si>
    <t>{{ m4 }}</t>
  </si>
  <si>
    <t>{{ nombre5 }}</t>
  </si>
  <si>
    <t>{{ puesto5 }}</t>
  </si>
  <si>
    <t>{{ m5 }}</t>
  </si>
  <si>
    <t>{{ nombre6 }}</t>
  </si>
  <si>
    <t>{{ puesto6 }}</t>
  </si>
  <si>
    <t>{{ m6 }}</t>
  </si>
  <si>
    <t>{{ nombre7 }}</t>
  </si>
  <si>
    <t>{{ puesto7 }}</t>
  </si>
  <si>
    <t>{{ m7 }}</t>
  </si>
  <si>
    <t>{{ nombre8 }}</t>
  </si>
  <si>
    <t>{{ puesto8 }}</t>
  </si>
  <si>
    <t>{{ m8 }}</t>
  </si>
  <si>
    <t>{{ nombre9 }}</t>
  </si>
  <si>
    <t>{{ puesto9 }}</t>
  </si>
  <si>
    <t>{{ m9 }}</t>
  </si>
  <si>
    <t>{{ nombre10 }}</t>
  </si>
  <si>
    <t>{{ puesto10 }}</t>
  </si>
  <si>
    <t>{{ m10 }}</t>
  </si>
  <si>
    <t>{{ m_dir }}</t>
  </si>
  <si>
    <t>{{ m_jef_caj }}</t>
  </si>
  <si>
    <t>{{ m_evac }}</t>
  </si>
  <si>
    <t>{{ m_supl_evac }}</t>
  </si>
  <si>
    <t>{{ m_inc }}</t>
  </si>
  <si>
    <t>{{ m_supl_inc }}</t>
  </si>
  <si>
    <t>{{ m_prim_aux }}</t>
  </si>
  <si>
    <t>{{ m_supl_paux }}</t>
  </si>
  <si>
    <t>{{ m_busq }}</t>
  </si>
  <si>
    <t>{{ m_supl_busq }}</t>
  </si>
  <si>
    <t>ext_pqs</t>
  </si>
  <si>
    <t>ext_co2</t>
  </si>
  <si>
    <t>{{ ext_pqs }}</t>
  </si>
  <si>
    <t>{{ ext_co2 }}</t>
  </si>
  <si>
    <t>silbato</t>
  </si>
  <si>
    <t>{{ silbato }}</t>
  </si>
  <si>
    <t>estrobo</t>
  </si>
  <si>
    <t>{{ estrobo }}</t>
  </si>
  <si>
    <t>fachada1</t>
  </si>
  <si>
    <t>fachada1.jpg</t>
  </si>
  <si>
    <t>{{ fachada1 }}</t>
  </si>
  <si>
    <t>ubiacion_brigadas</t>
  </si>
  <si>
    <t>{{ ubiacion_brigadas }}</t>
  </si>
  <si>
    <t>bateria</t>
  </si>
  <si>
    <t>bateria.jpg</t>
  </si>
  <si>
    <t>{{ bateria }}</t>
  </si>
  <si>
    <t>acta1</t>
  </si>
  <si>
    <t>acta2</t>
  </si>
  <si>
    <t>crono_anual</t>
  </si>
  <si>
    <t>simulacro</t>
  </si>
  <si>
    <t>capacitacion</t>
  </si>
  <si>
    <t>inv_quim</t>
  </si>
  <si>
    <t>inv_emer</t>
  </si>
  <si>
    <t>bit_emer</t>
  </si>
  <si>
    <t>insp_bot</t>
  </si>
  <si>
    <t>insp_ext</t>
  </si>
  <si>
    <t>ev_sim1</t>
  </si>
  <si>
    <t>ev_sim2</t>
  </si>
  <si>
    <t>visitas</t>
  </si>
  <si>
    <t>insp_dh</t>
  </si>
  <si>
    <t>insp_lamp</t>
  </si>
  <si>
    <t>insp_alarm</t>
  </si>
  <si>
    <t>crono_anual.png</t>
  </si>
  <si>
    <t>simulacro.png</t>
  </si>
  <si>
    <t>capacitacion.png</t>
  </si>
  <si>
    <t>inv_quim.png</t>
  </si>
  <si>
    <t>inv_emer.png</t>
  </si>
  <si>
    <t>bit_emer.png</t>
  </si>
  <si>
    <t>insp_bot.png</t>
  </si>
  <si>
    <t>insp_ext.png</t>
  </si>
  <si>
    <t>insp_dh.png</t>
  </si>
  <si>
    <t>insp_lamp.png</t>
  </si>
  <si>
    <t>insp_alarm.png</t>
  </si>
  <si>
    <t>ev_sim1.png</t>
  </si>
  <si>
    <t>ev_sim2.png</t>
  </si>
  <si>
    <t>visitas.png</t>
  </si>
  <si>
    <t>GSS 960702 K32</t>
  </si>
  <si>
    <t>PL/2914/EXP/ES/2015</t>
  </si>
  <si>
    <t>ATENCION AL PUBLICO POR MEDIO DE VENTA DE GASOLINAS, DIESEL, ACEITES Y ADITIVOS</t>
  </si>
  <si>
    <t>CUAUTLANCINGO</t>
  </si>
  <si>
    <t>2214 3104 66</t>
  </si>
  <si>
    <t>sansebastian@grupoempresarialpb.com</t>
  </si>
  <si>
    <t>25 DE OCTUBRE DE 2012</t>
  </si>
  <si>
    <t>JESUS POZOS CRUZ</t>
  </si>
  <si>
    <t>BOMBAS, VENTEO, AREA INTERNA</t>
  </si>
  <si>
    <t>SIRENA</t>
  </si>
  <si>
    <t>OFICINA</t>
  </si>
  <si>
    <t>19° 13' 5415” - 98° 23' 8273"</t>
  </si>
  <si>
    <t>ACCESO PRINCIPAL CALLE GALEANA</t>
  </si>
  <si>
    <t>CALLE MORELOS</t>
  </si>
  <si>
    <t>CALLE CHIAPAS</t>
  </si>
  <si>
    <t>CALLE 20 NOVIEMBRE</t>
  </si>
  <si>
    <t>DIESEL Y ACEITES</t>
  </si>
  <si>
    <t>GASOLINERA LOS ANGELES DE HUEJOTZINGO S.A DE C.V.</t>
  </si>
  <si>
    <t>GASOLINERA SAN SEBASTIAN S.A DE C.V.</t>
  </si>
  <si>
    <t>GAH 920810 071</t>
  </si>
  <si>
    <t>PL/3178/EXP/ES/2015</t>
  </si>
  <si>
    <t>HUEJOTZINGO</t>
  </si>
  <si>
    <t>angeles@grupoempresarialpb.com</t>
  </si>
  <si>
    <t>10 DE AGOSTO DE 1992</t>
  </si>
  <si>
    <t>MARIA SALOME PEREZ BAUTISTA</t>
  </si>
  <si>
    <t>6:00 - 22:00</t>
  </si>
  <si>
    <t>BOMBAS, OFICINA</t>
  </si>
  <si>
    <t>LOS ANGELES E.S. 4106 VALERO</t>
  </si>
  <si>
    <t>SUR</t>
  </si>
  <si>
    <t>BOMBAS</t>
  </si>
  <si>
    <t>19° 14' 7373” - 98° 38' 9053"</t>
  </si>
  <si>
    <t>ACCESO PRINCIPAL CARRETERA FEDERAL</t>
  </si>
  <si>
    <t>TERRENOS DE CULTIVO</t>
  </si>
  <si>
    <t>BODEGA DE PLASTICOS PARA EL HOGAR</t>
  </si>
  <si>
    <t>DANNA SOLEDAD POBLANO JUAREZ</t>
  </si>
  <si>
    <t>WENDY CAROLINA SAUCEDA BARAHUNC</t>
  </si>
  <si>
    <t>SAN SEBASTIAN E.S. 7335 VALERO</t>
  </si>
  <si>
    <t>SERVICIO LA CABAÑA S.A DE C.V.</t>
  </si>
  <si>
    <t>LA CABAÑA E.S. 5930 VALERO</t>
  </si>
  <si>
    <t>SCA 990413 NE1</t>
  </si>
  <si>
    <t>PL/3104/EXP/ES/2015</t>
  </si>
  <si>
    <t>cabana@grupoempresarialpb.com</t>
  </si>
  <si>
    <t>13 DE ABRIL DE 2000</t>
  </si>
  <si>
    <t>BOMBAS, OFICINA, VENTEO</t>
  </si>
  <si>
    <t>OESTE</t>
  </si>
  <si>
    <t>19° 14' 6819” - 98° 38' 9053"</t>
  </si>
  <si>
    <t>CARRETERA FEDERAL</t>
  </si>
  <si>
    <t>SUPER EL CARMEN</t>
  </si>
  <si>
    <t>ANAHI RAMOS HERNANDEZ</t>
  </si>
  <si>
    <t>ALEJANDRA REYES RAMIREZ</t>
  </si>
  <si>
    <t>CESAR EDUARDO ALCAZAR JIMENEZ</t>
  </si>
  <si>
    <t>ARMANDO VALENCIA COSME</t>
  </si>
  <si>
    <t>ZARA LAURA CORTES PENA</t>
  </si>
  <si>
    <t>LILIANA TEXCUCANO MORELOS</t>
  </si>
  <si>
    <t>MARIA CONCEPCION TEXCUCANO PADILLA</t>
  </si>
  <si>
    <t>SERVICIOS MOMOXPAN S.A DE C.V.</t>
  </si>
  <si>
    <t>PL/3066/EXP/ES/MM/2015</t>
  </si>
  <si>
    <t>GASOLINERA ESTACIÓN MOBIL FORJADORES</t>
  </si>
  <si>
    <t>SMO 951212 GU9</t>
  </si>
  <si>
    <t>RECEPCIÓN Y VENTA DE GASOLINA, DIESEL Y ADITIVOS</t>
  </si>
  <si>
    <t>SAN PEDRO CHOLULA</t>
  </si>
  <si>
    <t>2222 8526 05/2222 8537 64</t>
  </si>
  <si>
    <t>mobilforjadores@gmail.com</t>
  </si>
  <si>
    <t>12 DE DICIEMBRE DE 1995</t>
  </si>
  <si>
    <t>19.077159403361616, -98.27100989520058</t>
  </si>
  <si>
    <t>BLVD FORJADORES</t>
  </si>
  <si>
    <t>CALLE FERROCARRIL</t>
  </si>
  <si>
    <t>CASA HABITACION</t>
  </si>
  <si>
    <t>GAS NATURAL</t>
  </si>
  <si>
    <t>DOMINGO ARENAS E.S. 11079 VALERO</t>
  </si>
  <si>
    <t>DOMINGO ARENAS</t>
  </si>
  <si>
    <t>2214 1429 14</t>
  </si>
  <si>
    <t>domingoarenas11079@gmail.com</t>
  </si>
  <si>
    <t>13 DE ABRIL DE 1999</t>
  </si>
  <si>
    <t>mantto1</t>
  </si>
  <si>
    <t>mantto2</t>
  </si>
  <si>
    <t>Gasolinera</t>
  </si>
  <si>
    <t>mapa.png</t>
  </si>
  <si>
    <t>sismo.png</t>
  </si>
  <si>
    <t>inundacion.png</t>
  </si>
  <si>
    <t>torm_elect.png</t>
  </si>
  <si>
    <t>incendio.png</t>
  </si>
  <si>
    <t>influenza.png</t>
  </si>
  <si>
    <t>mantto1.png</t>
  </si>
  <si>
    <t>mantto2.png</t>
  </si>
  <si>
    <t>LOURDES CAROLINA ZAMUDIO MENDIETA</t>
  </si>
  <si>
    <t>radiacion.png</t>
  </si>
  <si>
    <t>BBVA</t>
  </si>
  <si>
    <t>CR 3758 PUEBLA OFICINA PRINCIPAL</t>
  </si>
  <si>
    <t>BBA 830831 LJ2</t>
  </si>
  <si>
    <t>BANCO</t>
  </si>
  <si>
    <t>INTERMEDIACIÓN FINANCIERA, GESTIÓN DE CUENTAS Y TRANSACCIONES, PRÉSTAMOS Y CRÉDITOS, SERVICIOS DE INVERSIÓN, ASESORAMIENTO FINANCIERO Y CUMPLIMIENTO DE REGULACIONES BANCARIAS</t>
  </si>
  <si>
    <t>0 CAJONES</t>
  </si>
  <si>
    <t>EDUARDO NAVA DEVEAUX</t>
  </si>
  <si>
    <t>YAZMIN TORRES GARCIA</t>
  </si>
  <si>
    <t>08:30 A 16:00 HORAS</t>
  </si>
  <si>
    <t>FEBRERO</t>
  </si>
  <si>
    <t>AREA INTERNA, CAJAS, AREA CLIENTES, ON LINE</t>
  </si>
  <si>
    <t>BOTONERA Y ESTROBO</t>
  </si>
  <si>
    <t>AREA INTERNA Y AREA EXTERNA</t>
  </si>
  <si>
    <t>EN TODO EL BANCO</t>
  </si>
  <si>
    <t>OFICINA GERENTE</t>
  </si>
  <si>
    <t>ON LINE</t>
  </si>
  <si>
    <t>M810264</t>
  </si>
  <si>
    <t>VIANEY LUNA LUNA</t>
  </si>
  <si>
    <t>M911389</t>
  </si>
  <si>
    <t>MONSERRAT CABALLERO GUARNEROS</t>
  </si>
  <si>
    <t>AUXILIAR JEFE DE CAJAS</t>
  </si>
  <si>
    <t>M901651</t>
  </si>
  <si>
    <t>ROBERTO DANIEL SANTAMARIA MARIN</t>
  </si>
  <si>
    <t>CAJERO UNIVERSAL B</t>
  </si>
  <si>
    <t>MB88226</t>
  </si>
  <si>
    <t>CRISTIAN EDUARDO SASTRE VENTURA</t>
  </si>
  <si>
    <t>BANQUERO</t>
  </si>
  <si>
    <t>MI17553</t>
  </si>
  <si>
    <t>ALEJANDRO SANCHEZ SANCHEZ</t>
  </si>
  <si>
    <t>ASESOR DIGITAL</t>
  </si>
  <si>
    <t>MI23073</t>
  </si>
  <si>
    <t>JESSICA TRINIDAD MATEOS CORTES</t>
  </si>
  <si>
    <t>BANQUERA</t>
  </si>
  <si>
    <t>MI17606</t>
  </si>
  <si>
    <t>ARACELI SANCHEZ BERMEO</t>
  </si>
  <si>
    <t>MB88229</t>
  </si>
  <si>
    <t>ANDREA LEONIDES VARGAS</t>
  </si>
  <si>
    <t>MI20418</t>
  </si>
  <si>
    <t>EDITH BAUTISTA ORGAS</t>
  </si>
  <si>
    <t>CAJERO UNIVERSAL A</t>
  </si>
  <si>
    <t>MB66332</t>
  </si>
  <si>
    <t>FRANCISCO SUAREZ PERALTA</t>
  </si>
  <si>
    <t>MB92840</t>
  </si>
  <si>
    <t>IRENE FLORERO CASTILLO</t>
  </si>
  <si>
    <t>MI17322</t>
  </si>
  <si>
    <t>CLAUDIA ABASOLO GARCIA</t>
  </si>
  <si>
    <t>MI13495</t>
  </si>
  <si>
    <t>MARICARMEN HERNANDEZ CHAMORRO</t>
  </si>
  <si>
    <t>MB95607</t>
  </si>
  <si>
    <t>DIANA MARITZA HERNANDEZ GUERRERO</t>
  </si>
  <si>
    <t>MB58056</t>
  </si>
  <si>
    <t>CRISTIAN ROJAS MURRIETA</t>
  </si>
  <si>
    <t>MI02286</t>
  </si>
  <si>
    <t>ANDREA ARELI ROMAN GOMEZ</t>
  </si>
  <si>
    <t>MI21710</t>
  </si>
  <si>
    <t>LUZ ADRIANA DOMINGUEZ ACOCAL</t>
  </si>
  <si>
    <t>MB88535</t>
  </si>
  <si>
    <t>OLIVIA CARRADA LOPEZ</t>
  </si>
  <si>
    <t>MB92409</t>
  </si>
  <si>
    <t>MARCO ANTONIO LOPEZ MIGUEL</t>
  </si>
  <si>
    <t>MB81294</t>
  </si>
  <si>
    <t>TANIA SOLEDAD LOPEZ MACIAS</t>
  </si>
  <si>
    <t>MB95247</t>
  </si>
  <si>
    <t>AMERICA MALENY GARCIA GONZALEZ</t>
  </si>
  <si>
    <t>MI20644</t>
  </si>
  <si>
    <t>JONATHA MICHEL VAZQUEZ MONTES</t>
  </si>
  <si>
    <t>MI03847</t>
  </si>
  <si>
    <t>10 CAJONES</t>
  </si>
  <si>
    <t>MB09216</t>
  </si>
  <si>
    <t>ROSARIO GONZALEZ VALLARTE</t>
  </si>
  <si>
    <t>MI5545</t>
  </si>
  <si>
    <t>DIEGO HERNANDEZ CARMONA</t>
  </si>
  <si>
    <t>MI28409</t>
  </si>
  <si>
    <t>PAOLA CUAUTLE AGUILAR</t>
  </si>
  <si>
    <t>MB87913</t>
  </si>
  <si>
    <t>FERNANDO HERNANDEZ MARTINEZ</t>
  </si>
  <si>
    <t>M903801</t>
  </si>
  <si>
    <t>RAFAEL UGARTE OLIVER</t>
  </si>
  <si>
    <t>MB54486</t>
  </si>
  <si>
    <t>MARIA ANGELICA BALCAZAR ROMERO</t>
  </si>
  <si>
    <t>BANQUERO JR</t>
  </si>
  <si>
    <t>MB44681</t>
  </si>
  <si>
    <t>MARIA DE LOS ANGELES LARA MORALES</t>
  </si>
  <si>
    <t>MB90635</t>
  </si>
  <si>
    <t>JUDITH CHICO SARTILLO</t>
  </si>
  <si>
    <t>MI17688</t>
  </si>
  <si>
    <t>HECTOR ELIAS COYOTL SANCHEZ</t>
  </si>
  <si>
    <t>MI21700</t>
  </si>
  <si>
    <t>MARTHA PATRICIA SALGADO FLORES</t>
  </si>
  <si>
    <t>MB97571</t>
  </si>
  <si>
    <t>MONICA VIDAL HERANANDEZ</t>
  </si>
  <si>
    <t>CAJERO UNIVERSAL</t>
  </si>
  <si>
    <t>MB47232</t>
  </si>
  <si>
    <t>SERGIO ALONSO OROZCO ORTIZ</t>
  </si>
  <si>
    <t>MI20673</t>
  </si>
  <si>
    <t>ANA MIREYA VAZQUEZ MUNDO</t>
  </si>
  <si>
    <t>M820471</t>
  </si>
  <si>
    <t>DIANA LAURA YANEZ HERNANDEZ</t>
  </si>
  <si>
    <t>MI05214</t>
  </si>
  <si>
    <t>CALZADA ZAVALETA</t>
  </si>
  <si>
    <t>4 CAJONES</t>
  </si>
  <si>
    <t>BBVA MEXICO S.A. INSTITUCION DE BANCA MULTIPLE GRUPO FINANCIERO BBVA MEXICO</t>
  </si>
  <si>
    <t>dir_emer</t>
  </si>
  <si>
    <t>dir_emer.jpg</t>
  </si>
  <si>
    <t>{{ dir_emer }}</t>
  </si>
  <si>
    <t>MARIO ROJAS JURADO</t>
  </si>
  <si>
    <t>SELENA GOMEZ ARELLANO</t>
  </si>
  <si>
    <t>M911623</t>
  </si>
  <si>
    <t>GRISELDA JANETH RUIZ ROMERO</t>
  </si>
  <si>
    <t>CESAR NARANJO VALERA</t>
  </si>
  <si>
    <t>MI26390</t>
  </si>
  <si>
    <t>HUMBERTO SAPOTECOS TOXQUI</t>
  </si>
  <si>
    <t>MB00637</t>
  </si>
  <si>
    <t>LUISA ELENA LOPEZ BENTANZO</t>
  </si>
  <si>
    <t>MB00043</t>
  </si>
  <si>
    <t>NADIA VERONICA SUAREZ SANCHEZ</t>
  </si>
  <si>
    <t>MI24020</t>
  </si>
  <si>
    <t>ANA YELI PUCHETA ANTELE</t>
  </si>
  <si>
    <t>MB95050</t>
  </si>
  <si>
    <t>ALMA ADRIANA ALLENDE GARCIA</t>
  </si>
  <si>
    <t>MB57172</t>
  </si>
  <si>
    <t>ANA YESSENIA CHAVARRIA CORONA</t>
  </si>
  <si>
    <t>GABRIELA GUADARRAMA ISLAS</t>
  </si>
  <si>
    <t>EN TODA LA OFICINA</t>
  </si>
  <si>
    <t>ESCRITORIOS</t>
  </si>
  <si>
    <t>M101461</t>
  </si>
  <si>
    <t>NESTOR DANIEL PEREZ CASTILLO</t>
  </si>
  <si>
    <t>EJECUTIVO HIPOTECARIO RH</t>
  </si>
  <si>
    <t>MB66924</t>
  </si>
  <si>
    <t>ALEXIA MELINNA MAYA JUAREZ</t>
  </si>
  <si>
    <t>EJECUTIVO DE ORIGINACION</t>
  </si>
  <si>
    <t>MI18871</t>
  </si>
  <si>
    <t>MARIA KAREN CARRASCO MONTIEL</t>
  </si>
  <si>
    <t>MI11760</t>
  </si>
  <si>
    <t>JOHAN ALEJANDRO PORTILLO BERRUECOS</t>
  </si>
  <si>
    <t>MI03015</t>
  </si>
  <si>
    <t>PAULA MARIA MARTINEZ ORTIZ</t>
  </si>
  <si>
    <t>MI18385</t>
  </si>
  <si>
    <t>MARIA DEL CARMEN CUEVAS ALVAREZ</t>
  </si>
  <si>
    <t>MI31652</t>
  </si>
  <si>
    <t>JESUS ANTONIO ENRIQUEZ CRUZ</t>
  </si>
  <si>
    <t>MI00060</t>
  </si>
  <si>
    <t>CINTHYA GONZALEZ VEGA</t>
  </si>
  <si>
    <t>MI11074</t>
  </si>
  <si>
    <t>OSCAR PATINO LUNA</t>
  </si>
  <si>
    <t>MI16323</t>
  </si>
  <si>
    <t>9 SUR</t>
  </si>
  <si>
    <t>carolina.hernandez@bbva.com</t>
  </si>
  <si>
    <t>LUIS ENRIQUE BAUTISTA AYALA</t>
  </si>
  <si>
    <t>ON LINE, AREA COMUN, AREA INTERNA</t>
  </si>
  <si>
    <t>MB95345</t>
  </si>
  <si>
    <t>CAROLINA HERNANDEZ CHAVEZ</t>
  </si>
  <si>
    <t>M845648</t>
  </si>
  <si>
    <t>MIGUEL ANGEL AGUILAR P</t>
  </si>
  <si>
    <t>MB87020</t>
  </si>
  <si>
    <t>EDGAR TLACOMULCO PALACIOS</t>
  </si>
  <si>
    <t>MI17234</t>
  </si>
  <si>
    <t>DIANA LUZ HERNANDEZ BLANCO</t>
  </si>
  <si>
    <t>MB97269</t>
  </si>
  <si>
    <t>SERGIO ABEL RAMIREZ HERNANDEZ</t>
  </si>
  <si>
    <t>MI30098</t>
  </si>
  <si>
    <t>FRANCISCO JAVIER MENDEZ HERNANDEZ</t>
  </si>
  <si>
    <t>M912073</t>
  </si>
  <si>
    <t>JESSICA MARLEN SALAMANCA SALGADO</t>
  </si>
  <si>
    <t>MB61455</t>
  </si>
  <si>
    <t>MARLEN SAGRARIO MORA QUIRVAN</t>
  </si>
  <si>
    <t>MI15211</t>
  </si>
  <si>
    <t>AMEYALI BERENICE NAVA ORTEGA</t>
  </si>
  <si>
    <t>MB70606</t>
  </si>
  <si>
    <t>marina.delao.1@bbva.com</t>
  </si>
  <si>
    <t>ESCRITORIOS Y AREA INTERNA</t>
  </si>
  <si>
    <t>AREA EXTERNA</t>
  </si>
  <si>
    <t>FLORENCIO ORTIZ RAMIREZ</t>
  </si>
  <si>
    <t>M284737</t>
  </si>
  <si>
    <t>MARINA ABIGAIL DE LA O DOMINGUEZ</t>
  </si>
  <si>
    <t>M819010</t>
  </si>
  <si>
    <t>MARTHA PEÑA GUTIERREZ</t>
  </si>
  <si>
    <t>MI0377</t>
  </si>
  <si>
    <t>TAMARA GIOVANNA QUINTERO DE LA CRUZ</t>
  </si>
  <si>
    <t>MB96020</t>
  </si>
  <si>
    <t>MARIA DE LOURDES ROSAS CERON</t>
  </si>
  <si>
    <t>MI22221</t>
  </si>
  <si>
    <t>SONIA ORTEGA HERNANDEZ</t>
  </si>
  <si>
    <t>MB95249</t>
  </si>
  <si>
    <t>JORGE GUADALUPE BELLO GONZALEZ</t>
  </si>
  <si>
    <t>MB85011</t>
  </si>
  <si>
    <t>SERGIO HERNANDEZ HERNANDEZ</t>
  </si>
  <si>
    <t>MI08650</t>
  </si>
  <si>
    <t>KAREN LUCIA CRUZ HERNANDEZ</t>
  </si>
  <si>
    <t>MB57702</t>
  </si>
  <si>
    <t>ABIGAIL CARMELA MONTAÑO MARTINEZ</t>
  </si>
  <si>
    <t>M908040</t>
  </si>
  <si>
    <t>CAROLINA MONTERROSAS PALACIOS</t>
  </si>
  <si>
    <t>BANQUERO SR</t>
  </si>
  <si>
    <t>MB38922</t>
  </si>
  <si>
    <t>DANIELA FERNANDA HERNANDEZ SANABRIA</t>
  </si>
  <si>
    <t>MI24483</t>
  </si>
  <si>
    <t>CR 3738 PUEBLA 5 DE MAYO</t>
  </si>
  <si>
    <t>blanca.barroeta@bbva.com</t>
  </si>
  <si>
    <t>CR 511 PUEBLA JUAREZ</t>
  </si>
  <si>
    <t>CR 738 PUEBLA PLAZA ZAVALETA</t>
  </si>
  <si>
    <t>CR 2375 HIPOTECARIA SUR PUEBLA</t>
  </si>
  <si>
    <t>CR 4678 GRAN SUR PUEBLA</t>
  </si>
  <si>
    <t>CR 3747 PUEBLA MAYORAZGO</t>
  </si>
  <si>
    <t>CARLOS GONZALEZ ROMERO</t>
  </si>
  <si>
    <t>LUCIA JIMENEZ HERRERA</t>
  </si>
  <si>
    <t>M49565</t>
  </si>
  <si>
    <t>BLANCA EVELIN BARROETA ESPINOSA</t>
  </si>
  <si>
    <t>M284670</t>
  </si>
  <si>
    <t>JESUS HERNANDEZ CABRERA</t>
  </si>
  <si>
    <t>MI30978</t>
  </si>
  <si>
    <t>MIGUEL ANGEL GONZALEZ UREÑA</t>
  </si>
  <si>
    <t>MI23088</t>
  </si>
  <si>
    <t>VALERIA IRAIS PUENTES VALENCIA</t>
  </si>
  <si>
    <t>MB93427</t>
  </si>
  <si>
    <t>ANA LAURA SALDAÑA GUTIERREZ</t>
  </si>
  <si>
    <t>MI26961</t>
  </si>
  <si>
    <t>MAXIMILIANO ZENTENO PINEDA</t>
  </si>
  <si>
    <t>MI05009</t>
  </si>
  <si>
    <t>ORIENCIO CRUZ CRUZ</t>
  </si>
  <si>
    <t>MB98003</t>
  </si>
  <si>
    <t>GUILLERMINA MARTINEZ HUERTA</t>
  </si>
  <si>
    <t>MB09243</t>
  </si>
  <si>
    <t>ISAI TAPIA ROSAS</t>
  </si>
  <si>
    <t>MB96606</t>
  </si>
  <si>
    <t>ANA KAREN VARGAS GARFIAS</t>
  </si>
  <si>
    <t>MB94208</t>
  </si>
  <si>
    <t>ANDREA GONZALEZ HIDALGO Y COSTILLA</t>
  </si>
  <si>
    <t>MI29896</t>
  </si>
  <si>
    <t>OMAR ORNELAS LUNA</t>
  </si>
  <si>
    <t>MI14975</t>
  </si>
  <si>
    <t>CR 507 PUEBLA 43 ORIENTE</t>
  </si>
  <si>
    <t>luisa.massa@bbva.com</t>
  </si>
  <si>
    <t>LUCIA CARRASCO GARCIA</t>
  </si>
  <si>
    <t>MI5590</t>
  </si>
  <si>
    <t>LUISA OLIVIA MASSA VALERA</t>
  </si>
  <si>
    <t>M46450</t>
  </si>
  <si>
    <t>DIANA LAURA BONILLA CASTILO</t>
  </si>
  <si>
    <t>MB95026</t>
  </si>
  <si>
    <t>SELENA GUADALUPE MANZO CISNEROS</t>
  </si>
  <si>
    <t>MI31329</t>
  </si>
  <si>
    <t>DANIEL ALEJANDRO MARTINEZ LEON</t>
  </si>
  <si>
    <t>MB79132</t>
  </si>
  <si>
    <t>DANIEL MORENO LUNA</t>
  </si>
  <si>
    <t>MI00473</t>
  </si>
  <si>
    <t>AURELIA JUAREZ RAMIREZ</t>
  </si>
  <si>
    <t>M284491</t>
  </si>
  <si>
    <t>ROSARIO VALERIA SUAREZ LUNA</t>
  </si>
  <si>
    <t>MI01720</t>
  </si>
  <si>
    <t>CR 4676 PLAZA SAN DIEGO</t>
  </si>
  <si>
    <t>SUCURSAL BANCARIA</t>
  </si>
  <si>
    <t>MIGUEL JOSE GUZMAN CORDERO</t>
  </si>
  <si>
    <t>MB60957</t>
  </si>
  <si>
    <t>ANTONIO DE JESUS MONTES TORRES</t>
  </si>
  <si>
    <t>M911390</t>
  </si>
  <si>
    <t>ROGELIO GARCIA CUATECATL</t>
  </si>
  <si>
    <t>MB88821</t>
  </si>
  <si>
    <t>HUGO COYOTL CUAMANI</t>
  </si>
  <si>
    <t>MI00816</t>
  </si>
  <si>
    <t>LILIANA ANGELICA SID LINARES</t>
  </si>
  <si>
    <t>M909954</t>
  </si>
  <si>
    <t>BLANCA LETICIA TECUANHUEHUE CALDERON</t>
  </si>
  <si>
    <t>MI30814</t>
  </si>
  <si>
    <t>CAMILA GARCIA HUERTA</t>
  </si>
  <si>
    <t>MI17782</t>
  </si>
  <si>
    <t>EDNA CRISTELL RUIZ SANCHEZ</t>
  </si>
  <si>
    <t>MB88936</t>
  </si>
  <si>
    <t>SALVADOR ROSETE DE SANTIAGO</t>
  </si>
  <si>
    <t>MI15642</t>
  </si>
  <si>
    <t>JUAN ANTONIO TELLEZ MACEDA</t>
  </si>
  <si>
    <t>MI02512</t>
  </si>
  <si>
    <t>CR 527 PUEBLA LAS ANIMAS</t>
  </si>
  <si>
    <t>yetzabelli.tolentino@bbva.com</t>
  </si>
  <si>
    <t>antonio.montes@bbva.com</t>
  </si>
  <si>
    <t>ANA ISABEL RODRIGUEZ PEREZ</t>
  </si>
  <si>
    <t>MB59528</t>
  </si>
  <si>
    <t>YETZABELLI TOLENTINO SAMPAYO</t>
  </si>
  <si>
    <t>MB86288</t>
  </si>
  <si>
    <t>MARIA SANDRA EVA GONZALEZ</t>
  </si>
  <si>
    <t>EJECUTIVO</t>
  </si>
  <si>
    <t>MI14128</t>
  </si>
  <si>
    <t>SERGIO GUTIERREZ VAZQUEZ</t>
  </si>
  <si>
    <t>MB71187</t>
  </si>
  <si>
    <t>JULIO LOPEZ BEJARANO</t>
  </si>
  <si>
    <t>MI13525</t>
  </si>
  <si>
    <t>RUTH ESPINDOLA ALFARO</t>
  </si>
  <si>
    <t>MB11542</t>
  </si>
  <si>
    <t>HECTOR JAVIER RAMIREZ CAMACHO</t>
  </si>
  <si>
    <t>MI19761</t>
  </si>
  <si>
    <t>MARIA GUADALUPE CANSINO ANTONIO</t>
  </si>
  <si>
    <t>MI17479</t>
  </si>
  <si>
    <t>CR 3740 PUEBLA ANIMAS VERGEL</t>
  </si>
  <si>
    <t>veronica.macias.1@bbva.com</t>
  </si>
  <si>
    <t>LUIS MIGUEL PEREZ MARQUEZ</t>
  </si>
  <si>
    <t>MB49528</t>
  </si>
  <si>
    <t>VERONICA MIRIAM MACIAS FLORES</t>
  </si>
  <si>
    <t>M818083</t>
  </si>
  <si>
    <t>LETICIA BENITEZ RAMIREZ</t>
  </si>
  <si>
    <t>MI02524</t>
  </si>
  <si>
    <t>JESUS ENRIQUE GARCIA EMETERIO</t>
  </si>
  <si>
    <t>MB69380</t>
  </si>
  <si>
    <t>DIEGO ALTAMIRANO VELAZQUEZ</t>
  </si>
  <si>
    <t>MI19771</t>
  </si>
  <si>
    <t>MARIBEL FIGUEROA TIRADO</t>
  </si>
  <si>
    <t>MI220336</t>
  </si>
  <si>
    <t>ARACELI HERNANDEZ BLANCO</t>
  </si>
  <si>
    <t>M349577</t>
  </si>
  <si>
    <t>BLANCA MELBA DOMINGUEZ ZAVALETA</t>
  </si>
  <si>
    <t>MB98500</t>
  </si>
  <si>
    <t>MYRNA PLIEGO ESCALANTE</t>
  </si>
  <si>
    <t>M284103</t>
  </si>
  <si>
    <t>GABRIELA HERNANDEZ SANCHEZ</t>
  </si>
  <si>
    <t>AUXILIAR</t>
  </si>
  <si>
    <t>M826406</t>
  </si>
  <si>
    <t>ALONDRA GUADALUPE LOPEZ CABALLERO</t>
  </si>
  <si>
    <t>MI08972</t>
  </si>
  <si>
    <t>EMIGDIO FLORES AYALA</t>
  </si>
  <si>
    <t>MB88825</t>
  </si>
  <si>
    <t>CR 5045 PUEBLA CRUZ DEL SUR</t>
  </si>
  <si>
    <t>SERVICIOS FINANCIEROS Y BANCARIOS</t>
  </si>
  <si>
    <t>29 DE ABRIL DE 2011</t>
  </si>
  <si>
    <t>HUGO AGUAS ROJAS</t>
  </si>
  <si>
    <t>BRENDA MENDOZA VALDERRAMA</t>
  </si>
  <si>
    <t>M903052</t>
  </si>
  <si>
    <t>M816392</t>
  </si>
  <si>
    <t>MARIBEL GONZALEZ PADILLA</t>
  </si>
  <si>
    <t>MB95245</t>
  </si>
  <si>
    <t>LUIS ANTONIO TAPIA SOLIS</t>
  </si>
  <si>
    <t>MB91104</t>
  </si>
  <si>
    <t>ARANZA IDALYTH HERNANDEZ IZQUIERDO</t>
  </si>
  <si>
    <t>MI17354</t>
  </si>
  <si>
    <t>CARLOS EDUARDO SANCHEZ CUAUTECATL</t>
  </si>
  <si>
    <t>MI30096</t>
  </si>
  <si>
    <t>PATRICIA RIVERA DOMINGUEZ</t>
  </si>
  <si>
    <t>MI06538</t>
  </si>
  <si>
    <t>MA. CRISTINA XOCHIMITL C</t>
  </si>
  <si>
    <t>MB65627</t>
  </si>
  <si>
    <t>MIGUEL ANGEL TORRES SALDAÑA</t>
  </si>
  <si>
    <t>JOSE MANUEL LOPEZ LADINO</t>
  </si>
  <si>
    <t>MI26406</t>
  </si>
  <si>
    <t>CR 5039 PUEBLA XILOTZINGO</t>
  </si>
  <si>
    <t>oscar.galicia@bbva.com</t>
  </si>
  <si>
    <t>ALEXIS FERNANDEZ SANCHEZ</t>
  </si>
  <si>
    <t>TODA LA OFICINA</t>
  </si>
  <si>
    <t>MI12309</t>
  </si>
  <si>
    <t>OSCAR GALICIA MEJIA</t>
  </si>
  <si>
    <t>MB09774</t>
  </si>
  <si>
    <t>OSCAR EDUARDO CRUZ MORA</t>
  </si>
  <si>
    <t>MI12265</t>
  </si>
  <si>
    <t>JANIS DELGADO MONROY</t>
  </si>
  <si>
    <t>MB97288</t>
  </si>
  <si>
    <t>CLAUDIA MANZANO PEREZ</t>
  </si>
  <si>
    <t>MB73867</t>
  </si>
  <si>
    <t>ALDO ESPEJEL LOZANO</t>
  </si>
  <si>
    <t>MI25873</t>
  </si>
  <si>
    <t>JORGE ALBERTO GONZALEZ LECHUGA</t>
  </si>
  <si>
    <t>MI28325</t>
  </si>
  <si>
    <t>DAVID VILLEGAS MONTES</t>
  </si>
  <si>
    <t>MI23042</t>
  </si>
  <si>
    <t>ROSA ESTHER VAZQUEZ TAMAYO</t>
  </si>
  <si>
    <t>MARIA ISABEL GONZALEZ SANCHEZ</t>
  </si>
  <si>
    <t>JEFE DE CAJAS</t>
  </si>
  <si>
    <t>M284348</t>
  </si>
  <si>
    <t>CR 529 IZUCAR DE MATAMOROS</t>
  </si>
  <si>
    <t>INSTITUTCION DE BANCA MULTIPLE GRUPO FINANCIERO</t>
  </si>
  <si>
    <t>IZUCAR DE MATAMOROS</t>
  </si>
  <si>
    <t>3 CAJONES</t>
  </si>
  <si>
    <t>ROSA AURORA GARCIA LOPEZ</t>
  </si>
  <si>
    <t>MI64560</t>
  </si>
  <si>
    <t>ARACELI GASPAR RAMOS</t>
  </si>
  <si>
    <t>MB55068</t>
  </si>
  <si>
    <t>MARIA DE JESUS ANHAI FLORES CASTILLO</t>
  </si>
  <si>
    <t>MI24954</t>
  </si>
  <si>
    <t>JOSE C BONILLA G</t>
  </si>
  <si>
    <t>MI29074</t>
  </si>
  <si>
    <t>OCTAVIO VELA G</t>
  </si>
  <si>
    <t>MB00589</t>
  </si>
  <si>
    <t>ARELI EDITH CASTILLO ORTIZ</t>
  </si>
  <si>
    <t>MB06243</t>
  </si>
  <si>
    <t>HUGO MONTES CANCHOLA</t>
  </si>
  <si>
    <t>MB95859</t>
  </si>
  <si>
    <t>SILVIA VICTORIA GOMEZ</t>
  </si>
  <si>
    <t>MB81928</t>
  </si>
  <si>
    <t>DEISY DANIELA REYES CABRERA</t>
  </si>
  <si>
    <t>MI09794</t>
  </si>
  <si>
    <t>CR 3742 PUEBLA LA MARGARITA</t>
  </si>
  <si>
    <t>adriana.perez.martinez@bbva.com</t>
  </si>
  <si>
    <t>ARMANDO SANCHEZ R</t>
  </si>
  <si>
    <t>ADRIANA PEREZ MARTINEZ</t>
  </si>
  <si>
    <t>MB89128</t>
  </si>
  <si>
    <t>RENE MORALES HERNANDEZ</t>
  </si>
  <si>
    <t>MB80970</t>
  </si>
  <si>
    <t>OSCAR OMAR ROMERO NUÑEZ</t>
  </si>
  <si>
    <t>MB90646</t>
  </si>
  <si>
    <t>IVAN DAVID HUERTA PAREDES</t>
  </si>
  <si>
    <t>MI14230</t>
  </si>
  <si>
    <t>DAVID SANCHEZ B</t>
  </si>
  <si>
    <t>MI20572</t>
  </si>
  <si>
    <t>BENERICE PADILLA GARCIA</t>
  </si>
  <si>
    <t>JEFE DE CAJA</t>
  </si>
  <si>
    <t>MB01295</t>
  </si>
  <si>
    <t>BRENDA LEAL GUTIERREZ</t>
  </si>
  <si>
    <t>MB89129</t>
  </si>
  <si>
    <t>EDUARDO CORTES TORRES</t>
  </si>
  <si>
    <t>MI20005</t>
  </si>
  <si>
    <t>DIEGO CAMACHO RIVERA</t>
  </si>
  <si>
    <t>MI23000</t>
  </si>
  <si>
    <t>CR 6815 TEPEACA</t>
  </si>
  <si>
    <t>hugoroberto.tellez@bbva.com</t>
  </si>
  <si>
    <t>MARIA OLGA ROMERO CERVANTES</t>
  </si>
  <si>
    <t>M532228-8</t>
  </si>
  <si>
    <t>M284578-7</t>
  </si>
  <si>
    <t>HUGO ROBERTO TELLEZ FLORES</t>
  </si>
  <si>
    <t>MB62606</t>
  </si>
  <si>
    <t>NALLELY BARRANCO LIMON</t>
  </si>
  <si>
    <t>MB48159</t>
  </si>
  <si>
    <t>RODRIGO HUERTA ESTRADA</t>
  </si>
  <si>
    <t>MI01631</t>
  </si>
  <si>
    <t>ERICK DE LA CRUZ FLORES</t>
  </si>
  <si>
    <t>MB97035</t>
  </si>
  <si>
    <t>AXEL VIVANCO ZEPEDA</t>
  </si>
  <si>
    <t>MI19489</t>
  </si>
  <si>
    <t>EDGAR DAVID FLORES CONTRERAS</t>
  </si>
  <si>
    <t>MI04807</t>
  </si>
  <si>
    <t>GUADALUPE GARCIA AGUILAR</t>
  </si>
  <si>
    <t>MB58334</t>
  </si>
  <si>
    <t>JORGE ALBERTO HUERTA MARTINEZ</t>
  </si>
  <si>
    <t>MI13110</t>
  </si>
  <si>
    <t>NUBIA SOLEDAD CHAVEZ LOPEZ</t>
  </si>
  <si>
    <t>MB38036</t>
  </si>
  <si>
    <t>GUADALUPE DIAZ PEREZ</t>
  </si>
  <si>
    <t>CAJERO UNIVERSAL POOL</t>
  </si>
  <si>
    <t>MI02822</t>
  </si>
  <si>
    <t>ELIZABETH RAMIREZ GARCIA</t>
  </si>
  <si>
    <t>M289317</t>
  </si>
  <si>
    <t>JOSEFINA HERNANDEZ GONZALEZ</t>
  </si>
  <si>
    <t>EMMANUEL REYNA LARRAZABAL</t>
  </si>
  <si>
    <t>MI26711</t>
  </si>
  <si>
    <t>1 DE ABRIL DE 2023</t>
  </si>
  <si>
    <t>josecasiano.garcia@bbva.xom</t>
  </si>
  <si>
    <t>NATALIA E. MARTINEZ ROJAS</t>
  </si>
  <si>
    <t>19.01635199500545, -98.19894850064507</t>
  </si>
  <si>
    <t>JOSE CACIANO GARCIA SANTIAGO</t>
  </si>
  <si>
    <t>MB77651</t>
  </si>
  <si>
    <t>MIRIAM CORAL ZAYAGO MOJICA</t>
  </si>
  <si>
    <t>BANQUERO POOL</t>
  </si>
  <si>
    <t>MB77868</t>
  </si>
  <si>
    <t>VICTORIA ALEJANDRA HERNANDEZ SOLIS</t>
  </si>
  <si>
    <t>MI22403</t>
  </si>
  <si>
    <t>EDUARDO ARTURO ORTEGA QUINTERO</t>
  </si>
  <si>
    <t>MI23928</t>
  </si>
  <si>
    <t>MIGUEL ANGEL FONSECA GUTIERREZ</t>
  </si>
  <si>
    <t>MI10709</t>
  </si>
  <si>
    <t>GLADYS PEREZ SALAZAR</t>
  </si>
  <si>
    <t>M821641</t>
  </si>
  <si>
    <t>ANA LAURA FLORES SERRANO</t>
  </si>
  <si>
    <t>M841691</t>
  </si>
  <si>
    <t>VICTOR CONCEPCION SUAREZ FLORES</t>
  </si>
  <si>
    <t>MB95251</t>
  </si>
  <si>
    <t>CR 3750 PUEBLA MIRADOR</t>
  </si>
  <si>
    <t>CALLE 39 ORIENTE</t>
  </si>
  <si>
    <t>mariaveronica.garcia@bbva.com</t>
  </si>
  <si>
    <t>GISELA RODRIGUEZ MALDO</t>
  </si>
  <si>
    <t>19.02339753310218, -98.19759151727823</t>
  </si>
  <si>
    <t>19.044631886925664, -98.1991180818777</t>
  </si>
  <si>
    <t>19.047920704202305, -98.21059731923174</t>
  </si>
  <si>
    <t>19.050706564151678, -98.24858576683408</t>
  </si>
  <si>
    <t>19.048579939224606, -98.24851718219394</t>
  </si>
  <si>
    <t>MB07764</t>
  </si>
  <si>
    <t>MARIA VERONICA GARCIA FLORES</t>
  </si>
  <si>
    <t>M9023461</t>
  </si>
  <si>
    <t>VERONICA GONZALEZ JUAREZ</t>
  </si>
  <si>
    <t>MI13096</t>
  </si>
  <si>
    <t>DANIEL CHAVEZ DE LA TORRE</t>
  </si>
  <si>
    <t>MB49474</t>
  </si>
  <si>
    <t>ELIANA MARTIN PEREZ</t>
  </si>
  <si>
    <t>ALONDRA MENDOZA SALGADO</t>
  </si>
  <si>
    <t>MB55071</t>
  </si>
  <si>
    <t>MI12905</t>
  </si>
  <si>
    <t>DIANA LAURA BASILIO</t>
  </si>
  <si>
    <t>MI05047</t>
  </si>
  <si>
    <t>ELIZABETH MORALES BENITEZ</t>
  </si>
  <si>
    <t>MARISOL VARGAS HUERTA</t>
  </si>
  <si>
    <t>MB60737</t>
  </si>
  <si>
    <t>LIZETH TAPIA VAZQUEZ</t>
  </si>
  <si>
    <t>MI16246</t>
  </si>
  <si>
    <t>CR 3746 PUEBLA BUGAMBILIAS</t>
  </si>
  <si>
    <t>miguel.martinez@bbva.com</t>
  </si>
  <si>
    <t>VERONICA MARTINEZ C</t>
  </si>
  <si>
    <t>19.004279698274065, -98.20695047857653</t>
  </si>
  <si>
    <t>18.987911271053406, -98.24070474757274</t>
  </si>
  <si>
    <t>19.00602444253956, -98.23722250538275</t>
  </si>
  <si>
    <t>19.032205326053028, -98.19959246689736</t>
  </si>
  <si>
    <t>19.026745242230884, -98.20660929079988</t>
  </si>
  <si>
    <t>19.075825127363803, -98.29692604277017</t>
  </si>
  <si>
    <t>19.044687383704566, -98.2337653130324</t>
  </si>
  <si>
    <t>19.043019375804025, -98.231048283321</t>
  </si>
  <si>
    <t>M201283</t>
  </si>
  <si>
    <t>MIGUEL MARTINEZ MARTINEZ</t>
  </si>
  <si>
    <t>MB53654</t>
  </si>
  <si>
    <t>KARINA MONTSERRAT GARCIA MARQUEZ</t>
  </si>
  <si>
    <t>MI08277</t>
  </si>
  <si>
    <t>HECTOR DIAZ REYES</t>
  </si>
  <si>
    <t>MI27761</t>
  </si>
  <si>
    <t>F. DAVID LEZAMA HERNANDEZ</t>
  </si>
  <si>
    <t>MI05290</t>
  </si>
  <si>
    <t>M. JAVIER GONZALEZ MALDONADO</t>
  </si>
  <si>
    <t>MI02271</t>
  </si>
  <si>
    <t>MA. DEL CORAL GARCIA DURAN</t>
  </si>
  <si>
    <t>MB58395</t>
  </si>
  <si>
    <t>ANDRES RICARDO HERRERA LOPEZ</t>
  </si>
  <si>
    <t>MI06795</t>
  </si>
  <si>
    <t>MONICA E. SANTO C.</t>
  </si>
  <si>
    <t>MI08963</t>
  </si>
  <si>
    <t>19.07361715848957, -98.25670991440806</t>
  </si>
  <si>
    <t>18.988358406701444, -98.20085243670937</t>
  </si>
  <si>
    <t>18.602028216065147, -98.46597293620209</t>
  </si>
  <si>
    <t>19.01079732900114, -98.18747319869964</t>
  </si>
  <si>
    <t>18.969384805979526, -97.9037731264079</t>
  </si>
  <si>
    <t>CR 5106 ATLIXCO PLAZA</t>
  </si>
  <si>
    <t>SERVICIOS FINANCIEROS (BANCOS, CASA EMPEÑO, CASA CAMBIO, ETC.)</t>
  </si>
  <si>
    <t>ATLIXCO</t>
  </si>
  <si>
    <t>HECTOR MIGUEL GARCIA HERRERA</t>
  </si>
  <si>
    <t>MB52751</t>
  </si>
  <si>
    <t>ELIZABETH ARZOLA MORALES</t>
  </si>
  <si>
    <t>M912168</t>
  </si>
  <si>
    <t>ANGELICA PONCE CHAPULIN</t>
  </si>
  <si>
    <t>MB57228</t>
  </si>
  <si>
    <t>ALICIA PAREDES LOPEZ</t>
  </si>
  <si>
    <t>M910946</t>
  </si>
  <si>
    <t>LUDIN GARDUÑO ROMERO</t>
  </si>
  <si>
    <t>MB75746</t>
  </si>
  <si>
    <t>VANDRIA ELENA VIDAL ROJAS</t>
  </si>
  <si>
    <t>MI19175</t>
  </si>
  <si>
    <t>ANDRES DE JESUS GARCIA CASTILLO</t>
  </si>
  <si>
    <t>MB70410</t>
  </si>
  <si>
    <t>GUILLERMINA ORTIZ FLORES</t>
  </si>
  <si>
    <t>MI17416</t>
  </si>
  <si>
    <t>CR 525 ATLIXCO CENTRO</t>
  </si>
  <si>
    <t>JOSELYM HAIDE VAZQUEZ AGUILAR</t>
  </si>
  <si>
    <t>18.907665707839197, -98.43491805932545</t>
  </si>
  <si>
    <t>MB13215</t>
  </si>
  <si>
    <t>AURORA CASTILLO CANSINO</t>
  </si>
  <si>
    <t>M912642</t>
  </si>
  <si>
    <t>ALEXIS GARCIA ROMERO</t>
  </si>
  <si>
    <t>MI15393</t>
  </si>
  <si>
    <t>SHADY MEDELLIN VELMONT</t>
  </si>
  <si>
    <t>MB90528</t>
  </si>
  <si>
    <t>LAURA ISABEL GARCIA PALACIOS</t>
  </si>
  <si>
    <t>MI22217</t>
  </si>
  <si>
    <t>OLIVIA MARGARITA RENDON NAVARRO</t>
  </si>
  <si>
    <t>MI30767</t>
  </si>
  <si>
    <t>SURY SADAI LEZAMA MALDONADO</t>
  </si>
  <si>
    <t>MB81657</t>
  </si>
  <si>
    <t>ARMANDO JIMENEZ VEDE</t>
  </si>
  <si>
    <t>M822730</t>
  </si>
  <si>
    <t>LILIANA LOPEZ DE LA FUENTE</t>
  </si>
  <si>
    <t>MI23906</t>
  </si>
  <si>
    <t>CR 3739 CHOLULA</t>
  </si>
  <si>
    <t>susana.mendoza.1@bbva.com</t>
  </si>
  <si>
    <t>IRVING URIEL SANCHEZ CASTILLO</t>
  </si>
  <si>
    <t>19.061307268366935, -98.30587345078213</t>
  </si>
  <si>
    <t>MB15095</t>
  </si>
  <si>
    <t>SUSANA MENDOZA REYES</t>
  </si>
  <si>
    <t>M284397</t>
  </si>
  <si>
    <t>MOISES ISAI LOPEZ MUÑOZ</t>
  </si>
  <si>
    <t>CARLOS LYONELL VARGAS PEREZ</t>
  </si>
  <si>
    <t>MB81893</t>
  </si>
  <si>
    <t>JESUS ALBERTO RAMOS JUAREZ</t>
  </si>
  <si>
    <t>MI20417</t>
  </si>
  <si>
    <t>MAURICIO CANSECO SANCHEZ</t>
  </si>
  <si>
    <t>MI27523</t>
  </si>
  <si>
    <t>LIZBETH SANTOS CUEVAS</t>
  </si>
  <si>
    <t>MI19707</t>
  </si>
  <si>
    <t>JULIETA KAREN VILLANUEVA PEREZ</t>
  </si>
  <si>
    <t>MB65213</t>
  </si>
  <si>
    <t>ANGELICA JAZMIN MONTALVAN ORDUÑO</t>
  </si>
  <si>
    <t>MB88513</t>
  </si>
  <si>
    <t>BLANCA ESTELA ARROYO ORTEGA</t>
  </si>
  <si>
    <t>MI25806</t>
  </si>
  <si>
    <t>ADRIANA GALLEGOS T</t>
  </si>
  <si>
    <t>MB47002</t>
  </si>
  <si>
    <t>CR 1391 EXPLANADA PUEBLA SAN PEDRO CHOLULA</t>
  </si>
  <si>
    <t>DANAE BELTRON NANPULA</t>
  </si>
  <si>
    <t>19.071193042317045, -98.27692941149964</t>
  </si>
  <si>
    <t>MB60501</t>
  </si>
  <si>
    <t>DIANA MORA GUERRERO</t>
  </si>
  <si>
    <t>MB93458</t>
  </si>
  <si>
    <t>SIMEI ROCHA CANALES</t>
  </si>
  <si>
    <t>MB18279</t>
  </si>
  <si>
    <t>LUIS MIGUEL LEMUS TOLENTINO</t>
  </si>
  <si>
    <t>MI22628</t>
  </si>
  <si>
    <t>GUADALUPE ZAMPOALTECATL XICALI</t>
  </si>
  <si>
    <t>MI07572</t>
  </si>
  <si>
    <t>MONTSERRAT ROJAS REYES</t>
  </si>
  <si>
    <t>MB92559</t>
  </si>
  <si>
    <t>JESSICA CARRILLO ISLAS</t>
  </si>
  <si>
    <t>MB62749</t>
  </si>
  <si>
    <t>KEVIN LEON GOMEZ</t>
  </si>
  <si>
    <t>MI31444</t>
  </si>
  <si>
    <t>ROGELIO GOMEZ MONTERO</t>
  </si>
  <si>
    <t>MI03216</t>
  </si>
  <si>
    <t>CR 5107 CHOLULA PLAZA</t>
  </si>
  <si>
    <t>CALLE 5 DE MAYO</t>
  </si>
  <si>
    <t>SAN ANDRES CHOLULA</t>
  </si>
  <si>
    <t>rogelio.sierra@bbva.com</t>
  </si>
  <si>
    <t>MARIA ELENA ARELLANO C</t>
  </si>
  <si>
    <t>18.8987447564072, -98.43109830222316</t>
  </si>
  <si>
    <t>M907351</t>
  </si>
  <si>
    <t>ROGELIO SIERRA POSADAS</t>
  </si>
  <si>
    <t>MB77505</t>
  </si>
  <si>
    <t>ANABEL HEREDIA CORTES</t>
  </si>
  <si>
    <t>MB16158</t>
  </si>
  <si>
    <t>MELISSA MEDEL HERNANDEZ</t>
  </si>
  <si>
    <t>19.05976944062911, -98.29567916836254</t>
  </si>
  <si>
    <t>MI20961</t>
  </si>
  <si>
    <t>LILIANA BALDERAS HERNANDEZ</t>
  </si>
  <si>
    <t>MB50600</t>
  </si>
  <si>
    <t>ERNESTO Z. GARCIA</t>
  </si>
  <si>
    <t>M127539</t>
  </si>
  <si>
    <t>KARLA IRENE LOVATO JIMENEZ</t>
  </si>
  <si>
    <t>MI27191</t>
  </si>
  <si>
    <t>PAOLA GUADALUPE RAMOS CAMPO</t>
  </si>
  <si>
    <t>KARLA MICHELLE CASTRO CHOLULA</t>
  </si>
  <si>
    <t>MI17690</t>
  </si>
  <si>
    <t>MARIA JOSE BURION JIMENEZ</t>
  </si>
  <si>
    <t>MB10216</t>
  </si>
  <si>
    <t>CR 4786 SONATA ANGELOPOLIS</t>
  </si>
  <si>
    <t>mariamagdalena.tequitlalpan@bbva.com</t>
  </si>
  <si>
    <t>ALIDA MUÑIZ QUINTERO</t>
  </si>
  <si>
    <t>MI01275</t>
  </si>
  <si>
    <t>MARIA MAGDALENA TEQUITLALPAN SANCHEZ</t>
  </si>
  <si>
    <t>M50211</t>
  </si>
  <si>
    <t>MARIA FERNANDA SALAZAR FLORES</t>
  </si>
  <si>
    <t>MB95193</t>
  </si>
  <si>
    <t>DULCE MARIA AGUIRRE OSORIO</t>
  </si>
  <si>
    <t>MB56664</t>
  </si>
  <si>
    <t>ELODIA KAREN GARCIA HIDALGO</t>
  </si>
  <si>
    <t>MI09772</t>
  </si>
  <si>
    <t>JUAN MANUEL CUAMATZI MONTIEL</t>
  </si>
  <si>
    <t>MI14542</t>
  </si>
  <si>
    <t>CECILIA GABRIELA LAUREANO ESPINOZA</t>
  </si>
  <si>
    <t>MI03916</t>
  </si>
  <si>
    <t>LEONOR REYES TRINIDAD</t>
  </si>
  <si>
    <t>MI20215</t>
  </si>
  <si>
    <t>MAYRA J. GUEVARA MEDINA</t>
  </si>
  <si>
    <t>MB86289</t>
  </si>
  <si>
    <t>18.99148016122658, -98.27700835061088</t>
  </si>
  <si>
    <t>CR 4624 PUEBLA PLAZA SAN ANGEL</t>
  </si>
  <si>
    <t>monica.morales.1@bbva.com</t>
  </si>
  <si>
    <t>19.026349941043236, -98.23832373105729</t>
  </si>
  <si>
    <t xml:space="preserve"> ROSIO GABRIELA TOSCANO GARCIA</t>
  </si>
  <si>
    <t>MB97902</t>
  </si>
  <si>
    <t>MONICA MORALES VELAZCO</t>
  </si>
  <si>
    <t>M818906</t>
  </si>
  <si>
    <t>SANDRA I. FLORES GARCIA</t>
  </si>
  <si>
    <t>MB43553</t>
  </si>
  <si>
    <t>VICTOR MANUEL OLIVIER HUERTA</t>
  </si>
  <si>
    <t>MI17813</t>
  </si>
  <si>
    <t>JESUS ANGEL GONZAGA TAPIA</t>
  </si>
  <si>
    <t>MI27634</t>
  </si>
  <si>
    <t>MARCIAL AZCATL PERALTA</t>
  </si>
  <si>
    <t>MI20506</t>
  </si>
  <si>
    <t>LETICIA FABIOLA RODRIGUEZ CLEMENTE</t>
  </si>
  <si>
    <t>MB24981</t>
  </si>
  <si>
    <t>ARIADNA LOPEZ VIÑAS</t>
  </si>
  <si>
    <t>MI31151</t>
  </si>
  <si>
    <t>BELEN BERMUDEZ MORALES</t>
  </si>
  <si>
    <t>MI21551</t>
  </si>
  <si>
    <t>HECTOR MANUEL MARCIAL CRUZ</t>
  </si>
  <si>
    <t>M910475</t>
  </si>
  <si>
    <t>JANET RAMOS RODRIGUEZ</t>
  </si>
  <si>
    <t>MB60458</t>
  </si>
  <si>
    <t>LAURA MARIA RODRIGUEZ LOPEZ</t>
  </si>
  <si>
    <t>MI12108</t>
  </si>
  <si>
    <t>BRENDA FLORES ORDOÑEZ</t>
  </si>
  <si>
    <t>MI29563</t>
  </si>
  <si>
    <t>DANIELA TERESA ROANO PARRA</t>
  </si>
  <si>
    <t>MB88819</t>
  </si>
  <si>
    <t>LILIANA TEOTLI GALIOTI</t>
  </si>
  <si>
    <t>MB15476</t>
  </si>
  <si>
    <t>GERARDO LUERO VEGA</t>
  </si>
  <si>
    <t>MB91837</t>
  </si>
  <si>
    <t>HUGO ERNESTO MARAÑOLA VAZQUEZ</t>
  </si>
  <si>
    <t>M844598</t>
  </si>
  <si>
    <t>TANNIA BERENICE CUAYA PEREZ</t>
  </si>
  <si>
    <t>MB88824</t>
  </si>
  <si>
    <t>CR 1888 PLAZA KENTRO SAN ANDRES CHOLULA</t>
  </si>
  <si>
    <t>mariamercedes.ramirez@bbva.com</t>
  </si>
  <si>
    <t>NANCY KAREN CASCO GONZALEZ</t>
  </si>
  <si>
    <t>19.016349983466032, -98.25408282595988</t>
  </si>
  <si>
    <t>MB67587</t>
  </si>
  <si>
    <t>MARIA MERCEDES RAMIREZ H</t>
  </si>
  <si>
    <t>MB56662</t>
  </si>
  <si>
    <t>JAZMIN VALENCIA DE LA CRUZ</t>
  </si>
  <si>
    <t>MI20213</t>
  </si>
  <si>
    <t>JULIO GABRIEL CORTES CABRERA</t>
  </si>
  <si>
    <t>MI05034</t>
  </si>
  <si>
    <t>YUNIS FLORES ANGON</t>
  </si>
  <si>
    <t>MB88363</t>
  </si>
  <si>
    <t>ABIGAIL VICTORIANO HERNANDEZ</t>
  </si>
  <si>
    <t>MB86803</t>
  </si>
  <si>
    <t>KATIA XIMENA CANO RODRIGUEZ</t>
  </si>
  <si>
    <t>MI22288</t>
  </si>
  <si>
    <t>MARIA LETICIA GONZALEZ SANCHEZ</t>
  </si>
  <si>
    <t>M813725</t>
  </si>
  <si>
    <t>DAMAYANTI RODRIGUEZ CORDOBA</t>
  </si>
  <si>
    <t>MI22132</t>
  </si>
  <si>
    <t>cristobal.medina.1@bbva.com</t>
  </si>
  <si>
    <t>LUZ ELENA ROJAS GUERRERO</t>
  </si>
  <si>
    <t>MB89875</t>
  </si>
  <si>
    <t>CRISTOBAL MEDINA GARDUÑO</t>
  </si>
  <si>
    <t>MB04417</t>
  </si>
  <si>
    <t>OSVALDO GARCIA GARCIA</t>
  </si>
  <si>
    <t>MI12634</t>
  </si>
  <si>
    <t>MIRIAM DANIELA DE LA LLAVE MENDEZ</t>
  </si>
  <si>
    <t>MB86518</t>
  </si>
  <si>
    <t>ERICK ALBERTO AGUILAR PATIÑO</t>
  </si>
  <si>
    <t>MI12097</t>
  </si>
  <si>
    <t>SALOMON MARQUEZ MARTINEZ</t>
  </si>
  <si>
    <t>MB76064</t>
  </si>
  <si>
    <t>JONATHAN HERNANDEZ SANABRIA</t>
  </si>
  <si>
    <t>MI19769</t>
  </si>
  <si>
    <t>JASSANIA GUADALUPE PEREZ BOJORQUEZ</t>
  </si>
  <si>
    <t>MB96503</t>
  </si>
  <si>
    <t>JAQUELINE CUAUTLE SANTIAGO</t>
  </si>
  <si>
    <t>MI25678</t>
  </si>
  <si>
    <t>LIZBETH STEFANY SIERRA CARVAJAL</t>
  </si>
  <si>
    <t>TECAMACHALCO</t>
  </si>
  <si>
    <t>CR 531 TECAMACHALCO</t>
  </si>
  <si>
    <t>ARDI TORRECILLA SANCHEZ</t>
  </si>
  <si>
    <t>MB02597</t>
  </si>
  <si>
    <t>JORDAN EMMANUEL ROBLES JIMENEZ</t>
  </si>
  <si>
    <t>MB72607</t>
  </si>
  <si>
    <t>ANAHI VIRIDIANA VELAZQUEZ ALMEIDA</t>
  </si>
  <si>
    <t>MB83510</t>
  </si>
  <si>
    <t>JOSE LUIS PEREZ SANCHEZ</t>
  </si>
  <si>
    <t>MB21555</t>
  </si>
  <si>
    <t>ANA TANIA LUNA GONZALEZ</t>
  </si>
  <si>
    <t>MI10350</t>
  </si>
  <si>
    <t>ALAN ANDRADE MANRTINEZ</t>
  </si>
  <si>
    <t>MB99466</t>
  </si>
  <si>
    <t>LETICIA LOPEZ GONZALEZ</t>
  </si>
  <si>
    <t>MI20270</t>
  </si>
  <si>
    <t>FERNANDO JOSE DE LA CRUZ VALENTIN</t>
  </si>
  <si>
    <t>MI17237</t>
  </si>
  <si>
    <t>ESTEBAN GARCIA JUAREZ</t>
  </si>
  <si>
    <t>MI24437</t>
  </si>
  <si>
    <t>MONTSERRATH ROMAN TENORIO</t>
  </si>
  <si>
    <t>MB77722</t>
  </si>
  <si>
    <t>GUADALUPE REYES CABALLERO</t>
  </si>
  <si>
    <t>M289841</t>
  </si>
  <si>
    <t>CATALINA BRAVO CASTRO</t>
  </si>
  <si>
    <t>M289845-5</t>
  </si>
  <si>
    <t>ANAMIRIAM SANCHEZ VICTORIA</t>
  </si>
  <si>
    <t>MI15385</t>
  </si>
  <si>
    <t>YULIANA RODRIGUEZ IXEHUATL</t>
  </si>
  <si>
    <t>ELIZABETH FLORES IRIGAYEN</t>
  </si>
  <si>
    <t>ANA YADIRA VILLA GALICIA</t>
  </si>
  <si>
    <t>LIDIA ZAMORA ALVAREZ</t>
  </si>
  <si>
    <t>SAMUEL GIL GEORJE</t>
  </si>
  <si>
    <t>JOSE ALFREDO CID PEREZ</t>
  </si>
  <si>
    <t>ESTE</t>
  </si>
  <si>
    <t>CUARTO ELECTRICO</t>
  </si>
  <si>
    <t>acta1.png</t>
  </si>
  <si>
    <t>acta2.png</t>
  </si>
  <si>
    <t>JUAN CARLOS MARTINEZ GARCIA</t>
  </si>
  <si>
    <t>BOMBAS, VENTEO, AREA INTERNA, ESTACION DE GAS</t>
  </si>
  <si>
    <t>MARICRUZ RAMIRO CAMPOS</t>
  </si>
  <si>
    <t>GUADALUPE SANCHEZ BAUTISTA</t>
  </si>
  <si>
    <t>ROCIO DE FERMIN SOTO</t>
  </si>
  <si>
    <t>MARIA GUADALUPE HERNANDEZ VAZQUEZ</t>
  </si>
  <si>
    <t>VICTOR HUGO CUAUTLE BALEON</t>
  </si>
  <si>
    <t>IGNACIO CONDE MOTTE</t>
  </si>
  <si>
    <t>ITZEL ESTEFANIA HERNANDEZ OLEA</t>
  </si>
  <si>
    <t>AMERICA AVILA PEREZ</t>
  </si>
  <si>
    <t>HERIBERTA LOPEZ AGUILAR</t>
  </si>
  <si>
    <t>EL CAPULO E.S. 12147</t>
  </si>
  <si>
    <t>PL/2827/EXP/ES/2015</t>
  </si>
  <si>
    <t>SANTA CLARA OCOYUCAN</t>
  </si>
  <si>
    <t>capulo@grupoempresarialpb.com</t>
  </si>
  <si>
    <t>3 DE OCTUBRE DE 2012</t>
  </si>
  <si>
    <t>LILIA IRASEMA HERNANDEZ GADISTA</t>
  </si>
  <si>
    <t>6:00 - 24 HORAS</t>
  </si>
  <si>
    <t>18.950019515490617, -98.26987776946466</t>
  </si>
  <si>
    <t>11 SUR</t>
  </si>
  <si>
    <t>PABLO PEREZ XICALE</t>
  </si>
  <si>
    <t>ALMA JUAREZ QUINTERO</t>
  </si>
  <si>
    <t>JESUS DANIEL VAZQUEZ ROJAS</t>
  </si>
  <si>
    <t>GERARDO RODRIGUEZ REYES</t>
  </si>
  <si>
    <t>JAZMIN GARCIA MORALES</t>
  </si>
  <si>
    <t>ANA KAREN ROMERO SANCHEZ</t>
  </si>
  <si>
    <t>ANGELICA HERNANDEZ HERNANDEZ</t>
  </si>
  <si>
    <t>ZENAIDA LOPEZ MORA</t>
  </si>
  <si>
    <t>TADEO ISMAEL BELTRAN</t>
  </si>
  <si>
    <t>PL/3062/EXP/ES/2015</t>
  </si>
  <si>
    <t>VENTA DE HIDROCARBUROS</t>
  </si>
  <si>
    <t>6:00 - 23:00 HORAS</t>
  </si>
  <si>
    <t>ELIZABETH PINEDA DAMIAN</t>
  </si>
  <si>
    <t>NORTE</t>
  </si>
  <si>
    <t>19.1362484511359, -98.41477276686346</t>
  </si>
  <si>
    <t>CARRETERA DOMINGO ARENAS</t>
  </si>
  <si>
    <t>SAN LORENZO</t>
  </si>
  <si>
    <t>LA SOLEDAD</t>
  </si>
  <si>
    <t>AMANDA CORNEJO PALACIOS</t>
  </si>
  <si>
    <t>JACOBO PEREZ VASQUEZ</t>
  </si>
  <si>
    <t>AURORA SANCHEZ LORENZO</t>
  </si>
  <si>
    <t>JOSE MANUEL ROMERO SANTAMARIA</t>
  </si>
  <si>
    <t>LAURA LILIANA CASTELLANOS MEDINA</t>
  </si>
  <si>
    <t>CR 1521 PLAZA ARCANGELES</t>
  </si>
  <si>
    <t>19.006384483266626, -98.26743350342579</t>
  </si>
  <si>
    <t>18.88418578776068, -97.72923716416138</t>
  </si>
  <si>
    <t>nombre11</t>
  </si>
  <si>
    <t>puesto11</t>
  </si>
  <si>
    <t>m11</t>
  </si>
  <si>
    <t>nombre12</t>
  </si>
  <si>
    <t>puesto12</t>
  </si>
  <si>
    <t>m12</t>
  </si>
  <si>
    <t>nombre13</t>
  </si>
  <si>
    <t>puesto13</t>
  </si>
  <si>
    <t>m13</t>
  </si>
  <si>
    <t>222 232 08 09</t>
  </si>
  <si>
    <t>AVENIDA 5 PONIENTE</t>
  </si>
  <si>
    <t>AVENIDA JUÁREZ</t>
  </si>
  <si>
    <t>CALE 15 SUR</t>
  </si>
  <si>
    <t>FRENTE A TELEVISORA “IMAGEN TELEVISIÓN”</t>
  </si>
  <si>
    <t>CR 520 PUEBLA SAN MANUEL</t>
  </si>
  <si>
    <t>registro_perito</t>
  </si>
  <si>
    <t>no_registro</t>
  </si>
  <si>
    <t>NÚMERO DE REGISTRO</t>
  </si>
  <si>
    <t>DMPC/018/2024</t>
  </si>
  <si>
    <t>28 DE SEPTIEMBRE DE 2021</t>
  </si>
  <si>
    <t>dh_int</t>
  </si>
  <si>
    <t>dh_ext</t>
  </si>
  <si>
    <t>detectores_ext</t>
  </si>
  <si>
    <t>coord_sup_puesto</t>
  </si>
  <si>
    <t>COMPRA Y VENTA DE DIVISAS “ASECORP”</t>
  </si>
  <si>
    <t>LOCALES EN RENTA</t>
  </si>
  <si>
    <t xml:space="preserve">HOTEL HOLIDAY INN EXPRESS </t>
  </si>
  <si>
    <t>ESTACIONAMIENTO PLAZA KENTRO</t>
  </si>
  <si>
    <t xml:space="preserve">UBICADO AL INTERIOR DE PLAZA KENTRO </t>
  </si>
  <si>
    <t>riesgo1</t>
  </si>
  <si>
    <t>riesgo2</t>
  </si>
  <si>
    <t>riesgo3</t>
  </si>
  <si>
    <t>riesgo4</t>
  </si>
  <si>
    <t>SISMO</t>
  </si>
  <si>
    <t>VOLCANES</t>
  </si>
  <si>
    <t>INUNDACION</t>
  </si>
  <si>
    <t>valor_gri</t>
  </si>
  <si>
    <t>medidas_ries1</t>
  </si>
  <si>
    <t>medidas_ries2</t>
  </si>
  <si>
    <t>medidas_ries3</t>
  </si>
  <si>
    <t>medidas_ries4</t>
  </si>
  <si>
    <t>GRANIZADAS</t>
  </si>
  <si>
    <t>plano.png</t>
  </si>
  <si>
    <t>width</t>
  </si>
  <si>
    <t>height</t>
  </si>
  <si>
    <t>layout.png</t>
  </si>
  <si>
    <t>corresp1</t>
  </si>
  <si>
    <t>corresp2</t>
  </si>
  <si>
    <t>corresp3</t>
  </si>
  <si>
    <t>carta_respon</t>
  </si>
  <si>
    <t>registro1</t>
  </si>
  <si>
    <t>registro2</t>
  </si>
  <si>
    <t>ries_circ</t>
  </si>
  <si>
    <t>mapa_ext</t>
  </si>
  <si>
    <t>rec_ext</t>
  </si>
  <si>
    <t>mayor_ries</t>
  </si>
  <si>
    <t>menor_ries</t>
  </si>
  <si>
    <t>zona_evac</t>
  </si>
  <si>
    <t>corresp1.png</t>
  </si>
  <si>
    <t>corresp2.png</t>
  </si>
  <si>
    <t>corresp3.png</t>
  </si>
  <si>
    <t>carta_respon.png</t>
  </si>
  <si>
    <t>registro1.png</t>
  </si>
  <si>
    <t>registro2.png</t>
  </si>
  <si>
    <t>ries_circ.png</t>
  </si>
  <si>
    <t>mapa_ext.png</t>
  </si>
  <si>
    <t>rec_ext.png</t>
  </si>
  <si>
    <t>mayor_ries.png</t>
  </si>
  <si>
    <t>menor_ries.png</t>
  </si>
  <si>
    <t>zona_evac.png</t>
  </si>
  <si>
    <t>28 DE JUNIO 2021</t>
  </si>
  <si>
    <t>PLANTA BAJA</t>
  </si>
  <si>
    <t>PLANTA BAJA Y PRIMER PISO</t>
  </si>
  <si>
    <t>TORMENTAS ELECTRICAS</t>
  </si>
  <si>
    <t>COLINDA CON BLVD. LOS REYES</t>
  </si>
  <si>
    <t>COLINDA CON P° DE GUADALQUIVIR</t>
  </si>
  <si>
    <t>COLINDA CON BLVD. DE LOS REYES</t>
  </si>
  <si>
    <t>COLINDA CON AV. DEL CASTILLO</t>
  </si>
  <si>
    <t>UBICADO AL INTERIOR DE PLAZA ARCANGELES</t>
  </si>
  <si>
    <t>NUMERO DE REGISTRO DEL ESTADO DE PUEBLA</t>
  </si>
  <si>
    <t>022/CGPC/2023</t>
  </si>
  <si>
    <t>PLAZA DE LA CONCORDIA</t>
  </si>
  <si>
    <t>ESTACIONAMIENTO</t>
  </si>
  <si>
    <t>CALLE 2 SUR</t>
  </si>
  <si>
    <t>FRENTE A PLAZA LA CONCORDIA</t>
  </si>
  <si>
    <t>19 DE JUNIO DE 1994</t>
  </si>
  <si>
    <t>REG. PROTECCION CIVIL TERCER ACREDITADO</t>
  </si>
  <si>
    <t>SGyDU-DGRPC-PREGIR-8/2024</t>
  </si>
  <si>
    <t>COLINDA CON 25 ORIENTE</t>
  </si>
  <si>
    <t>COLINDA CON 27 ORIENTE</t>
  </si>
  <si>
    <t>COLINDA CON BOULEVARD 5 DE MAYO</t>
  </si>
  <si>
    <t>COLINDA CON CALLE 8 SUR</t>
  </si>
  <si>
    <t>A UNA CUADRA DE BRAZILIAN BUFFET</t>
  </si>
  <si>
    <t>DIAGONAL DE LA 19 PONIENTE</t>
  </si>
  <si>
    <t>CALLE 33 SUR</t>
  </si>
  <si>
    <t>PLAZA DIAMANTE</t>
  </si>
  <si>
    <t>BANCO BANORTE</t>
  </si>
  <si>
    <t>AL INTERIOR DE PLAZA LAS ÁNIMAS</t>
  </si>
  <si>
    <t>5 DE DICIEMBRE DE 1994</t>
  </si>
  <si>
    <t>LOCALES</t>
  </si>
  <si>
    <t>BODEGA AURRERA LAS MARGARITAS</t>
  </si>
  <si>
    <t>ELEKTRA LAS MARGARITAS</t>
  </si>
  <si>
    <t>INFONAVIT LA MARGARITA</t>
  </si>
  <si>
    <t>29 DE MARZO DE 2016</t>
  </si>
  <si>
    <t>AVENIDA 63-A ORIENTE</t>
  </si>
  <si>
    <t>PRIVADA 14 SUR</t>
  </si>
  <si>
    <t>PROLONGACIÓN 14 SUR</t>
  </si>
  <si>
    <t xml:space="preserve">PROLONGACIÓN DE LA 14 SUR ESQUINA CON AV. 63 ORIENTE </t>
  </si>
  <si>
    <t>CASAS HABITACION</t>
  </si>
  <si>
    <t>TENIS PIRMA</t>
  </si>
  <si>
    <t>VEANA</t>
  </si>
  <si>
    <t>FRENTE A BODEGA AURRERA MAYORAZGO</t>
  </si>
  <si>
    <t>ESTACIONAMIENTO DE LA PLAZA</t>
  </si>
  <si>
    <t>ESCUELA DEL DIF</t>
  </si>
  <si>
    <t>CALLE 14 D SUR</t>
  </si>
  <si>
    <t>A DOS CUADRAS DE WALMART SAN MANUEL LADO POSTERIOR</t>
  </si>
  <si>
    <t>11 DE SEPTIEMBRE DE 1934</t>
  </si>
  <si>
    <t>PLANTA BAJA Y SOTANO</t>
  </si>
  <si>
    <t>AVENIDA REFORMA</t>
  </si>
  <si>
    <t>LOCALES DE USO COMERCIAL</t>
  </si>
  <si>
    <t xml:space="preserve">CENTRO JOYERO ANTIQUE </t>
  </si>
  <si>
    <t>UBICADO EN EL PRIMER CUADRO DE LA CIUDAD</t>
  </si>
  <si>
    <t>3 DE OCTUBRE DE 2022</t>
  </si>
  <si>
    <t>PLAZA COMERCIAL</t>
  </si>
  <si>
    <t>ESTACIONAMIENTO OFFICE DEPOT</t>
  </si>
  <si>
    <t>6 DE AGOSTO DE 2011</t>
  </si>
  <si>
    <t>COLINDA CON CALLE 38 ORIENTE</t>
  </si>
  <si>
    <t>COLINDA CON BOULEVARD FORJADORES DE PUEBLA</t>
  </si>
  <si>
    <t>COLINDA CON CINEPOLIS PLAZA SAN DIEGO</t>
  </si>
  <si>
    <t>COLINDA CON BODEGA AURRERA FORJADORES</t>
  </si>
  <si>
    <t>20 DE JUNIO DE 2011</t>
  </si>
  <si>
    <t>ESTACIONAMIENTO PERI PLAZA</t>
  </si>
  <si>
    <t>WALMART</t>
  </si>
  <si>
    <t xml:space="preserve">ANTIGUA TAQUERÍA LA ORIENTAL </t>
  </si>
  <si>
    <t xml:space="preserve">LITTLE CAESARS </t>
  </si>
  <si>
    <t>UBICADO EN CENTRO COMERCIAL “PERIPLAZA”</t>
  </si>
  <si>
    <t>PIZZAS HUT</t>
  </si>
  <si>
    <t>CÚMULO DE VIRGO</t>
  </si>
  <si>
    <t>GASOLINERA PEMEX</t>
  </si>
  <si>
    <t>UBICADO EN CENTRO COMERCIAL PLAZA PUNTA, SONATA</t>
  </si>
  <si>
    <t>25 DE OCTUBRE DE 2004</t>
  </si>
  <si>
    <t>RADIACION ULTRAVIOLETA</t>
  </si>
  <si>
    <t xml:space="preserve">ESTACIONAMIENTO DE LA PLAZA COMERCIAL </t>
  </si>
  <si>
    <t>SALON DE FIESTAS RM SALON JARDIN</t>
  </si>
  <si>
    <t>TINTORERIA Y BLVD. VALSEQUILLO</t>
  </si>
  <si>
    <t>TIENDA DE NOVEDADES Y CAMINO A XILOTZINGO</t>
  </si>
  <si>
    <t>DENTRO DE LA PLAZA VALSEQUILLO</t>
  </si>
  <si>
    <t>ACCESO PRINCIPAL A LA PLAZA COMERCIAL</t>
  </si>
  <si>
    <t>CASAS HABITACIÓN</t>
  </si>
  <si>
    <t>BANCO HSBC</t>
  </si>
  <si>
    <t>00036/PCCP/2023</t>
  </si>
  <si>
    <t>dir_emer.png</t>
  </si>
  <si>
    <t>23 DE DICIEMBRE DE 1991</t>
  </si>
  <si>
    <t>SGyDU-DGRPC-PREGIR-21/2024</t>
  </si>
  <si>
    <t>DENTRO DE LA PLAZA COMERCIAL CRUZ DEL SUR</t>
  </si>
  <si>
    <t>FARMACIA BENAVIDES</t>
  </si>
  <si>
    <t>UBICADO EN PLAZA PABELLÓN, SAN ANDRÉS CHOLULA.</t>
  </si>
  <si>
    <t>MEGAN PIZZA SUCURSAL TEPEACA</t>
  </si>
  <si>
    <t>CALLE 4 ORIENTE</t>
  </si>
  <si>
    <t>HOTEL CALVARIO</t>
  </si>
  <si>
    <t>COMIDA CHINA HONG XING</t>
  </si>
  <si>
    <t>ANGELES AIDE MENDEZ REYES</t>
  </si>
  <si>
    <t>MI18046</t>
  </si>
  <si>
    <t>NORBERTO AMAURY LUNA URBINA</t>
  </si>
  <si>
    <t>MI04765</t>
  </si>
  <si>
    <t>SUSANA ANDREA SIGUENZA BARROSO</t>
  </si>
  <si>
    <t>MI18737</t>
  </si>
  <si>
    <t>JULIAN CASTO TLACOMULCO</t>
  </si>
  <si>
    <t>MI24098</t>
  </si>
  <si>
    <t>ANAHI GARCIA SANCHEZ</t>
  </si>
  <si>
    <t>MI16361</t>
  </si>
  <si>
    <t>LUIS ALBERTO TORRES LECHUGA</t>
  </si>
  <si>
    <t>MI17743</t>
  </si>
  <si>
    <t>CR 2256 HIPOTECARIA NORTE PUEBLA</t>
  </si>
  <si>
    <t>PLAZA ATLIXCO CENTRO COMERCIAL</t>
  </si>
  <si>
    <t>HSBC</t>
  </si>
  <si>
    <t>COMPARTAMOS</t>
  </si>
  <si>
    <t>DENTRO DEL ESTACIONAMIENTO PLAZA COMERCIAL CRYSTAL</t>
  </si>
  <si>
    <t>29 DE JULIO DE 2016</t>
  </si>
  <si>
    <t>PRIMER PISO</t>
  </si>
  <si>
    <t xml:space="preserve">INBURSA ZAVALETA  </t>
  </si>
  <si>
    <t>CALLE PALMAS</t>
  </si>
  <si>
    <t>SALÓN DE FIESTAS</t>
  </si>
  <si>
    <t>AL INTERIOR DE CORPORATIVO ZAVALETA, PISO</t>
  </si>
  <si>
    <t>General</t>
  </si>
  <si>
    <t>ROSTICERIA BASE POLLO Y MAS</t>
  </si>
  <si>
    <t>ROHA8501212G1</t>
  </si>
  <si>
    <t>POLLERIA, ROSTICERIA Y AHUMADOS</t>
  </si>
  <si>
    <t>PREPARACIÓN DE POLLO MEDIANTE UN MÉTODO DE COCCIÓN TRADICIONAL UTILIZANDO LEÑA COMO COMBUSTIBLE</t>
  </si>
  <si>
    <t>BULEVAR MUNICIPIO LIBRE</t>
  </si>
  <si>
    <t>222 193 3374</t>
  </si>
  <si>
    <t>anabel_ronquilloh@gmail.com</t>
  </si>
  <si>
    <t>27 DE FEBRERO DE 2024</t>
  </si>
  <si>
    <t>7 CAJONES</t>
  </si>
  <si>
    <t>LUNES - SABADO</t>
  </si>
  <si>
    <t>10:00 A 18:00 HORAS</t>
  </si>
  <si>
    <t>COCINA</t>
  </si>
  <si>
    <t>COCINA Y COMEDOR</t>
  </si>
  <si>
    <t>SILBATO</t>
  </si>
  <si>
    <t>ABRIL</t>
  </si>
  <si>
    <t>18°59'41.8"N 98°11'55.6"W</t>
  </si>
  <si>
    <t>MUEBLERA</t>
  </si>
  <si>
    <t>LUIS ALBERTO MARUH OJEDA</t>
  </si>
  <si>
    <t>ELIONAI VELAZQUEZ MARTINEZ</t>
  </si>
  <si>
    <t>CARLOS ALBERTO RONQUILLO HERRERA</t>
  </si>
  <si>
    <t>MA. DE LOURDES HERRERA REYES</t>
  </si>
  <si>
    <t>MOBILIARIO Y LEÑA</t>
  </si>
  <si>
    <t>ANABEL GUADALUPE RONQUILLO HERRERA</t>
  </si>
  <si>
    <t>HIDRO TRATAMIENTOS DE TEPEACA SA DE CV</t>
  </si>
  <si>
    <t>COPO DE HIELO</t>
  </si>
  <si>
    <t>HTT950327UN8</t>
  </si>
  <si>
    <t>FRABRICACION Y VENTA DE HIELO</t>
  </si>
  <si>
    <t>PRODUCIR, ALMACENAR Y DISTRIBUIR HIELO EN DIFERENTES PRESENTACIONES, ASEGURANDO LA CALIDAD DEL AGUA, EL PROCESO DE CONGELACIÓN Y EL CUMPLIMIENTO DE NORMATIVAS SANITARIAS Y DE DISTRIBUCIÓN.</t>
  </si>
  <si>
    <t>3 ORIENTE</t>
  </si>
  <si>
    <t>TEHUACAN</t>
  </si>
  <si>
    <t>hidrotepeacafacturas@hotmail.com</t>
  </si>
  <si>
    <t>27 DE MARZO DE 1979</t>
  </si>
  <si>
    <t>8 CAJONES</t>
  </si>
  <si>
    <t>LUCINA ORTIZ ROSAINTS</t>
  </si>
  <si>
    <t>7:00 A 17:00 HORAS</t>
  </si>
  <si>
    <t>OFICINA Y PRODUCCION</t>
  </si>
  <si>
    <t>18.963423523409002, -97.90123975508969</t>
  </si>
  <si>
    <t>MARIA EUGENIA ROSSAINZ TORRES</t>
  </si>
  <si>
    <t>MOISES ARRAYALA JUAREZ</t>
  </si>
  <si>
    <t>LEONARDO HUERTA CASTILLO</t>
  </si>
  <si>
    <t>JUAN APOLINAR RAMIREZ CARREON</t>
  </si>
  <si>
    <t>ABEL RAMIREZ CARREON</t>
  </si>
  <si>
    <t>AMONIACO</t>
  </si>
  <si>
    <t>SUPRACARE SA DE CV</t>
  </si>
  <si>
    <t>FRAICHE</t>
  </si>
  <si>
    <t>SUP200818IP0</t>
  </si>
  <si>
    <t>VENTA AL POR MENOR DE PERFUMES, ESENCIAS Y ARTICULOS DE HIGIENE</t>
  </si>
  <si>
    <t>pitavallejacarrera0205@gmail.com</t>
  </si>
  <si>
    <t>11 DE ENERO DE 1995</t>
  </si>
  <si>
    <t>VERONICA ANDRADE GARCIA</t>
  </si>
  <si>
    <t>GUADALUPE VALLEJO CARRERA</t>
  </si>
  <si>
    <t>CAJA Y BODEGA</t>
  </si>
  <si>
    <t>BODEGA</t>
  </si>
  <si>
    <t>BODEGA Y CLIENTES</t>
  </si>
  <si>
    <t>18.46083231100189, -97.3917459340405</t>
  </si>
  <si>
    <t>MERCERIA Y PAPELERIA</t>
  </si>
  <si>
    <t>EDIFICIO GAUDALUPE</t>
  </si>
  <si>
    <t>FERRETERIA</t>
  </si>
  <si>
    <t>MAYRA LIZBETH ANGEL PEREZ</t>
  </si>
  <si>
    <t>MARIA DEL SOCORRO CRUZ HERNANDEZ</t>
  </si>
  <si>
    <t>PALMIRA BERENICEESPORRAGOZA CORTES</t>
  </si>
  <si>
    <t>ERIBERTO ANSELMO SANCHEZ</t>
  </si>
  <si>
    <t>JACQUELINES MONTIEL SALAZAR</t>
  </si>
  <si>
    <t>SERGIO MENDOZA CID</t>
  </si>
  <si>
    <t>MONICA LOPEZ HERRARA</t>
  </si>
  <si>
    <t>PERFUMON Y FIJADOR</t>
  </si>
  <si>
    <t>SE OFRECE UNA AMPLIA VARIEDAD DE FRAGANCIAS Y PRODUCTOS, COMO COSMÉTICOS Y PRODUCTOS PARA EL CUIDADO PERSONAL, BRINDANDO ASESORAMIENTO, PROMOCIONES, Y SERVICIOS DE PRUEBA Y PERSONALIZACIÓN DE FRAGANCIAS</t>
  </si>
  <si>
    <t>10:30 A 19:30 HORAS</t>
  </si>
  <si>
    <t>BANCO COMPARTAMOS S.A INSTITUCION DE BANCA MULTIPLE</t>
  </si>
  <si>
    <t>SUCURSAL SALINA CRUZ</t>
  </si>
  <si>
    <t>BCI001030ECA</t>
  </si>
  <si>
    <t>SERVICIOS FINANCIEROS</t>
  </si>
  <si>
    <t>SALINA CRUZ</t>
  </si>
  <si>
    <t>OAXACA</t>
  </si>
  <si>
    <t>971 720 2793</t>
  </si>
  <si>
    <t>CONCEPCION GUERRERO GARCIA</t>
  </si>
  <si>
    <t>JUAN CARLOS MARTINEZ OROZCO</t>
  </si>
  <si>
    <t>08:00 A 17:00 HORAS</t>
  </si>
  <si>
    <t>CALLE MANZANILLO, CALLE PROGRESO, AV. MANUAL AVILA CAMACHO, AV. TAMPICO</t>
  </si>
  <si>
    <t>16.179683242805982, -95.19539195628619</t>
  </si>
  <si>
    <t>HOTEL, RESTAURANTE DINASTIA, FARMACIA SIMILAR</t>
  </si>
  <si>
    <t>INSTITUTO DE EDUCACION NAUTICO, RESTAURANTE CANTON.</t>
  </si>
  <si>
    <t>MISCELANEA YOYIS, LAS DELICIAS CREPAS, RASPADOS RASS.</t>
  </si>
  <si>
    <t>TERMINAL ALTAMAR, LABORATORIO, MODELO PLUS, INBURSA</t>
  </si>
  <si>
    <t>CONTRA ESQUINA DE LA FARMACIA SIMILARES.</t>
  </si>
  <si>
    <t>SUCURSAL TEHUANTEPEC</t>
  </si>
  <si>
    <t>SANTO DOMINGO TEHUANTEPEC</t>
  </si>
  <si>
    <t>SUCURSAL JUCHITAN DE ZARAGOZA</t>
  </si>
  <si>
    <t>JUCHITAN DE ZARAGOZA</t>
  </si>
  <si>
    <t>SUCURSAL MATIAS ROMERO CEMENTERA</t>
  </si>
  <si>
    <t>MATIAS ROMERO AVEDAÑO</t>
  </si>
  <si>
    <t>SERVICIOS SAN FRANCISCO</t>
  </si>
  <si>
    <t>PL/2764/EXP/2015</t>
  </si>
  <si>
    <t>ALMACENAMIENTO Y VENTA DE HIDROCARBUROS</t>
  </si>
  <si>
    <t>CUETZALAN DEL PROGRESO</t>
  </si>
  <si>
    <t>estacioncuetzalan2@gmail.com</t>
  </si>
  <si>
    <t>18 DE DICIEMRBE DE 1995</t>
  </si>
  <si>
    <t>FELICITAS ROBLES DIEGO</t>
  </si>
  <si>
    <t>DESPACHADORES</t>
  </si>
  <si>
    <t>20.023620628641062, -97.52844270318204</t>
  </si>
  <si>
    <t xml:space="preserve">MINI SUPER EL CERRITO </t>
  </si>
  <si>
    <t>MATERIALES TORAL</t>
  </si>
  <si>
    <t>MIGUEL ALVARADO</t>
  </si>
  <si>
    <t>PINOLACO</t>
  </si>
  <si>
    <t>ANADEIRA AMETA GONZALEZ</t>
  </si>
  <si>
    <t>AUXILIAR ADMINISTRATIVO</t>
  </si>
  <si>
    <t>GENARO HERNANDEZ ARROYO</t>
  </si>
  <si>
    <t>LIMPIEZA</t>
  </si>
  <si>
    <t>ANDREA GALICIA MOLINA</t>
  </si>
  <si>
    <t>DESPACHADOR</t>
  </si>
  <si>
    <t>LUIS ADRIAN RUPERTO FUENTES</t>
  </si>
  <si>
    <t>MARCO ANTONIO MADERO</t>
  </si>
  <si>
    <t>YAMIL OMAR DIB MORA</t>
  </si>
  <si>
    <t>OLIVA BAUTISTA MANCILLA</t>
  </si>
  <si>
    <t>EDGAR CHICO VAZQUEZ</t>
  </si>
  <si>
    <t>JUNTO OFICINA</t>
  </si>
  <si>
    <t>SUCURSAL TUXTEPEC PAPALOAPAN</t>
  </si>
  <si>
    <t>SUCURSAL TUXTEPEC LOMA BONITA</t>
  </si>
  <si>
    <t>TUXTEPEC LOMA BONITA</t>
  </si>
  <si>
    <t>BANCO FORJADORES, S.A. INSTITUCION DE BANCA MULTIPLE</t>
  </si>
  <si>
    <t>TUXTEPEC LA PIRAGUA</t>
  </si>
  <si>
    <t>FNE050520EE6</t>
  </si>
  <si>
    <t>AV. INDEPENDENCIA</t>
  </si>
  <si>
    <t>TUXTEPEC</t>
  </si>
  <si>
    <t>UNIVERSIDAD DEL VALLE DE PUEBLA SC</t>
  </si>
  <si>
    <t>UVP810305C25</t>
  </si>
  <si>
    <t>UVP810305C26</t>
  </si>
  <si>
    <t>UVP810305C27</t>
  </si>
  <si>
    <t>UVP810305C28</t>
  </si>
  <si>
    <t>UVP810305C29</t>
  </si>
  <si>
    <t>UVP810305C30</t>
  </si>
  <si>
    <t>UVP810305C31</t>
  </si>
  <si>
    <t>UVP810305C32</t>
  </si>
  <si>
    <t>ESCUELA DE EDUCACION MEDIA Y SUPERIOR</t>
  </si>
  <si>
    <t>PRISCILIANO GERARDO ILLESCAS LOZANO</t>
  </si>
  <si>
    <t>MAYO</t>
  </si>
  <si>
    <t>COMPLEJO AZTLAN</t>
  </si>
  <si>
    <t>COMPLEJO CALMECAC</t>
  </si>
  <si>
    <t>COMPLEJO CUETLAXCOAPAN</t>
  </si>
  <si>
    <t>COMPLEJO KUKULCAN</t>
  </si>
  <si>
    <t>COMPLEJO MIXCOATL</t>
  </si>
  <si>
    <t>COMPLEJO QUETZALCOATL</t>
  </si>
  <si>
    <t>COMPLEJO TEOCALLI</t>
  </si>
  <si>
    <t>COMPLEJO TLALOC</t>
  </si>
  <si>
    <t>222 2669488 Ext: 353 y 355</t>
  </si>
  <si>
    <t>serv.medico@uvp.mx</t>
  </si>
  <si>
    <t>6 DE DICIEMBRE DE 2010</t>
  </si>
  <si>
    <t>MODESTO ALFONSO HERNÁNDEZ ORTIZ</t>
  </si>
  <si>
    <t>07:00 A 21:00 HORAS</t>
  </si>
  <si>
    <t>EN TODO EL INMUEBLE</t>
  </si>
  <si>
    <t>MEGAFONO</t>
  </si>
  <si>
    <t>GABINETE</t>
  </si>
  <si>
    <t>OFICINAS</t>
  </si>
  <si>
    <t>AREA COMÚN</t>
  </si>
  <si>
    <t>19.017749517200585, -98.2183180754988</t>
  </si>
  <si>
    <t>RECEPCION, BIBLIOTECA, CAI, CAPS</t>
  </si>
  <si>
    <t>barretas</t>
  </si>
  <si>
    <t>barretas_ubicacion</t>
  </si>
  <si>
    <t>banderines</t>
  </si>
  <si>
    <t>banderines_ubicacion</t>
  </si>
  <si>
    <t>casco</t>
  </si>
  <si>
    <t>casco_ubicacion</t>
  </si>
  <si>
    <t>guantes</t>
  </si>
  <si>
    <t>guantes_ubicacion</t>
  </si>
  <si>
    <t>linterna</t>
  </si>
  <si>
    <t>linterna_ubicacion</t>
  </si>
  <si>
    <t>pala</t>
  </si>
  <si>
    <t>pala_ubicacion</t>
  </si>
  <si>
    <t>pico</t>
  </si>
  <si>
    <t>pico_ubicacion</t>
  </si>
  <si>
    <t>camilla</t>
  </si>
  <si>
    <t>camilla_ubicacion</t>
  </si>
  <si>
    <t>COORDINACION</t>
  </si>
  <si>
    <t>TAQUERIA</t>
  </si>
  <si>
    <t>UVP TEOCALLI</t>
  </si>
  <si>
    <t>PARQUE EL ELEFANTE</t>
  </si>
  <si>
    <t>GAS LP Y GAS NATURAL</t>
  </si>
  <si>
    <t>6 DE OCTUBRE DE 2010</t>
  </si>
  <si>
    <t>CAFETERIA, LABORATORIO, CLINICA</t>
  </si>
  <si>
    <t>COORDINACION, VIGILANCIA, CONTROL EXTERNO</t>
  </si>
  <si>
    <t>BRIGADISTAS</t>
  </si>
  <si>
    <t>19.01797137981014, -98.2156663687108</t>
  </si>
  <si>
    <t>NEGOCIO</t>
  </si>
  <si>
    <t>UVP KUKULCAN</t>
  </si>
  <si>
    <t>16 DE JUNIO DE 2010</t>
  </si>
  <si>
    <t>MERCEDES PARRA FLORES</t>
  </si>
  <si>
    <t>KARIME MARTÍNEZ GONZÁLEZ</t>
  </si>
  <si>
    <t>SERVICIO MEDICO</t>
  </si>
  <si>
    <t>19.019967464049998, -98.21453305101112</t>
  </si>
  <si>
    <t>INSTITUTO LUAN MAJO</t>
  </si>
  <si>
    <t>ACADEMIA DE ARTES</t>
  </si>
  <si>
    <t>GAS LP</t>
  </si>
  <si>
    <t>16 DE JUNIO DE 1981</t>
  </si>
  <si>
    <t>IVANHOE JOSÉ MUÑOZ MARQUINA</t>
  </si>
  <si>
    <t>PREFECTURA</t>
  </si>
  <si>
    <t>PASILLO</t>
  </si>
  <si>
    <t>19.0181852442124, -98.21573054300433</t>
  </si>
  <si>
    <t>TIENDA</t>
  </si>
  <si>
    <t>UVP CALMECAC</t>
  </si>
  <si>
    <t>7 DE SEPTIEMBRE DE 2021</t>
  </si>
  <si>
    <t>ISABEL MARÍA CORTES CUELLAR</t>
  </si>
  <si>
    <t>19.020492484141947, -98.21580700217788</t>
  </si>
  <si>
    <t>1 DE AGOSTO DE 2008</t>
  </si>
  <si>
    <t>19.02041824456945, -98.21571337772947</t>
  </si>
  <si>
    <t>CARLOS ROBERTO FLORES GUADARRAMA</t>
  </si>
  <si>
    <t>CAPS</t>
  </si>
  <si>
    <t>19.017264036699117, -98.2185587043352</t>
  </si>
  <si>
    <t>UVP AZTLAN</t>
  </si>
  <si>
    <t>1 DE MARZO DE 2015</t>
  </si>
  <si>
    <t>GUILLERMINA GÓMEZ CEREZO</t>
  </si>
  <si>
    <t>CAFETERIA, DEPORTES</t>
  </si>
  <si>
    <t>19.017586252050112, -98.21590293921733</t>
  </si>
  <si>
    <t>IMPARTICIÓN DE PROGRAMAS ACADÉMICOS, DESDE LICENCIATURAS HASTA POSGRADOS. ADEMÁS, PROMUEVE LA FORMACIÓN CONTINUA Y RECURSOS DE APRENDIZAJE.</t>
  </si>
  <si>
    <t>--</t>
  </si>
  <si>
    <t>{{ area_restrig }}</t>
  </si>
  <si>
    <t>area_restrig</t>
  </si>
  <si>
    <t>firma</t>
  </si>
  <si>
    <t>firma.png</t>
  </si>
  <si>
    <t>layout1</t>
  </si>
  <si>
    <t>layout2</t>
  </si>
  <si>
    <t>layout3</t>
  </si>
  <si>
    <t>layout4</t>
  </si>
  <si>
    <t>layout5</t>
  </si>
  <si>
    <t>layout6</t>
  </si>
  <si>
    <t>layout7</t>
  </si>
  <si>
    <t>layout8</t>
  </si>
  <si>
    <t>layout9</t>
  </si>
  <si>
    <t>layout10</t>
  </si>
  <si>
    <t>layout11</t>
  </si>
  <si>
    <t>layout12</t>
  </si>
  <si>
    <t>ev_sim (3).png</t>
  </si>
  <si>
    <t>ev_sim (4).png</t>
  </si>
  <si>
    <t>ev_sim (5).png</t>
  </si>
  <si>
    <t>ev_sim (6).png</t>
  </si>
  <si>
    <t>acta3</t>
  </si>
  <si>
    <t>acta4</t>
  </si>
  <si>
    <t>ev_sim3</t>
  </si>
  <si>
    <t>ev_sim4</t>
  </si>
  <si>
    <t>ev_sim5</t>
  </si>
  <si>
    <t>ev_sim6</t>
  </si>
  <si>
    <t>ev_sim7</t>
  </si>
  <si>
    <t>ev_sim8</t>
  </si>
  <si>
    <t>layout (1).png</t>
  </si>
  <si>
    <t>layout (2).png</t>
  </si>
  <si>
    <t>layout (3).png</t>
  </si>
  <si>
    <t>layout (4).png</t>
  </si>
  <si>
    <t>layout (5).png</t>
  </si>
  <si>
    <t>layout (6).png</t>
  </si>
  <si>
    <t>layout (7).png</t>
  </si>
  <si>
    <t>layout (8).png</t>
  </si>
  <si>
    <t>layout (9).png</t>
  </si>
  <si>
    <t>layout (10).png</t>
  </si>
  <si>
    <t>layout (11).png</t>
  </si>
  <si>
    <t>layout (12).png</t>
  </si>
  <si>
    <t>ev_sim (7).png</t>
  </si>
  <si>
    <t>ev_sim (8).png</t>
  </si>
  <si>
    <t>CASTELLANOS PAREDES ESMERALDA JAMÍN</t>
  </si>
  <si>
    <t xml:space="preserve">VELÁZQUEZ RÍOS ARMANDO DE JESÚS </t>
  </si>
  <si>
    <t>JORGE ISRAEL URRUTIA VEGA</t>
  </si>
  <si>
    <t>ANA BERTHA MEZA MORALES</t>
  </si>
  <si>
    <t>MAURICIO PIÑÓN VARGAS</t>
  </si>
  <si>
    <t>THE HOME MARKET</t>
  </si>
  <si>
    <t>HAS210217PH8</t>
  </si>
  <si>
    <t>fechamone22@gmail.com</t>
  </si>
  <si>
    <t>NUEVO</t>
  </si>
  <si>
    <t>JIAHAO BAO</t>
  </si>
  <si>
    <t>MARIA FERNANDA NAVA SEGURA</t>
  </si>
  <si>
    <t>10:00 A 21:00 HORAS</t>
  </si>
  <si>
    <t>18.997954848887275, -98.27588030433564</t>
  </si>
  <si>
    <t>ARBYS</t>
  </si>
  <si>
    <t>ANGELES SANCHEZ</t>
  </si>
  <si>
    <t>MARIA LOURDES FLORES PEREZ</t>
  </si>
  <si>
    <t>JAHZEEL ROJAS TORRES</t>
  </si>
  <si>
    <t>ISAI FLORES MARTINEZ</t>
  </si>
  <si>
    <t>PAMELA MONTSERRAT VALDE VEGA</t>
  </si>
  <si>
    <t>LIZBETH FLORES ORTIZ</t>
  </si>
  <si>
    <t>MARISOL GARCIA MORALES</t>
  </si>
  <si>
    <t>VALERIA PAREDES GONZALEZ</t>
  </si>
  <si>
    <t>UVP</t>
  </si>
  <si>
    <t>DHL EXPRESS MEXICO SA DE CV</t>
  </si>
  <si>
    <t>DEM8801152E9</t>
  </si>
  <si>
    <t>MENSAJERIA Y PAQUETERIA</t>
  </si>
  <si>
    <t>SE GESTIONAN ENVÍOS Y RECEPCIONES DE PAQUETES, SE OFRECEN SERVICIOS DE ATENCIÓN AL CLIENTE, Y SE COORDINAN OPERACIONES LOGÍSTICAS Y DE DISTRIBUCIÓN</t>
  </si>
  <si>
    <t>servicepoint.auf@dhl.com</t>
  </si>
  <si>
    <t>AMADO VAZQUEZ VALENCIA</t>
  </si>
  <si>
    <t>FABIOLA CAMPECHE SANCHEZ</t>
  </si>
  <si>
    <t>servicepoint.azs@dhl.com</t>
  </si>
  <si>
    <t>ADRIAN HERNANDEZ OLIVARES</t>
  </si>
  <si>
    <t xml:space="preserve">ROBERTO CARLOS DOMINGUEZ </t>
  </si>
  <si>
    <t>servicepoint.cvv@dhl.com</t>
  </si>
  <si>
    <t>LIDIA ARREOLA PEREZ</t>
  </si>
  <si>
    <t>DHL</t>
  </si>
  <si>
    <t>9 DE NOVIEMBRE DE 2005</t>
  </si>
  <si>
    <t>ALEJANDRO ENRIQUE SOLORZANO MONTES DE OCA</t>
  </si>
  <si>
    <t>19.039947986052415, -98.21083314033027</t>
  </si>
  <si>
    <t>AVENIDA 23 PONIENTE</t>
  </si>
  <si>
    <t>AVENIDA 25 PONIENTE</t>
  </si>
  <si>
    <t>SALIDA Y AREA INTERNA</t>
  </si>
  <si>
    <t>MOSTRADOR</t>
  </si>
  <si>
    <t>28 DE SEPTIEMBRE DE 2007</t>
  </si>
  <si>
    <t>NOE MORA RAMIREZ</t>
  </si>
  <si>
    <t>19.02465243892809, -98.19760466941977</t>
  </si>
  <si>
    <t>AVENIDA 33 ORIENTE</t>
  </si>
  <si>
    <t>BOULEVARD 14 SUR</t>
  </si>
  <si>
    <t>18 SUR</t>
  </si>
  <si>
    <t>20 DE OCTUBRE DE 2021</t>
  </si>
  <si>
    <t>18.991463598656754, -98.20109244694028</t>
  </si>
  <si>
    <t>FRACCIONAMIENTO PRADEA RESIDENCIAL</t>
  </si>
  <si>
    <t>CAMINO A XILOTZINGO</t>
  </si>
  <si>
    <t>BLVD. CAPITAN CARLOS CAMACHO ESPIRITU</t>
  </si>
  <si>
    <t>VISTA HERMOSA</t>
  </si>
  <si>
    <t>servicepoint.bam@dhl.com</t>
  </si>
  <si>
    <t>JULIO OMAR SERRANO GUERRERO</t>
  </si>
  <si>
    <t>19.005951538063638, -98.21983914958865</t>
  </si>
  <si>
    <t>EBANO</t>
  </si>
  <si>
    <t>CIPRES</t>
  </si>
  <si>
    <t>LIRIOS</t>
  </si>
  <si>
    <t>BOTON PANICO</t>
  </si>
  <si>
    <t>servicepoint.ghi@dhl.com</t>
  </si>
  <si>
    <t>1 DE NOVIEMBRE DE 2014</t>
  </si>
  <si>
    <t>MARIA DE LA PAZ CORDERO R</t>
  </si>
  <si>
    <t>18.980469690072912, -98.25416721650755</t>
  </si>
  <si>
    <t>PRIVADA DE LOS NARANJOS</t>
  </si>
  <si>
    <t>DE LA ROSA</t>
  </si>
  <si>
    <t>ACC. PRINCIPAL 11 SUR</t>
  </si>
  <si>
    <t>CALLE FAROLES</t>
  </si>
  <si>
    <t>9:00 AM A 19:00 HRS Y 9:00 AM A 2:00 PM.</t>
  </si>
  <si>
    <t>FIBRA A LA CASA SA DE CV</t>
  </si>
  <si>
    <t>ZOOY</t>
  </si>
  <si>
    <t>FCA2005056RA</t>
  </si>
  <si>
    <t>SERVICIOS DE TELECOMUNICACIONES</t>
  </si>
  <si>
    <t>AMOZOC DE MOTA</t>
  </si>
  <si>
    <t>ate3@zooy.com.mx</t>
  </si>
  <si>
    <t>13 DE MAYO DE 2024</t>
  </si>
  <si>
    <t>2 CAJONES</t>
  </si>
  <si>
    <t>HECTOR ERICK CELIS VAZQUEZ</t>
  </si>
  <si>
    <t>ALAN FABRICIO DOMINGUEZ PEÑA</t>
  </si>
  <si>
    <t>LUNES A DOMINGO</t>
  </si>
  <si>
    <t>9:00 A 19:00 Y 9:00 A 17:30</t>
  </si>
  <si>
    <t>ALARMA</t>
  </si>
  <si>
    <t>JUNIO</t>
  </si>
  <si>
    <t>19.04339117024435, -98.04489831452031</t>
  </si>
  <si>
    <t>PROPIEDAD PRIVADA</t>
  </si>
  <si>
    <t>ESTACIONAMIENTO LOCALES COMERCIALES</t>
  </si>
  <si>
    <t>JANET RAMIREZ SOMBRERERO</t>
  </si>
  <si>
    <t>GESTIÓN DE REDES Y SISTEMAS DE COMUNICACIÓN, ASÍ COMO LA ATENCIÓN Y SOPORTE TÉCNICO A LOS CLIENTES.</t>
  </si>
  <si>
    <t>diana.sanchez@zooy.com.mx</t>
  </si>
  <si>
    <t>FEBRERO DE 2023</t>
  </si>
  <si>
    <t>DIANA ABIGAIL SANCHEZ CARRASCO</t>
  </si>
  <si>
    <t>COMEDOR Y ENTRADA</t>
  </si>
  <si>
    <t>19.04536865683799, -98.1211494223927</t>
  </si>
  <si>
    <t>LOCAL</t>
  </si>
  <si>
    <t>CAMPO REAL</t>
  </si>
  <si>
    <t>KARLA MORALES MEZA</t>
  </si>
  <si>
    <t>ADRIANA LIMON GARCIA</t>
  </si>
  <si>
    <t>COMERCIO AL POR MENOR DE ARTICULOS DE PERFUMERIA Y COSMETICOS</t>
  </si>
  <si>
    <t>f516.chedrahuitehuacan@pue.fraiche.mx</t>
  </si>
  <si>
    <t>01 DE JUNIO DEE 2024</t>
  </si>
  <si>
    <t>FRAICHE CHEDRAUI</t>
  </si>
  <si>
    <t>MAYRA LIZBET ANGEL PEREZ</t>
  </si>
  <si>
    <t>10:00 A 20:00 HORAS</t>
  </si>
  <si>
    <t>AREA INTERNA Y ENTRADA</t>
  </si>
  <si>
    <t>18.4637150494009, -97.38691843244746</t>
  </si>
  <si>
    <t>CHEDRAUI</t>
  </si>
  <si>
    <t>ESENCIA Y PERFUMON</t>
  </si>
  <si>
    <t>SERVICIO DE PAQUETERIA Y MENSAJERIA</t>
  </si>
  <si>
    <t>servicepoint.tcn@dhl.com</t>
  </si>
  <si>
    <t>22 DE MARZO DE 2021</t>
  </si>
  <si>
    <t>BRYAN CHAVEZ SANTIAGO</t>
  </si>
  <si>
    <t>18.46347, -97.39752</t>
  </si>
  <si>
    <t>CALLA 2 ORIENTE</t>
  </si>
  <si>
    <t>AVENIDA INDEPENDENCIA</t>
  </si>
  <si>
    <t>CALLE 4 SUR</t>
  </si>
  <si>
    <t>CALLE 2 NORTE</t>
  </si>
  <si>
    <t>AREA INTERNA Y AREA CLIENTES</t>
  </si>
  <si>
    <t>PAULINA BENITEZ HERNANDEZ</t>
  </si>
  <si>
    <t>servicepoint.gqs@dhl.com</t>
  </si>
  <si>
    <t>ANDRES ARTEMIO CANCINO SANCHEZ</t>
  </si>
  <si>
    <t>18.46478381541792, -97.41009024605313</t>
  </si>
  <si>
    <t>PRIV 2 PTE, ESTACION BOUTIQUE, PANIFICADORA</t>
  </si>
  <si>
    <t>INDEPENDENCIA, GYM MONTECARLO, RESTAURANTE</t>
  </si>
  <si>
    <t>26 NTE, PIZZERIA, FLORERIA, VIVIENDAS</t>
  </si>
  <si>
    <t>22 NTE, SUPERLEO, ENERGETICOS TEHUACAN</t>
  </si>
  <si>
    <t>ZACATLAN</t>
  </si>
  <si>
    <t>servicepoint.zta@dhl.com</t>
  </si>
  <si>
    <t>20 DE AGOSTO DE 2021</t>
  </si>
  <si>
    <t>PAUL HERNANDEZ GARCIA</t>
  </si>
  <si>
    <t>19.93146366752627, -97.96000249718361</t>
  </si>
  <si>
    <t>ZÓCALO DE ZACATLÁN</t>
  </si>
  <si>
    <t xml:space="preserve">CALLE 5 DE MAYO </t>
  </si>
  <si>
    <t xml:space="preserve">LOCALES COMERCIALES </t>
  </si>
  <si>
    <t>servicepoint.axo@dhl.com</t>
  </si>
  <si>
    <t>AIDE BRAVO SANCHEZ</t>
  </si>
  <si>
    <t>HUAUCHINANGO</t>
  </si>
  <si>
    <t>1 CAJON</t>
  </si>
  <si>
    <t>TESHA ADRIANA DIAZ VELAZQUEZ</t>
  </si>
  <si>
    <t>servicepoint.iar@dhl.com</t>
  </si>
  <si>
    <t>servicepoint.hhn@dhl.com</t>
  </si>
  <si>
    <t>DULCE MARIA HUERTA AVELAR</t>
  </si>
  <si>
    <t>juan.j.diaz@dhl.com</t>
  </si>
  <si>
    <t>JUAN JESUS DIAZ CARRASCO</t>
  </si>
  <si>
    <t>GEN7908272C1</t>
  </si>
  <si>
    <t>CENTRO DE CARBURACION DE GAS LP</t>
  </si>
  <si>
    <t>SE DEDICA A LA DISTRIBUCIÓN Y VENTA DE GAS LICUADO DE PETRÓLEO (LP), INCLUYENDO LA RECARGA DE CILINDROS Y TANQUES, Y EL MANTENIMIENTO DE EQUIPOS DE DISTRIBUCIÓN. SUS ACTIVIDADES TAMBIÉN ABARCAN LA ATENCIÓN AL CLIENTE.</t>
  </si>
  <si>
    <t>estacion.zacatlan@gasexpressnieto.com</t>
  </si>
  <si>
    <t>ABRIL DE 2021</t>
  </si>
  <si>
    <t>ARTURO PASOS HERRERA</t>
  </si>
  <si>
    <t>YESENIA ANEL PALAFOX LUNA</t>
  </si>
  <si>
    <t>OFICINA Y AREA EXTERNA</t>
  </si>
  <si>
    <t>OFICINA Y DESPACHADOR</t>
  </si>
  <si>
    <t>PARO EMERGENCIA</t>
  </si>
  <si>
    <t>19.870830220413556, -98.00510221900382</t>
  </si>
  <si>
    <t>CARRETERA</t>
  </si>
  <si>
    <t>JORGE LUIS ARROYO FLORES</t>
  </si>
  <si>
    <t>JULIAN EMMANUEL PASOS SIERRA</t>
  </si>
  <si>
    <t>CONSTANTINO VEERA HERNANDEZ</t>
  </si>
  <si>
    <t>MUNIR CASTELAN DURAN</t>
  </si>
  <si>
    <t>CENTRO DE CARBURACION GAS EXPRESS NIETO</t>
  </si>
  <si>
    <t>GAS EXPRESS NIETO DE MEXICO SA DE CV</t>
  </si>
  <si>
    <t>DHL TEHUACAN CENTRO</t>
  </si>
  <si>
    <t>DHL TEHUACAN ZONA ALTA</t>
  </si>
  <si>
    <t>DHL TECAMACHALCO</t>
  </si>
  <si>
    <t>DHL AGUA AZUL</t>
  </si>
  <si>
    <t>DHL ANZURES</t>
  </si>
  <si>
    <t>DHL CIUDAD UNIVERSITARIA</t>
  </si>
  <si>
    <t>DHL BUGAMBILIAS</t>
  </si>
  <si>
    <t>DHL GUADALUPE HIDALGO</t>
  </si>
  <si>
    <t>DHL ATLIXCO</t>
  </si>
  <si>
    <t>DHL ZACATLAN</t>
  </si>
  <si>
    <t>DHL HUAUCHINANGO</t>
  </si>
  <si>
    <t>DHL IZUCAR DE MATAMOROS</t>
  </si>
  <si>
    <t>19°02'29.6"N 98°08'47.1"W</t>
  </si>
  <si>
    <t>AV. JUAREZ</t>
  </si>
  <si>
    <t>FARMACIAS DEL AHORRO AMALUCAN</t>
  </si>
  <si>
    <t>FARMACIAS FLEMING AMALUCAN</t>
  </si>
  <si>
    <t>01 DE ENERO DE 2021</t>
  </si>
  <si>
    <t>20.175863461634677, -98.05208169558415</t>
  </si>
  <si>
    <t>MORELOS</t>
  </si>
  <si>
    <t>CENTRO COMERCIAL</t>
  </si>
  <si>
    <t>INSTITUTO DE BELLEZA SEDEÑO</t>
  </si>
  <si>
    <t>GENERAL FRANCISCO CRAVIOTO</t>
  </si>
  <si>
    <t>15 DE DICIEMBRE 2022</t>
  </si>
  <si>
    <t>18.603553041443504, -98.46538396061852</t>
  </si>
  <si>
    <t>CALLE ALLENDE, INBURSA, GYM GENESIS, LOUIS</t>
  </si>
  <si>
    <t>DE LA CONSTITUCION, WARRIORS FITNESS, CAFÉ 11:11</t>
  </si>
  <si>
    <t>AV. CENTENARIO, HAMBURGUESAS YUYI, CLINICA</t>
  </si>
  <si>
    <t>CALLE ZARAGOZA, ESTACIONAMIENTO, NATURAL</t>
  </si>
  <si>
    <t>LUNES A VIERNES Y SABADO</t>
  </si>
  <si>
    <t>UMBELINA ADAME CALDERÓN</t>
  </si>
  <si>
    <t>FONDA MARGARITA</t>
  </si>
  <si>
    <t>AACU650223TE8</t>
  </si>
  <si>
    <t>RESTAURANTE BAR</t>
  </si>
  <si>
    <t xml:space="preserve">VENTA DE COMIDA Y BEBIDAS  </t>
  </si>
  <si>
    <t>ABRIL DE 2023</t>
  </si>
  <si>
    <t>FELICITAS MIREYA ESTRADA M</t>
  </si>
  <si>
    <t>8:00 A 18:30 HORAS</t>
  </si>
  <si>
    <t>19.047043836962022, -98.20153190469972</t>
  </si>
  <si>
    <t>JULIO</t>
  </si>
  <si>
    <t>BAR</t>
  </si>
  <si>
    <t>COMEDOR Y CONCINA</t>
  </si>
  <si>
    <t xml:space="preserve"> BAR</t>
  </si>
  <si>
    <t>BONPANE</t>
  </si>
  <si>
    <t>2 PONIENTE</t>
  </si>
  <si>
    <t>ARTESANIA Y BISUTERIA</t>
  </si>
  <si>
    <t>DEPARTAMENTOS</t>
  </si>
  <si>
    <t>FERNANDO JOSE MELENDEZ TEJED</t>
  </si>
  <si>
    <t>PAULO SERGIO JIMENEZ SALAZAR</t>
  </si>
  <si>
    <t>TERESA HERNANDEZ</t>
  </si>
  <si>
    <t>JOSEFA ARENAS PERALTA</t>
  </si>
  <si>
    <t>LETICIA MONARCA SAENZ</t>
  </si>
  <si>
    <t>JOSEFINA AMBROCIO DOMINGUEZ</t>
  </si>
  <si>
    <t>JORGE RAMIREZ MARTINEZ</t>
  </si>
  <si>
    <t>JONATHAN DE JESUS RAMIREZ RODRIGUEZ</t>
  </si>
  <si>
    <t>VERONICA R JUAREZ HERNANDEZ</t>
  </si>
  <si>
    <t>GASOLEOS SAN JUAN DE LOS LLANOS SA DE CV</t>
  </si>
  <si>
    <t>E.S. 0512 EL SECO</t>
  </si>
  <si>
    <t>GSJ150818IP8</t>
  </si>
  <si>
    <t>PL/8527/EXP/ES/2015</t>
  </si>
  <si>
    <t>ALMACENAMIENTO Y VENTA DE HIDROCARBUROS, ACEITES Y ADITIVOS</t>
  </si>
  <si>
    <t>VENTA DE GASOLINA Y DIESEL</t>
  </si>
  <si>
    <t>SAN SALVADOR EL SECO</t>
  </si>
  <si>
    <t>e00152@grupopozos.mx</t>
  </si>
  <si>
    <t>18 DE AGOSTO DE 2015</t>
  </si>
  <si>
    <t>MANUEL POZOS CRUZ</t>
  </si>
  <si>
    <t>ROSA MARIA MENDOZA ALONSO</t>
  </si>
  <si>
    <t>6:00 A 24:00 HORAS</t>
  </si>
  <si>
    <t>19.130985584816678, -97.65161141752644</t>
  </si>
  <si>
    <t>CARRETERA FEDERAL MÉXICO - VERACRUZ</t>
  </si>
  <si>
    <t xml:space="preserve">CASA HABITACIÓN </t>
  </si>
  <si>
    <t>EN TODA LA GOSOLINERA</t>
  </si>
  <si>
    <t>MARIBEL CASTRO ROJAS</t>
  </si>
  <si>
    <t>FLORENCIO PEREZ BACILIO</t>
  </si>
  <si>
    <t>ORLANDO PEREZ GARCIA</t>
  </si>
  <si>
    <t>ALEJANDRO BARTOLO ROJAS</t>
  </si>
  <si>
    <t>ALAN GIOVANI SILVA VERGARA</t>
  </si>
  <si>
    <t>E.S. 510 ORIENTAL</t>
  </si>
  <si>
    <t>PL/7448/EXP/ES/2015</t>
  </si>
  <si>
    <t>ORIENTAL</t>
  </si>
  <si>
    <t>e00510@grupopozos.mx</t>
  </si>
  <si>
    <t>24 DE SEPTIEMBRE DE 1992</t>
  </si>
  <si>
    <t>HILDA POZOS HUERTA</t>
  </si>
  <si>
    <t>OFICINA, BOMBAS Y VENTEO</t>
  </si>
  <si>
    <t>19.376149991520244, -97.61836410224103</t>
  </si>
  <si>
    <t>CALLE 2 ORIENTE</t>
  </si>
  <si>
    <t>CALLE TEZIUTLÁN - ACAJETE</t>
  </si>
  <si>
    <t>ARELY PEREZ LEAL</t>
  </si>
  <si>
    <t>JUAN CARLOS JIMENEZ</t>
  </si>
  <si>
    <t>JOSE LIMON REYES</t>
  </si>
  <si>
    <t>DAVID POZOS HUERTA</t>
  </si>
  <si>
    <t>ADOLFO HERNANDEZ SEGURA</t>
  </si>
  <si>
    <t>GASOLINERA EMILIO CARRANZA SA DE CV</t>
  </si>
  <si>
    <t>E.S. 12824 ZAUTLA</t>
  </si>
  <si>
    <t>GEC1307261N6</t>
  </si>
  <si>
    <t>5 DE MAYO</t>
  </si>
  <si>
    <t>ZAUTLA</t>
  </si>
  <si>
    <t>e12824@grupopozos.mx</t>
  </si>
  <si>
    <t>2 DE ABRIL DE 2014</t>
  </si>
  <si>
    <t>PEDRO JOSE LLARENA GONZALEZ</t>
  </si>
  <si>
    <t>19.716647154590675, -97.66318679836357</t>
  </si>
  <si>
    <t>TERRENO BALDÍO</t>
  </si>
  <si>
    <t>E.S. 0858 ZACAPOAXTLA</t>
  </si>
  <si>
    <t>CGP090902L74</t>
  </si>
  <si>
    <t>ZACAPOAXTLA</t>
  </si>
  <si>
    <t>e008585@grupopozos.mx</t>
  </si>
  <si>
    <t>19.86879047034924, -97.58824903412194</t>
  </si>
  <si>
    <t>FLORERÍA</t>
  </si>
  <si>
    <t xml:space="preserve">CALLE PATTONI </t>
  </si>
  <si>
    <t>AV. 5 DE MAYO SUR</t>
  </si>
  <si>
    <t>CALLE 2 DE ABRIL SUR</t>
  </si>
  <si>
    <t>2 DE NOVIEMBRE DE 2015</t>
  </si>
  <si>
    <t>18.87986, -97.72660</t>
  </si>
  <si>
    <t>ANALISIS CLINICOS DR. SIMI</t>
  </si>
  <si>
    <t>AV. 9 PONIENTE</t>
  </si>
  <si>
    <t>CALLE 8 SUR</t>
  </si>
  <si>
    <t xml:space="preserve">CALLE 10 SUR </t>
  </si>
  <si>
    <t>JOCELYNE ARELLANO PERIAÑEZ</t>
  </si>
  <si>
    <t>IVAN REYES MARTINEZ</t>
  </si>
  <si>
    <t>OSCAR ALBERTO CERVANTES VALDEZ</t>
  </si>
  <si>
    <t>PL/8537/EXP/ES/2015</t>
  </si>
  <si>
    <t>ANTONIO SALAZAR ESPINO</t>
  </si>
  <si>
    <t>MA. DE LA CRUZ VAZQUEZ</t>
  </si>
  <si>
    <t>JUAN GUZMAN OLIVARES</t>
  </si>
  <si>
    <t>EMILIO PUENTE LUNA</t>
  </si>
  <si>
    <t>SILVERIO APARICIO TAMANIS</t>
  </si>
  <si>
    <t>MAURILIO CARRION OLIVARES</t>
  </si>
  <si>
    <t>GASERA</t>
  </si>
  <si>
    <t>MERCADO TEPEACA S.A. DE C.V.</t>
  </si>
  <si>
    <t>BODEGA GUADALUPANA DE TEPEACA SUC. 2 SUR</t>
  </si>
  <si>
    <t>MTE160609RIA</t>
  </si>
  <si>
    <t>FARMACIA CON MINISÚPER CON VENTA DE VINOS Y LICORES EN B. C.</t>
  </si>
  <si>
    <t>VENTA DE ABARROTES, VINOS Y LICORES CERRADOS Y MEDICAMENTOS</t>
  </si>
  <si>
    <t>8 DE JUNIO DE 2022</t>
  </si>
  <si>
    <t>FRANCISCO SALAMANCA JIMÉNEZ</t>
  </si>
  <si>
    <t>8:00 A 20:00 HORAS</t>
  </si>
  <si>
    <t>ENTRADA</t>
  </si>
  <si>
    <t>EN TODA LA TIENDA</t>
  </si>
  <si>
    <t>AREA INTERNA Y ATENCION A CLIENTES</t>
  </si>
  <si>
    <t>18.96260970921498, -97.90054979108801</t>
  </si>
  <si>
    <t>FARMACIA, SALCHICHONERIA Y ALAMACEN</t>
  </si>
  <si>
    <t>AGROFINANCIERA INTERNACIONAL SA DE CV SOFOM ENR</t>
  </si>
  <si>
    <t>AGROFINANCIERA INTERNACIONAL</t>
  </si>
  <si>
    <t>AIN080519A55</t>
  </si>
  <si>
    <t>OTROS SERVICIOS FINANCIEROS</t>
  </si>
  <si>
    <t>OFRECE SERVICIOS COMO PRÉSTAMOS, ASESORÍA FINANCIERA, GESTIÓN DE INVERSIONES Y SEGUROS, AJUSTÁNDOSE A LAS NECESIDADES ESPECÍFICAS DE SUS CLIENTES.</t>
  </si>
  <si>
    <t>6 DE JULIO DE 2023</t>
  </si>
  <si>
    <t>ELDA EDITH ALAMILLO MONTES</t>
  </si>
  <si>
    <t>JOSE FERNANDO CUAUTLE SAUCEDO</t>
  </si>
  <si>
    <t>LUNES A VIERNES</t>
  </si>
  <si>
    <t>9:00 A 17:30 HORAS</t>
  </si>
  <si>
    <t>ENTRADA Y CAJA</t>
  </si>
  <si>
    <t>AGOSTO</t>
  </si>
  <si>
    <t>19.0475156408059, -98.1723081569868</t>
  </si>
  <si>
    <t>CALLE 34 NORTE</t>
  </si>
  <si>
    <t>BLVD XONACA</t>
  </si>
  <si>
    <t>ANDREA ZARCO GONZALEZ</t>
  </si>
  <si>
    <t>MARIA LUISA MORALES TLALOLIN</t>
  </si>
  <si>
    <t>BRENDA ESTAFANIA GONZALEZ ZAVALETA</t>
  </si>
  <si>
    <t>MIRIAM MERARI PAREZ RAMIREZ</t>
  </si>
  <si>
    <t>ZOILA VICENTE MARTINEZ</t>
  </si>
  <si>
    <t>YOSSELINE MARTINEZ ALCANTARA</t>
  </si>
  <si>
    <t>PARA CRECER</t>
  </si>
  <si>
    <t>COORDINA Y GESTIONA LAS ACTIVIDADES DE SUS DIVERSAS SUBSIDIARIAS O DIVISIONES, ENFOCÁNDOSE EN LA PLANIFICACIÓN ESTRATÉGICA, EL CONTROL FINANCIERO, Y LA OPTIMIZACIÓN DE RECURSOS PARA ALCANZAR LOS OBJETIVOS CORPORATIVOS.</t>
  </si>
  <si>
    <t>19 DE MAYO DE 2008</t>
  </si>
  <si>
    <t>ALEJANDRA PULIDO MORENO</t>
  </si>
  <si>
    <t>19.052912629840456, -98.22695435718767</t>
  </si>
  <si>
    <t>CALLE TEZIUTLAN</t>
  </si>
  <si>
    <t>GERARDO ROJA LEAL</t>
  </si>
  <si>
    <t>GREIDY ARAI PARRA CARREON</t>
  </si>
  <si>
    <t>HUGO GAMALIEL RUEDA GARCIA</t>
  </si>
  <si>
    <t>GABRIEL SOSA VILLALVA</t>
  </si>
  <si>
    <t>TOMAS CANIZO FLORES</t>
  </si>
  <si>
    <t>MARIANA MENDIETA GARCIA</t>
  </si>
  <si>
    <t>GABRIELA BRAVO TREJO</t>
  </si>
  <si>
    <t>ISRAEL RAMOS ZAMORA</t>
  </si>
  <si>
    <t>STEPHANIA RAMIREZ RUIZ</t>
  </si>
  <si>
    <t>ARCHIVO</t>
  </si>
  <si>
    <t>SAIRA ROSAS SANCHEZ</t>
  </si>
  <si>
    <t>MARCELO ABRAHAM MARTINEZ</t>
  </si>
  <si>
    <t>GUADALUPE LOPEZ RAMOS</t>
  </si>
  <si>
    <t>RAMIRO ALEXIS CEREZO TOBON</t>
  </si>
  <si>
    <t>BODEGA GUADALUPANA DE TEPEACA SUC. PORTALES</t>
  </si>
  <si>
    <t xml:space="preserve">COMPRA VENTA DE MEDICAMENTOS, ABARROTES Y VINOS EN BOTELLA CERRADA </t>
  </si>
  <si>
    <t>COMPRA VENTA DE MEDICAMENTOS, ABARROTES Y VINOS EN BOTELLA CERRADA</t>
  </si>
  <si>
    <t>16 DE JUNIO DE 2009</t>
  </si>
  <si>
    <t>MA. ROSALBA ESPINOZA TELLEZ</t>
  </si>
  <si>
    <t>7:30 A 22:00 HORAS</t>
  </si>
  <si>
    <t>PISO DE VENTA</t>
  </si>
  <si>
    <t>PISO DE VENTA, ALMACEN, PAQUETERIA Y FARMACIA</t>
  </si>
  <si>
    <t>BODEGA Y PISO DE VENTA</t>
  </si>
  <si>
    <t>18.9636624293132, -97.90372994253207</t>
  </si>
  <si>
    <t>CONSULTORIO DE NUTRICION</t>
  </si>
  <si>
    <t>SERVICIOS DE IMPRESIÓN</t>
  </si>
  <si>
    <t>MA. ROSARIO RAMIREZ TELLEZ</t>
  </si>
  <si>
    <t>FERNANDA CARDIA CARDIA</t>
  </si>
  <si>
    <t>JOSE HUERTA CARRILLO</t>
  </si>
  <si>
    <t>GIOVANA JIMENEZ ROSALES</t>
  </si>
  <si>
    <t>ROSA OROPEZA SALAMANCA</t>
  </si>
  <si>
    <t>JUAN GONZALEZ JIMENEZ</t>
  </si>
  <si>
    <t>MARIA ARACELI ROSALES MARQUEZ</t>
  </si>
  <si>
    <t>JORGE ORTEGA ROJAS</t>
  </si>
  <si>
    <t>CRISTINA R. RIVERA</t>
  </si>
  <si>
    <t>BODEGA GUADALUPANA DE TEPEACA SUC. SAN JOSE</t>
  </si>
  <si>
    <t>TIENDA DE AUTOSERVICIO CON VENTA DE BEBIDA ALCOHÓLICAS EN BOTELLA CERRADA</t>
  </si>
  <si>
    <t>17 DE JULIO DE 2022</t>
  </si>
  <si>
    <t>ADRIANA ADELA MENDEZ MORALES</t>
  </si>
  <si>
    <t>8:00 A 21:00 HORAS</t>
  </si>
  <si>
    <t>MOSTRADOR Y SALCHICHONERIA</t>
  </si>
  <si>
    <t>PISO DE VENTA, TABLEROS, FARMACIA</t>
  </si>
  <si>
    <t>AREA DE VENTA Y MOSTRADOR</t>
  </si>
  <si>
    <t>PISO DE VENTA Y MOSTRTADOR</t>
  </si>
  <si>
    <t>18.97413749353522, -97.9012678809187</t>
  </si>
  <si>
    <t>PAPELERIA</t>
  </si>
  <si>
    <t>VICTOR MANUEL SANTAMARIA CASELIN</t>
  </si>
  <si>
    <t>LUIS ALBERTO ROJAS ROJAS</t>
  </si>
  <si>
    <t>BRAIDY DANIEL HERNANDEZ PEREZ</t>
  </si>
  <si>
    <t>MA JOSE CENTENO JIMENEZ</t>
  </si>
  <si>
    <t>BODEGA GUADALUPANA DE TEPEACA SUC. SUPER</t>
  </si>
  <si>
    <t>JAIME SALAMANCA CENTENO</t>
  </si>
  <si>
    <t>PISO DE VENTA Y COMEDOR</t>
  </si>
  <si>
    <t>PISO DE VENTA Y ALMACEN</t>
  </si>
  <si>
    <t>18.967736531648473, -97.90008474068657</t>
  </si>
  <si>
    <t>AGROPECUARIA</t>
  </si>
  <si>
    <t>LOCAL COMERCIAL</t>
  </si>
  <si>
    <t>SECRETARIA DE SALUD</t>
  </si>
  <si>
    <t>RICARDO CEREZO POTENCIANO</t>
  </si>
  <si>
    <t>EDUARDO REYES AGUILAR</t>
  </si>
  <si>
    <t>HUGO ZAYAS ROJAS</t>
  </si>
  <si>
    <t>MARTIN AVILA APARICIO</t>
  </si>
  <si>
    <t>MARICELA MARTINEZ A</t>
  </si>
  <si>
    <t>LIZBETH JUAREZ C</t>
  </si>
  <si>
    <t>FERNANDA GONZALEZ TELLEZ</t>
  </si>
  <si>
    <t>JOSE MANUEL DE LOS SANTOS SANCHEZ</t>
  </si>
  <si>
    <t>JUAN CARLOS ROMER C</t>
  </si>
  <si>
    <t>DHL TEZIUTLAN</t>
  </si>
  <si>
    <t>TEZIUTLAN</t>
  </si>
  <si>
    <t>judith.sanchez@dhl.com</t>
  </si>
  <si>
    <t>JUDITH SANCHEZ RODRIGO</t>
  </si>
  <si>
    <t>15 DE MAYO DE 2015</t>
  </si>
  <si>
    <t>AREA INTERNA Y MOSTRADOR</t>
  </si>
  <si>
    <t>19.80856, -97.36541</t>
  </si>
  <si>
    <t>UDAL PLANTEL TEZIUTLÁN</t>
  </si>
  <si>
    <t>CALLE DÍAZ MIRÓN</t>
  </si>
  <si>
    <t>VEHICULOS DE TEZIUTLAN SA DE CV</t>
  </si>
  <si>
    <t>FORD TEZIUTLAN VETESA</t>
  </si>
  <si>
    <t>VTE570827UT8</t>
  </si>
  <si>
    <t>AGENCIA DE AUTOS</t>
  </si>
  <si>
    <t>ATENCION AL CLIENTE Y VENTA DE AUTOS, CAMIONES, SUVS Y CROSSOVERS</t>
  </si>
  <si>
    <t>XOLOCO</t>
  </si>
  <si>
    <t>gerardo.hernandez@fordteziutlan.mx</t>
  </si>
  <si>
    <t>11 DE AGOSTO DE 2018</t>
  </si>
  <si>
    <t>FRANCISCO JAVIER RIVERA GUTIERREZ</t>
  </si>
  <si>
    <t>GERARDO HERNANDEZ RAMIREZ</t>
  </si>
  <si>
    <t>9:00 A 13:00 Y 14:00 A 18:00 HORAS</t>
  </si>
  <si>
    <t>TALLER, SERVICIO AL CLIENTE</t>
  </si>
  <si>
    <t>EN TODA LA AGENCIA</t>
  </si>
  <si>
    <t>ENTRADA SERVICIO</t>
  </si>
  <si>
    <t>19° 80´ 8438’’ -97° 37’ 5903’’</t>
  </si>
  <si>
    <t>LIBRAMIENTO COFRADIA</t>
  </si>
  <si>
    <t>15 DE MARZO</t>
  </si>
  <si>
    <t>ACEITE</t>
  </si>
  <si>
    <t>CENTRO DE ESTUDIOS SUPERIORES EN CIENCIAS JURIDICAS Y CRIMINOLOGICAS CECACIJUC AC</t>
  </si>
  <si>
    <t>CES051021HD3</t>
  </si>
  <si>
    <t>ESCUELA DE EDUCACION SUPERIOR</t>
  </si>
  <si>
    <t>ACTIVIDADES ACADÉMICAS, ADMINISTRATIVAS Y ESCOLARES EN TORNO A LA IMPARTICIÓN DE EDUCACIÓN SUPERIOR, ASÍ COMO DE CAPACITACIÓN Y FORMACIÓN CONTINUA EN TODOS LOS TURNOS, NIVELES Y MODALIDADES</t>
  </si>
  <si>
    <t>direccion.puebla.academica@cescijuc.edu.mx</t>
  </si>
  <si>
    <t>29 DE ENERO DE 2015</t>
  </si>
  <si>
    <t>JORGE MANUEL ISLAS GOWER</t>
  </si>
  <si>
    <t>TEOFILO BENITEZ GRANADOS</t>
  </si>
  <si>
    <t>19.049448505078654, -98.21209864378211</t>
  </si>
  <si>
    <t>AV 5 PONIENTE</t>
  </si>
  <si>
    <t>MODATELAS SAPI DE CV</t>
  </si>
  <si>
    <t>MODATELAS SUC. 448</t>
  </si>
  <si>
    <t>MOD041014KI3</t>
  </si>
  <si>
    <t>COMPRA VENTA DE TELAS, MERCERIA, MANUALIDADES, ROPA, TIEMPO AIRE Y SERVICIOS</t>
  </si>
  <si>
    <t>modatelas448@suc448.com.mx</t>
  </si>
  <si>
    <t>9 DE OCTUBRE DE 2019</t>
  </si>
  <si>
    <t>CAROLINA ARENAS OJEDA</t>
  </si>
  <si>
    <t>9:00 A 20:00 HORAS</t>
  </si>
  <si>
    <t>CAJAS</t>
  </si>
  <si>
    <t>18.880627533862167, -97.72909503317462</t>
  </si>
  <si>
    <t>9 PONIENTE</t>
  </si>
  <si>
    <t>COCINA ECONOMICA</t>
  </si>
  <si>
    <t>VENTA DE PINTURAS</t>
  </si>
  <si>
    <t>LEONOR AGUILAR PEREZ</t>
  </si>
  <si>
    <t>ENRIQUE NAVA CONDE</t>
  </si>
  <si>
    <t>DULCE MARIA MENDEZ VARILLAS</t>
  </si>
  <si>
    <t>LUIS ANGEL GOMEZ JUAREZ</t>
  </si>
  <si>
    <t>MARIA GUADALUPE MARTINEZ M</t>
  </si>
  <si>
    <t>MOBILIARIO Y TELAS</t>
  </si>
  <si>
    <t>7:00 A 19:00 HORAS</t>
  </si>
  <si>
    <t>RICARDO SILVA CAMPOS</t>
  </si>
  <si>
    <t>ILEANA ROMAN ARROYO</t>
  </si>
  <si>
    <t>PAOLA AGUILAR HERNANDEZ</t>
  </si>
  <si>
    <t>JOSE EDUARDO TORRES VALERI</t>
  </si>
  <si>
    <t>DIANA FERNANDA DURAN MARTINEZ</t>
  </si>
  <si>
    <t>JAVIER LAZARO SARABIA SANTILLAN</t>
  </si>
  <si>
    <t>OSCAR CRUZ SANCHEZ</t>
  </si>
  <si>
    <t>DULCE MARIA FARFAN MARQUEZ</t>
  </si>
  <si>
    <t>ZURI IVAN HERNANDEZ RODRIGUEZ</t>
  </si>
  <si>
    <t>MA OLGA CRUZ ARANDA</t>
  </si>
  <si>
    <t>F097 PUEBLA 15</t>
  </si>
  <si>
    <t>PERFUMERIA, ARTICULOS DE BELLEZA Y REGALOS</t>
  </si>
  <si>
    <t>VENTA DE PERFUMERIA, ARTICULOS DE BELLEZA Y REGALOS</t>
  </si>
  <si>
    <t>5 NORTE</t>
  </si>
  <si>
    <t>JUNIO DE 2023</t>
  </si>
  <si>
    <t>GUILLERMINA PERALTA PERALTA</t>
  </si>
  <si>
    <t>10:00 A 19:00 HORAS</t>
  </si>
  <si>
    <t>19.04952784963559, -98.19948443229369</t>
  </si>
  <si>
    <t>JENIFER CABRERA ANGEL</t>
  </si>
  <si>
    <t>MARICELA LOZANO FLORES</t>
  </si>
  <si>
    <t>YOCELIN ITZEL TORRES SANCHEZ</t>
  </si>
  <si>
    <t>BLANCA ESTELA MOLONTZIN ABARCA</t>
  </si>
  <si>
    <t>VALEERIA CASTRO LEZAMA</t>
  </si>
  <si>
    <t>JESUS JAIR CASTILLO JIMENEZ</t>
  </si>
  <si>
    <t>JOSE LUIS MENDEZ CASTILLO</t>
  </si>
  <si>
    <t>MARIANA MARIN CUAXIBA</t>
  </si>
  <si>
    <t>TANIA JANETH HERNANDEZ MORENO</t>
  </si>
  <si>
    <t>ELIZABETH GONZALEZ MARTINEZ</t>
  </si>
  <si>
    <t>GERARDO HERNANDEZ NERY</t>
  </si>
  <si>
    <t>LUIS EDUARDO CRUZ DELGADO</t>
  </si>
  <si>
    <t>AREA DE VENTA</t>
  </si>
  <si>
    <t xml:space="preserve"> MOSTRADOR, ALMACEN</t>
  </si>
  <si>
    <t>F288 4 PONIENTE</t>
  </si>
  <si>
    <t xml:space="preserve">JOCELYN NATALY CASAS JUÁREZ </t>
  </si>
  <si>
    <t>KENNIA YAMILET MUÑOZ CERVANTES</t>
  </si>
  <si>
    <t>19.049647267692098, -98.20531995242001</t>
  </si>
  <si>
    <t>MA JUANA ROMERO CALDERON</t>
  </si>
  <si>
    <t>ALEJANDRO HERNANDEZ FLORES</t>
  </si>
  <si>
    <t>ANA LILIA HERNANDEZ ZENTENO</t>
  </si>
  <si>
    <t>F380 CAPU CENTRAL DE AUTOBUSES PUEBLA</t>
  </si>
  <si>
    <t>EVIRETH FERNANDEZ SOLANO</t>
  </si>
  <si>
    <t>MOSTRADOR, ALMACEN</t>
  </si>
  <si>
    <t>19.073464457606583, -98.20436970701181</t>
  </si>
  <si>
    <t>CAPU</t>
  </si>
  <si>
    <t>BLVD NORTE</t>
  </si>
  <si>
    <t>ROSARIO FLORES PEREZ</t>
  </si>
  <si>
    <t>MA CLAUDIA MORENO MARTINEZ</t>
  </si>
  <si>
    <t>IRMA PEREZ VIDAL</t>
  </si>
  <si>
    <t>DULCE MARIA BASTELLON RIVERA</t>
  </si>
  <si>
    <t>IVAN DANIEL ABASCAL PONCE</t>
  </si>
  <si>
    <t>F108 PUEBLA 17</t>
  </si>
  <si>
    <t>19.04786413111249, -98.19682528693954</t>
  </si>
  <si>
    <t>F270 5 NORTE II PUEBLA</t>
  </si>
  <si>
    <t>ELIZABETH BERMUDEZ CASTELAN</t>
  </si>
  <si>
    <t>10 PONIENTE</t>
  </si>
  <si>
    <t>JULIO CESAR ANTONIO MACARIO</t>
  </si>
  <si>
    <t>URIEL EDUARDO RUIZ MUÑOZ</t>
  </si>
  <si>
    <t>GEOVANNI RAFAEL GONZALEZ SANDOVAL</t>
  </si>
  <si>
    <t>F045 FRAICHE</t>
  </si>
  <si>
    <t>yosoyiet@gmail.com</t>
  </si>
  <si>
    <t>01 DE JULIO DE 2023</t>
  </si>
  <si>
    <t>MARIA LETICIA GALINDO SOSA</t>
  </si>
  <si>
    <t>19.07049904243781, -98.20775114557767</t>
  </si>
  <si>
    <t>KARINA QUEZADA PICAZO</t>
  </si>
  <si>
    <t>RODRIGO LOPEZ OLVERA</t>
  </si>
  <si>
    <t>LUCRECIA PASION PEREZ</t>
  </si>
  <si>
    <t>ISMAEL JAFET APARICIO GONZALEZ</t>
  </si>
  <si>
    <t>NORMA GONZALEZ HERNANDEZ</t>
  </si>
  <si>
    <t>VENTA Y DISTRIBUCIÓN DE ARTÍCULOS Y UTENSILIOS PARA EL HOGAR, OFRECIENDO UNA AMPLIA VARIEDAD DE PRODUCTOS QUE FACILITAN Y MEJORAN LAS TAREAS DOMÉSTICAS DIARIAS</t>
  </si>
  <si>
    <t>OTROS COMERCIOS AL MENUDEO Y MAYOREO (VENTA DE ARTICULOS Y UTENSILIOS PARA EL HOGAR)</t>
  </si>
  <si>
    <t>JUNIO DE 2024</t>
  </si>
  <si>
    <t>THE HOME ASIAN SA DE CV</t>
  </si>
  <si>
    <t>ADOLFO MERCADO ZEPEDA</t>
  </si>
  <si>
    <t>RAFAEL L MONTERO R</t>
  </si>
  <si>
    <t>ADOLFO BENITO ORTIZ</t>
  </si>
  <si>
    <t>UBALDO SALAZAR GARCIA</t>
  </si>
  <si>
    <t>CESAR TEODORO LOPEZ</t>
  </si>
  <si>
    <t>VERONICA BERENICE DURAN MARTINEZ</t>
  </si>
  <si>
    <t>RAYMUNDO SANCHEZ</t>
  </si>
  <si>
    <t>MANUEL PARRA R</t>
  </si>
  <si>
    <t>SANDRA LILIANA MORENO BALANZA</t>
  </si>
  <si>
    <t>direccion</t>
  </si>
  <si>
    <t>AV. LIBERTAD NORTE #298  COL. CENTRO</t>
  </si>
  <si>
    <t>AVENIDA MEXICO - PUEBLA #102 - 104  COL. LOS ANGELES</t>
  </si>
  <si>
    <t>BLVD. XICOTENCATL #207  COL. CENTRO</t>
  </si>
  <si>
    <t>CAMINO A TLANALAPAN #28  COL. SAN RAFAEL TLANALAPAN</t>
  </si>
  <si>
    <t>CALLE 11 SUR #508  COL. HERMOSA PROVINCIA</t>
  </si>
  <si>
    <t>GALEANA #39  COL. SAN LORENZO ALMECATLA</t>
  </si>
  <si>
    <t>CARRETERA FEDERAL MEXICO-PUEBLA #KM 90+206  COL. PRIMER BARRIO</t>
  </si>
  <si>
    <t>CARRETERA FEDERAL MEXICO-PUEBLA #KM 90+400  COL. EL CARMEN</t>
  </si>
  <si>
    <t>BOULEVARD FORJADORES DE PUEBLA #KM 107.4  COL. SANTIAGO MOMOXPAN</t>
  </si>
  <si>
    <t>CARRETERA A CALPAN PARAJE EL LLANO LADO NORTE #S/N  COL. CHAHUAC</t>
  </si>
  <si>
    <t>PROLONGACION DE LA 11 SUR #2  COL. EL CAPULO</t>
  </si>
  <si>
    <t>43 ORIENTE #201  COL. HUEXOTITLA</t>
  </si>
  <si>
    <t xml:space="preserve"> AV. JUAREZ #1506  COL. CENTRO</t>
  </si>
  <si>
    <t>DIAGONAL ZARAGOZA #5128 A COL. JARDINES DE SAN MANUEL</t>
  </si>
  <si>
    <t>CALLE 3 ORIENTE #2 LETRA A COL. CENTRO</t>
  </si>
  <si>
    <t>BLVD ATLIXCO #3156 B 11 - 20 COL. LAS ANIMAS CENTRO COMERCIAL</t>
  </si>
  <si>
    <t>PLAZA DE LA CONSTITUCION #7 LOCAL 1 ORIENTE COL. CENTRO</t>
  </si>
  <si>
    <t>CALLE 3 PONIENTE #101  COL. CENTRO</t>
  </si>
  <si>
    <t>CALZADA ZAVALETA #3710 LOCAL A COL. SANTA CRUZ BUENA VISTA</t>
  </si>
  <si>
    <t>ALEJANDRA #512 LOCAL 15  COL. EXPLANADA PUEBLA</t>
  </si>
  <si>
    <t>VIA ATLIXCAYOTL #6510  COL. SAN BERNANDINO TLAXCALANCINGO</t>
  </si>
  <si>
    <t>BOULEVARD ATLIXCAYOTL #3432 LOCAL 18, 19, 20, 21 COL. RESERVA TERRITORIAL ATLIXCAYOTL</t>
  </si>
  <si>
    <t>CALZADA ZAVALETA #3920 1 COL. SANTA CRUZ BUENA VISTA</t>
  </si>
  <si>
    <t>CALZADA ZAVALETA #3922 LOCAL 1 COL. SANTA CRUZ BUENA VISTA</t>
  </si>
  <si>
    <t>BLVD HEROES DEL 5 DE MAYO #2510  COL. LADRILLERA DE BENITEZ</t>
  </si>
  <si>
    <t>AV MORELOS #10  COL. CENTRO</t>
  </si>
  <si>
    <t>CIRCUITO JUAN PABLO II #3302 31, 32, 33, 34, 109, 110, 111, 112 COL. LAS ANIMAS CENTRO COMERCIAL</t>
  </si>
  <si>
    <t>AVENIDA FIDEL VELAZQUEZ #3230 A 6 COL. VALLE DEL SOL</t>
  </si>
  <si>
    <t>PROLONGACION 14 SUR #6302 LOCAL 1 COL. LOMA LINDA</t>
  </si>
  <si>
    <t>POLONGACION 11 SUR #8310 LOCAL B C D E COL. MAYORAZGO</t>
  </si>
  <si>
    <t>CALLE 39 ORIENTE #1407 7 Y 8 COL. ANZURES</t>
  </si>
  <si>
    <t>REFORMA #113 A COL. CENTRO</t>
  </si>
  <si>
    <t>BOULEVARD ATLIXCAYOTL #1504 LOCAL 4-BB (P.A.) Y LOCAL E-1, E-2, E-3 (P.B.) COL. RESERVA TERRITORIAL ATLIXCAYOTL</t>
  </si>
  <si>
    <t>BLVD FORJADORES DE PUEBLA #3401 LOCAL 8, 9 Y 10 COL. CENTRO</t>
  </si>
  <si>
    <t>9 SUR #11302 LOCAL 14 COL. SAN BARTOLO COATEPEC</t>
  </si>
  <si>
    <t>PASEO SINFONIA #1 LOCAL 3 PB COL. TOWN CENTER LOMAS DE ANGELOPOLIS II</t>
  </si>
  <si>
    <t>BLVD CAPITAN CARLOS CAMACHO ESPIRITU #8323 5, 6, 7, 8 COL. BARRIO DE ARBOLEDAS</t>
  </si>
  <si>
    <t>BLVD FORJADORES #1009  COL. CENTRO COMERCIAL CRUZ DEL SUR</t>
  </si>
  <si>
    <t>BLVD NIÑOS HEROES #805 A-L-1B COL. REVOLUCION</t>
  </si>
  <si>
    <t>CALLE 5 DE MAYO #1427 LOCAL 2 COL. CENTRO</t>
  </si>
  <si>
    <t>AVENIDA HIDALGO #300  COL. CENTRO</t>
  </si>
  <si>
    <t>BULEVAR MUNICIPIO LIBRE #2028 LOCAL A COL. UNIVERSIDAD</t>
  </si>
  <si>
    <t>3 ORIENTE #206  COL. CENTRO</t>
  </si>
  <si>
    <t>3 ORIENTE #150 B COL. CENTRO</t>
  </si>
  <si>
    <t>AV. TAMPICO #22  COL. CENTRO</t>
  </si>
  <si>
    <t>CALLE CRISTOBAL COLON #35 A COL. BARRIO SAN JERONIMO</t>
  </si>
  <si>
    <t>CALLE 2 DE ABRIL #75  COL. 3 SECCION</t>
  </si>
  <si>
    <t>CORREGIDORA SUR #302  COL. CENTRO</t>
  </si>
  <si>
    <t>CALLE PINOLACO Y PROLONGACION MIGUEL ALVARADO #134  COL. CIUDAD DE CUETZALAN</t>
  </si>
  <si>
    <t>AVENIDA 16 DE SEPTIEMBRE #94  COL. OAXAQUEÑOS ILUSTRES</t>
  </si>
  <si>
    <t>CALLE MORELOS #8  COL. CENTRO</t>
  </si>
  <si>
    <t>AV. INDEPENDENCIA #1011  COL. LA PIRAGUA</t>
  </si>
  <si>
    <t>5 SUR #5906 -- COL. EL CERRITO</t>
  </si>
  <si>
    <t>3 SUR #5758 -- COL. EL CERRITO</t>
  </si>
  <si>
    <t>3 SUR #5720 -- COL. EL CERRITO</t>
  </si>
  <si>
    <t>3 SUR #5759 -- COL. EL CERRITO</t>
  </si>
  <si>
    <t>PRIVADA JACARANDAS #327 -- COL. EL CERRITO</t>
  </si>
  <si>
    <t>PRIVADA 3 A SUR #5720 -- COL. EL CERRITO</t>
  </si>
  <si>
    <t>TAMAULIPAS #329 -- COL. EL CERRITO</t>
  </si>
  <si>
    <t>3 SUR #5904 -- COL. EL CERRITO</t>
  </si>
  <si>
    <t>BLVD INTERAMERICANO #129 LOCAL A COL. JUNTA AUXILIAR SAN ANTONIO CACALOTEPEC</t>
  </si>
  <si>
    <t>11 SUR #2306 A COL. CHULA VISTA</t>
  </si>
  <si>
    <t>BLVD 14 SUR #3532 LOCAL 2 COL. RESIDENCIAL PUEBLA</t>
  </si>
  <si>
    <t>BVLD CAPITAN CARLOS CAMACHO ESPIRITU #7736 LOCAL 18, 19, 20, 21 COL. RANCHO SAN JOSE XILOTIZONGO</t>
  </si>
  <si>
    <t>PROLONGACION 16 DE SEPTIEMBRE #6348 LOCAL C COL. VISTA HERMOSA</t>
  </si>
  <si>
    <t>11 SUR #12923 LOCAL 1 COL. SAN ISIDRO CASTILLOTLA</t>
  </si>
  <si>
    <t>BLVD FERROCARRILES #1146 LOCAL 1 COL. PRADO SUR</t>
  </si>
  <si>
    <t>ANDADOR ITUBIDE #1-A ESQ. 5 DE MAYO COL. CENTRO</t>
  </si>
  <si>
    <t>CALLE MORELOS #22  COL. CENTRO</t>
  </si>
  <si>
    <t>CALLE MORELOS #26  COL. CENTRO</t>
  </si>
  <si>
    <t>CALLE JUAREZ #107 LOCALES 7 Y 8 COL. CENTRO</t>
  </si>
  <si>
    <t>CARRETERA FEDERAL PUEBLA-TEHUACAN #KM 9, 310 LOCAL 4 COL. CASA BLANCA</t>
  </si>
  <si>
    <t>AV. INDEPENDENCIA PONIENTE #216 A COL. CENTRO</t>
  </si>
  <si>
    <t>AV. ADOLFO LOPEZ MATEOS #2410  COL. ZONA ALTA</t>
  </si>
  <si>
    <t>AV. 9 NORTE #801 LOCAL 16 COL. BARRIO SAN JOSE</t>
  </si>
  <si>
    <t>7 NORTE #107 LOCAL 5 COL. CENTRO</t>
  </si>
  <si>
    <t>PREDIO DENOMINADO LA DESVIACION, CARRETERA FDERAL #KM 61  COL. LOCALIDAD DE AMOLTEPEC, TOMATLAN</t>
  </si>
  <si>
    <t>CALLE 2 PONIENTE #506  COL. CENTRO</t>
  </si>
  <si>
    <t>CARRETERA FEDERAL MEXICO-VERACRUZ #KM 212 -- COL. BARRIO DE XILOTEPEC</t>
  </si>
  <si>
    <t>BOULEVARD 16 DE SEPTIEMBRE Y CARRETERA FEDERAL SAN HIPOLITO NAUTLA #-- A COL. ORIENTAL</t>
  </si>
  <si>
    <t>5 DE MAYO #37  COL. EMILIO CARRANZA</t>
  </si>
  <si>
    <t>5 DE MAYO SUR #36  COL. EL TRIUNFO</t>
  </si>
  <si>
    <t>CALLE 2 SUR #307 INT 1 COL. CENTRO</t>
  </si>
  <si>
    <t>AV. GRAL. MAXIMO AVILA CAMACHO #208  COL. BARRIO DEL CENTRO</t>
  </si>
  <si>
    <t>AV. CUAUHTEMOC NORTTE #602  COL. BARRIO SAN JOSE</t>
  </si>
  <si>
    <t>CALLE 2 NORTE #200  COL. CENTRO</t>
  </si>
  <si>
    <t>BOULEVARD XONACA #3216 LOCAL 1 COL. VISTA HERMOSA</t>
  </si>
  <si>
    <t>TEZIUTLAN SUR #40  COL. LA PAZ</t>
  </si>
  <si>
    <t>CALLE DIAZ MIRON #539 (ANTES ROLONGACION DE MINA #750) COL. CENTRO</t>
  </si>
  <si>
    <t>XOLOCO #108 C COL. SAN PEDRO XOLOCO</t>
  </si>
  <si>
    <t>5 PONIENTE #1710  COL. BARRIO SAN SEBASTIAN</t>
  </si>
  <si>
    <t>9 ORIENTE #205 B COL. CENTRO</t>
  </si>
  <si>
    <t>5 NORTE #810 LOCAL B COL. CENTRO</t>
  </si>
  <si>
    <t>5 DE MAYO #803 LOCAL E COL. CENTRO</t>
  </si>
  <si>
    <t>4 PONIENTE #915 LOCAL 4 COL. CENTRO</t>
  </si>
  <si>
    <t>BULEVAR NORTE #4222 L-3 COL. LAS CUARTILLAS</t>
  </si>
  <si>
    <t>5 NORTE #810 LOCAL D COL. CENTRO</t>
  </si>
  <si>
    <t>BULEVAR NORTE #3609 LOCAL A COL. NUEVA AURORA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</si>
</sst>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0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Aptos Narrow"/>
      <family val="2"/>
      <scheme val="minor"/>
    </font>
    <font>
      <sz val="8"/>
      <color rgb="FF121212"/>
      <name val="Arial"/>
      <family val="2"/>
    </font>
    <font>
      <sz val="11"/>
      <color theme="0"/>
      <name val="Aptos Narrow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theme="8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1">
    <xf numFmtId="0" fontId="0" fillId="0" borderId="0" xfId="0"/>
    <xf numFmtId="0" fontId="0" fillId="2" borderId="0" xfId="0" applyFill="1"/>
    <xf numFmtId="0" fontId="2" fillId="0" borderId="0" xfId="1"/>
    <xf numFmtId="0" fontId="0" fillId="3" borderId="0" xfId="0" applyFill="1"/>
    <xf numFmtId="164" fontId="0" fillId="0" borderId="0" xfId="0" applyNumberFormat="1"/>
    <xf numFmtId="0" fontId="7" fillId="0" borderId="0" xfId="0" applyFont="1"/>
    <xf numFmtId="0" fontId="0" fillId="4" borderId="0" xfId="0" applyFill="1"/>
    <xf numFmtId="0" fontId="8" fillId="0" borderId="0" xfId="0" applyFont="1"/>
    <xf numFmtId="0" fontId="0" fillId="0" borderId="0" xfId="0" quotePrefix="1"/>
    <xf numFmtId="0" fontId="0" fillId="5" borderId="0" xfId="0" applyFill="1"/>
    <xf numFmtId="17" fontId="0" fillId="0" borderId="0" xfId="0" applyNumberFormat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6" borderId="0" xfId="0" applyFill="1"/>
    <xf numFmtId="0" fontId="0" fillId="10" borderId="0" xfId="0" applyFill="1"/>
    <xf numFmtId="0" fontId="0" fillId="11" borderId="0" xfId="0" applyFill="1"/>
    <xf numFmtId="0" fontId="9" fillId="12" borderId="0" xfId="0" applyFont="1" applyFill="1"/>
    <xf numFmtId="0" fontId="0" fillId="13" borderId="0" xfId="0" applyFill="1"/>
    <xf numFmtId="0" fontId="9" fillId="3" borderId="0" xfId="0" applyFont="1" applyFill="1"/>
    <xf numFmtId="0" fontId="9" fillId="14" borderId="0" xfId="0" applyFont="1" applyFill="1"/>
  </cellXfs>
  <cellStyles count="2">
    <cellStyle name="Hipervínculo" xfId="1" builtinId="8"/>
    <cellStyle name="Normal" xfId="0" builtinId="0"/>
  </cellStyles>
  <dxfs count="36"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theme="7" tint="0.79998168889431442"/>
        </patternFill>
      </fill>
    </dxf>
  </dxfs>
  <tableStyles count="0" defaultTableStyle="TableStyleMedium2" defaultPivotStyle="PivotStyleLight16"/>
  <colors>
    <mruColors>
      <color rgb="FF66FF66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mariamagdalena.tequitlalpan@bbva.com" TargetMode="External"/><Relationship Id="rId21" Type="http://schemas.openxmlformats.org/officeDocument/2006/relationships/hyperlink" Target="mailto:josecasiano.garcia@bbva.xom" TargetMode="External"/><Relationship Id="rId34" Type="http://schemas.openxmlformats.org/officeDocument/2006/relationships/hyperlink" Target="mailto:estacioncuetzalan2@gmail.com" TargetMode="External"/><Relationship Id="rId42" Type="http://schemas.openxmlformats.org/officeDocument/2006/relationships/hyperlink" Target="mailto:servicepoint.ghi@dhl.com" TargetMode="External"/><Relationship Id="rId47" Type="http://schemas.openxmlformats.org/officeDocument/2006/relationships/hyperlink" Target="mailto:servicepoint.gqs@dhl.com" TargetMode="External"/><Relationship Id="rId50" Type="http://schemas.openxmlformats.org/officeDocument/2006/relationships/hyperlink" Target="mailto:servicepoint.hhn@dhl.com" TargetMode="External"/><Relationship Id="rId55" Type="http://schemas.openxmlformats.org/officeDocument/2006/relationships/hyperlink" Target="mailto:e00510@grupopozos.mx" TargetMode="External"/><Relationship Id="rId63" Type="http://schemas.openxmlformats.org/officeDocument/2006/relationships/printerSettings" Target="../printerSettings/printerSettings1.bin"/><Relationship Id="rId7" Type="http://schemas.openxmlformats.org/officeDocument/2006/relationships/hyperlink" Target="mailto:angeles@grupoempresarialpb.com" TargetMode="External"/><Relationship Id="rId2" Type="http://schemas.openxmlformats.org/officeDocument/2006/relationships/hyperlink" Target="mailto:jemg_5935@hotmail.com" TargetMode="External"/><Relationship Id="rId16" Type="http://schemas.openxmlformats.org/officeDocument/2006/relationships/hyperlink" Target="mailto:yetzabelli.tolentino@bbva.com" TargetMode="External"/><Relationship Id="rId29" Type="http://schemas.openxmlformats.org/officeDocument/2006/relationships/hyperlink" Target="mailto:cristobal.medina.1@bbva.com" TargetMode="External"/><Relationship Id="rId11" Type="http://schemas.openxmlformats.org/officeDocument/2006/relationships/hyperlink" Target="mailto:carolina.hernandez@bbva.com" TargetMode="External"/><Relationship Id="rId24" Type="http://schemas.openxmlformats.org/officeDocument/2006/relationships/hyperlink" Target="mailto:susana.mendoza.1@bbva.com" TargetMode="External"/><Relationship Id="rId32" Type="http://schemas.openxmlformats.org/officeDocument/2006/relationships/hyperlink" Target="mailto:hidrotepeacafacturas@hotmail.com" TargetMode="External"/><Relationship Id="rId37" Type="http://schemas.openxmlformats.org/officeDocument/2006/relationships/hyperlink" Target="mailto:fechamone22@gmail.com" TargetMode="External"/><Relationship Id="rId40" Type="http://schemas.openxmlformats.org/officeDocument/2006/relationships/hyperlink" Target="mailto:servicepoint.cvv@dhl.com" TargetMode="External"/><Relationship Id="rId45" Type="http://schemas.openxmlformats.org/officeDocument/2006/relationships/hyperlink" Target="mailto:f516.chedrahuitehuacan@pue.fraiche.mx" TargetMode="External"/><Relationship Id="rId53" Type="http://schemas.openxmlformats.org/officeDocument/2006/relationships/hyperlink" Target="mailto:estacion.zacatlan@gasexpressnieto.com" TargetMode="External"/><Relationship Id="rId58" Type="http://schemas.openxmlformats.org/officeDocument/2006/relationships/hyperlink" Target="mailto:judith.sanchez@dhl.com" TargetMode="External"/><Relationship Id="rId5" Type="http://schemas.openxmlformats.org/officeDocument/2006/relationships/hyperlink" Target="mailto:sramirez@cegeu.org.mx" TargetMode="External"/><Relationship Id="rId61" Type="http://schemas.openxmlformats.org/officeDocument/2006/relationships/hyperlink" Target="mailto:modatelas448@suc448.com.mx" TargetMode="External"/><Relationship Id="rId19" Type="http://schemas.openxmlformats.org/officeDocument/2006/relationships/hyperlink" Target="mailto:adriana.perez.martinez@bbva.com" TargetMode="External"/><Relationship Id="rId14" Type="http://schemas.openxmlformats.org/officeDocument/2006/relationships/hyperlink" Target="mailto:luisa.massa@bbva.com" TargetMode="External"/><Relationship Id="rId22" Type="http://schemas.openxmlformats.org/officeDocument/2006/relationships/hyperlink" Target="mailto:mariaveronica.garcia@bbva.com" TargetMode="External"/><Relationship Id="rId27" Type="http://schemas.openxmlformats.org/officeDocument/2006/relationships/hyperlink" Target="mailto:monica.morales.1@bbva.com" TargetMode="External"/><Relationship Id="rId30" Type="http://schemas.openxmlformats.org/officeDocument/2006/relationships/hyperlink" Target="mailto:capulo@grupoempresarialpb.com" TargetMode="External"/><Relationship Id="rId35" Type="http://schemas.openxmlformats.org/officeDocument/2006/relationships/hyperlink" Target="mailto:serv.medico@uvp.mx" TargetMode="External"/><Relationship Id="rId43" Type="http://schemas.openxmlformats.org/officeDocument/2006/relationships/hyperlink" Target="mailto:ate3@zooy.com.mx" TargetMode="External"/><Relationship Id="rId48" Type="http://schemas.openxmlformats.org/officeDocument/2006/relationships/hyperlink" Target="mailto:servicepoint.zta@dhl.com" TargetMode="External"/><Relationship Id="rId56" Type="http://schemas.openxmlformats.org/officeDocument/2006/relationships/hyperlink" Target="mailto:e12824@grupopozos.mx" TargetMode="External"/><Relationship Id="rId64" Type="http://schemas.openxmlformats.org/officeDocument/2006/relationships/vmlDrawing" Target="../drawings/vmlDrawing1.vml"/><Relationship Id="rId8" Type="http://schemas.openxmlformats.org/officeDocument/2006/relationships/hyperlink" Target="mailto:cabana@grupoempresarialpb.com" TargetMode="External"/><Relationship Id="rId51" Type="http://schemas.openxmlformats.org/officeDocument/2006/relationships/hyperlink" Target="mailto:servicepoint.iar@dhl.com" TargetMode="External"/><Relationship Id="rId3" Type="http://schemas.openxmlformats.org/officeDocument/2006/relationships/hyperlink" Target="mailto:fsca34@hotmail.com" TargetMode="External"/><Relationship Id="rId12" Type="http://schemas.openxmlformats.org/officeDocument/2006/relationships/hyperlink" Target="mailto:marina.delao.1@bbva.com" TargetMode="External"/><Relationship Id="rId17" Type="http://schemas.openxmlformats.org/officeDocument/2006/relationships/hyperlink" Target="mailto:veronica.macias.1@bbva.com" TargetMode="External"/><Relationship Id="rId25" Type="http://schemas.openxmlformats.org/officeDocument/2006/relationships/hyperlink" Target="mailto:rogelio.sierra@bbva.com" TargetMode="External"/><Relationship Id="rId33" Type="http://schemas.openxmlformats.org/officeDocument/2006/relationships/hyperlink" Target="mailto:pitavallejacarrera0205@gmail.com" TargetMode="External"/><Relationship Id="rId38" Type="http://schemas.openxmlformats.org/officeDocument/2006/relationships/hyperlink" Target="mailto:servicepoint.auf@dhl.com" TargetMode="External"/><Relationship Id="rId46" Type="http://schemas.openxmlformats.org/officeDocument/2006/relationships/hyperlink" Target="mailto:servicepoint.tcn@dhl.com" TargetMode="External"/><Relationship Id="rId59" Type="http://schemas.openxmlformats.org/officeDocument/2006/relationships/hyperlink" Target="mailto:gerardo.hernandez@fordteziutlan.mx" TargetMode="External"/><Relationship Id="rId20" Type="http://schemas.openxmlformats.org/officeDocument/2006/relationships/hyperlink" Target="mailto:hugoroberto.tellez@bbva.com" TargetMode="External"/><Relationship Id="rId41" Type="http://schemas.openxmlformats.org/officeDocument/2006/relationships/hyperlink" Target="mailto:servicepoint.bam@dhl.com" TargetMode="External"/><Relationship Id="rId54" Type="http://schemas.openxmlformats.org/officeDocument/2006/relationships/hyperlink" Target="mailto:e00152@grupopozos.mx" TargetMode="External"/><Relationship Id="rId62" Type="http://schemas.openxmlformats.org/officeDocument/2006/relationships/hyperlink" Target="mailto:yosoyiet@gmail.com" TargetMode="External"/><Relationship Id="rId1" Type="http://schemas.openxmlformats.org/officeDocument/2006/relationships/hyperlink" Target="mailto:ismaeldominguezr@yahoo.com" TargetMode="External"/><Relationship Id="rId6" Type="http://schemas.openxmlformats.org/officeDocument/2006/relationships/hyperlink" Target="mailto:sansebastian@grupoempresarialpb.com" TargetMode="External"/><Relationship Id="rId15" Type="http://schemas.openxmlformats.org/officeDocument/2006/relationships/hyperlink" Target="mailto:antonio.montes@bbva.com" TargetMode="External"/><Relationship Id="rId23" Type="http://schemas.openxmlformats.org/officeDocument/2006/relationships/hyperlink" Target="mailto:miguel.martinez@bbva.com" TargetMode="External"/><Relationship Id="rId28" Type="http://schemas.openxmlformats.org/officeDocument/2006/relationships/hyperlink" Target="mailto:mariamercedes.ramirez@bbva.com" TargetMode="External"/><Relationship Id="rId36" Type="http://schemas.openxmlformats.org/officeDocument/2006/relationships/hyperlink" Target="mailto:serv.medico@uvp.mx" TargetMode="External"/><Relationship Id="rId49" Type="http://schemas.openxmlformats.org/officeDocument/2006/relationships/hyperlink" Target="mailto:servicepoint.axo@dhl.com" TargetMode="External"/><Relationship Id="rId57" Type="http://schemas.openxmlformats.org/officeDocument/2006/relationships/hyperlink" Target="mailto:e008585@grupopozos.mx" TargetMode="External"/><Relationship Id="rId10" Type="http://schemas.openxmlformats.org/officeDocument/2006/relationships/hyperlink" Target="mailto:domingoarenas11079@gmail.com" TargetMode="External"/><Relationship Id="rId31" Type="http://schemas.openxmlformats.org/officeDocument/2006/relationships/hyperlink" Target="mailto:anabel_ronquilloh@gmail.com" TargetMode="External"/><Relationship Id="rId44" Type="http://schemas.openxmlformats.org/officeDocument/2006/relationships/hyperlink" Target="mailto:diana.sanchez@zooy.com.mx" TargetMode="External"/><Relationship Id="rId52" Type="http://schemas.openxmlformats.org/officeDocument/2006/relationships/hyperlink" Target="mailto:juan.j.diaz@dhl.com" TargetMode="External"/><Relationship Id="rId60" Type="http://schemas.openxmlformats.org/officeDocument/2006/relationships/hyperlink" Target="mailto:direccion.puebla.academica@cescijuc.edu.mx" TargetMode="External"/><Relationship Id="rId65" Type="http://schemas.openxmlformats.org/officeDocument/2006/relationships/comments" Target="../comments1.xml"/><Relationship Id="rId4" Type="http://schemas.openxmlformats.org/officeDocument/2006/relationships/hyperlink" Target="mailto:tete221942@hotmail.com" TargetMode="External"/><Relationship Id="rId9" Type="http://schemas.openxmlformats.org/officeDocument/2006/relationships/hyperlink" Target="mailto:mobilforjadores@gmail.com" TargetMode="External"/><Relationship Id="rId13" Type="http://schemas.openxmlformats.org/officeDocument/2006/relationships/hyperlink" Target="mailto:blanca.barroeta@bbva.com" TargetMode="External"/><Relationship Id="rId18" Type="http://schemas.openxmlformats.org/officeDocument/2006/relationships/hyperlink" Target="mailto:oscar.galicia@bbva.com" TargetMode="External"/><Relationship Id="rId39" Type="http://schemas.openxmlformats.org/officeDocument/2006/relationships/hyperlink" Target="mailto:servicepoint.azs@dh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A0106-4EDF-4D58-B8A9-1C9CC54D9FE0}">
  <dimension ref="A1:LT200"/>
  <sheetViews>
    <sheetView topLeftCell="K1" workbookViewId="0">
      <selection activeCell="AA1" sqref="AA1"/>
    </sheetView>
  </sheetViews>
  <sheetFormatPr baseColWidth="10" defaultRowHeight="14.4" x14ac:dyDescent="0.3"/>
  <cols>
    <col min="5" max="5" width="16.33203125" customWidth="1"/>
    <col min="12" max="12" width="12" bestFit="1" customWidth="1"/>
    <col min="149" max="149" width="11.5546875" style="9"/>
    <col min="152" max="152" width="11.5546875" style="9"/>
    <col min="155" max="155" width="11.5546875" style="9"/>
    <col min="158" max="158" width="11.5546875" style="9"/>
    <col min="161" max="161" width="11.5546875" style="9"/>
    <col min="164" max="164" width="11.5546875" style="9"/>
    <col min="167" max="167" width="11.5546875" style="9"/>
    <col min="170" max="170" width="11.5546875" style="9"/>
    <col min="173" max="173" width="11.5546875" style="9"/>
  </cols>
  <sheetData>
    <row r="1" spans="1:332" x14ac:dyDescent="0.3">
      <c r="A1" t="s">
        <v>132</v>
      </c>
      <c r="B1" t="s">
        <v>135</v>
      </c>
      <c r="C1" t="s">
        <v>133</v>
      </c>
      <c r="D1" t="s">
        <v>134</v>
      </c>
      <c r="E1" t="s">
        <v>2604</v>
      </c>
      <c r="F1" t="s">
        <v>146</v>
      </c>
      <c r="G1" t="s">
        <v>144</v>
      </c>
      <c r="H1" t="s">
        <v>145</v>
      </c>
      <c r="I1" t="s">
        <v>136</v>
      </c>
      <c r="J1" t="s">
        <v>138</v>
      </c>
      <c r="K1" t="s">
        <v>139</v>
      </c>
      <c r="L1" t="s">
        <v>147</v>
      </c>
      <c r="M1" t="s">
        <v>148</v>
      </c>
      <c r="N1" t="s">
        <v>172</v>
      </c>
      <c r="O1" t="s">
        <v>173</v>
      </c>
      <c r="P1" t="s">
        <v>169</v>
      </c>
      <c r="Q1" t="s">
        <v>149</v>
      </c>
      <c r="R1" t="s">
        <v>150</v>
      </c>
      <c r="S1" t="s">
        <v>155</v>
      </c>
      <c r="T1" t="s">
        <v>156</v>
      </c>
      <c r="U1" t="s">
        <v>157</v>
      </c>
      <c r="V1" t="s">
        <v>158</v>
      </c>
      <c r="W1" t="s">
        <v>5</v>
      </c>
      <c r="X1" t="s">
        <v>159</v>
      </c>
      <c r="Y1" t="s">
        <v>160</v>
      </c>
      <c r="Z1" t="s">
        <v>153</v>
      </c>
      <c r="AA1" t="s">
        <v>154</v>
      </c>
      <c r="AC1" t="s">
        <v>137</v>
      </c>
      <c r="AD1" t="s">
        <v>1643</v>
      </c>
      <c r="AE1" t="s">
        <v>1644</v>
      </c>
      <c r="AO1" t="s">
        <v>161</v>
      </c>
      <c r="AP1" t="s">
        <v>162</v>
      </c>
      <c r="AQ1" t="s">
        <v>163</v>
      </c>
      <c r="AR1" t="s">
        <v>164</v>
      </c>
      <c r="AS1" t="s">
        <v>165</v>
      </c>
      <c r="AT1" t="s">
        <v>166</v>
      </c>
      <c r="AU1" t="s">
        <v>167</v>
      </c>
      <c r="AV1" t="s">
        <v>168</v>
      </c>
      <c r="AX1" t="s">
        <v>170</v>
      </c>
      <c r="AY1" t="s">
        <v>171</v>
      </c>
      <c r="BB1" t="s">
        <v>174</v>
      </c>
      <c r="BC1" t="s">
        <v>409</v>
      </c>
      <c r="BD1" t="s">
        <v>175</v>
      </c>
      <c r="BE1" t="s">
        <v>176</v>
      </c>
      <c r="BF1" t="s">
        <v>177</v>
      </c>
      <c r="BG1" t="s">
        <v>683</v>
      </c>
      <c r="BH1" t="s">
        <v>684</v>
      </c>
      <c r="BI1" t="s">
        <v>178</v>
      </c>
      <c r="BJ1" t="s">
        <v>179</v>
      </c>
      <c r="BK1" t="s">
        <v>398</v>
      </c>
      <c r="BL1" t="s">
        <v>181</v>
      </c>
      <c r="BM1" t="s">
        <v>410</v>
      </c>
      <c r="BN1" t="s">
        <v>182</v>
      </c>
      <c r="BO1" t="s">
        <v>407</v>
      </c>
      <c r="BP1" t="s">
        <v>7</v>
      </c>
      <c r="BQ1" t="s">
        <v>687</v>
      </c>
      <c r="BR1" t="s">
        <v>689</v>
      </c>
      <c r="BS1" t="s">
        <v>8</v>
      </c>
      <c r="BT1" t="s">
        <v>1648</v>
      </c>
      <c r="BU1" t="s">
        <v>1649</v>
      </c>
      <c r="BV1" t="s">
        <v>3</v>
      </c>
      <c r="BW1" t="s">
        <v>4</v>
      </c>
      <c r="BX1" t="s">
        <v>1969</v>
      </c>
      <c r="BY1" t="s">
        <v>1970</v>
      </c>
      <c r="BZ1" t="s">
        <v>1971</v>
      </c>
      <c r="CA1" t="s">
        <v>1972</v>
      </c>
      <c r="CB1" t="s">
        <v>1973</v>
      </c>
      <c r="CC1" t="s">
        <v>1974</v>
      </c>
      <c r="CD1" t="s">
        <v>1975</v>
      </c>
      <c r="CE1" t="s">
        <v>1976</v>
      </c>
      <c r="CF1" t="s">
        <v>1977</v>
      </c>
      <c r="CG1" t="s">
        <v>1978</v>
      </c>
      <c r="CH1" t="s">
        <v>1979</v>
      </c>
      <c r="CI1" t="s">
        <v>1980</v>
      </c>
      <c r="CJ1" t="s">
        <v>1981</v>
      </c>
      <c r="CK1" t="s">
        <v>1982</v>
      </c>
      <c r="CL1" t="s">
        <v>1983</v>
      </c>
      <c r="CM1" t="s">
        <v>1984</v>
      </c>
      <c r="CN1" t="s">
        <v>183</v>
      </c>
      <c r="CO1" t="s">
        <v>5</v>
      </c>
      <c r="CP1" t="s">
        <v>184</v>
      </c>
      <c r="CQ1" t="s">
        <v>185</v>
      </c>
      <c r="CR1" t="s">
        <v>186</v>
      </c>
      <c r="CS1" t="s">
        <v>6</v>
      </c>
      <c r="CT1" t="s">
        <v>187</v>
      </c>
      <c r="CU1" t="s">
        <v>188</v>
      </c>
      <c r="CV1" t="s">
        <v>189</v>
      </c>
      <c r="CW1" t="s">
        <v>530</v>
      </c>
      <c r="CX1" t="s">
        <v>9</v>
      </c>
      <c r="CY1" t="s">
        <v>10</v>
      </c>
      <c r="CZ1" t="s">
        <v>11</v>
      </c>
      <c r="DA1" t="s">
        <v>12</v>
      </c>
      <c r="DB1" t="s">
        <v>1650</v>
      </c>
      <c r="DC1" t="s">
        <v>13</v>
      </c>
      <c r="DD1" t="s">
        <v>554</v>
      </c>
      <c r="DE1" t="s">
        <v>561</v>
      </c>
      <c r="DF1" t="s">
        <v>560</v>
      </c>
      <c r="DG1" t="s">
        <v>15</v>
      </c>
      <c r="DH1" t="s">
        <v>16</v>
      </c>
      <c r="DI1" t="s">
        <v>17</v>
      </c>
      <c r="DJ1" t="s">
        <v>552</v>
      </c>
      <c r="DK1" t="s">
        <v>18</v>
      </c>
      <c r="DL1" t="s">
        <v>556</v>
      </c>
      <c r="DM1" t="s">
        <v>19</v>
      </c>
      <c r="DN1" t="s">
        <v>564</v>
      </c>
      <c r="DO1" t="s">
        <v>20</v>
      </c>
      <c r="DP1" t="s">
        <v>548</v>
      </c>
      <c r="DQ1" t="s">
        <v>22</v>
      </c>
      <c r="DR1" t="s">
        <v>558</v>
      </c>
      <c r="DS1" t="s">
        <v>23</v>
      </c>
      <c r="DT1" t="s">
        <v>550</v>
      </c>
      <c r="DU1" t="s">
        <v>190</v>
      </c>
      <c r="DV1" t="s">
        <v>191</v>
      </c>
      <c r="DW1" t="s">
        <v>192</v>
      </c>
      <c r="DX1" t="s">
        <v>193</v>
      </c>
      <c r="DY1" t="s">
        <v>1657</v>
      </c>
      <c r="DZ1" t="s">
        <v>1658</v>
      </c>
      <c r="EA1" t="s">
        <v>1659</v>
      </c>
      <c r="EB1" t="s">
        <v>1660</v>
      </c>
      <c r="EC1" t="s">
        <v>1665</v>
      </c>
      <c r="ED1" t="s">
        <v>1666</v>
      </c>
      <c r="EE1" t="s">
        <v>1667</v>
      </c>
      <c r="EF1" t="s">
        <v>1668</v>
      </c>
      <c r="EG1" t="s">
        <v>0</v>
      </c>
      <c r="EH1" t="s">
        <v>1</v>
      </c>
      <c r="EI1" t="s">
        <v>2</v>
      </c>
      <c r="EJ1" t="s">
        <v>194</v>
      </c>
      <c r="EK1" t="s">
        <v>195</v>
      </c>
      <c r="EL1" t="s">
        <v>196</v>
      </c>
      <c r="EM1" t="s">
        <v>197</v>
      </c>
      <c r="EN1" t="s">
        <v>198</v>
      </c>
      <c r="EO1" t="s">
        <v>583</v>
      </c>
      <c r="EP1" t="s">
        <v>199</v>
      </c>
      <c r="EQ1" t="s">
        <v>200</v>
      </c>
      <c r="ER1" t="s">
        <v>633</v>
      </c>
      <c r="ES1" s="9" t="s">
        <v>201</v>
      </c>
      <c r="ET1" t="s">
        <v>1651</v>
      </c>
      <c r="EU1" t="s">
        <v>634</v>
      </c>
      <c r="EV1" s="9" t="s">
        <v>202</v>
      </c>
      <c r="EW1" t="s">
        <v>567</v>
      </c>
      <c r="EX1" t="s">
        <v>635</v>
      </c>
      <c r="EY1" s="9" t="s">
        <v>203</v>
      </c>
      <c r="EZ1" t="s">
        <v>568</v>
      </c>
      <c r="FA1" t="s">
        <v>636</v>
      </c>
      <c r="FB1" s="9" t="s">
        <v>204</v>
      </c>
      <c r="FC1" t="s">
        <v>569</v>
      </c>
      <c r="FD1" t="s">
        <v>637</v>
      </c>
      <c r="FE1" s="9" t="s">
        <v>205</v>
      </c>
      <c r="FF1" t="s">
        <v>570</v>
      </c>
      <c r="FG1" t="s">
        <v>638</v>
      </c>
      <c r="FH1" s="9" t="s">
        <v>206</v>
      </c>
      <c r="FI1" t="s">
        <v>571</v>
      </c>
      <c r="FJ1" t="s">
        <v>639</v>
      </c>
      <c r="FK1" s="9" t="s">
        <v>207</v>
      </c>
      <c r="FL1" t="s">
        <v>572</v>
      </c>
      <c r="FM1" t="s">
        <v>640</v>
      </c>
      <c r="FN1" s="9" t="s">
        <v>208</v>
      </c>
      <c r="FO1" t="s">
        <v>573</v>
      </c>
      <c r="FP1" t="s">
        <v>641</v>
      </c>
      <c r="FQ1" s="9" t="s">
        <v>209</v>
      </c>
      <c r="FR1" t="s">
        <v>574</v>
      </c>
      <c r="FS1" t="s">
        <v>642</v>
      </c>
      <c r="FT1" t="s">
        <v>210</v>
      </c>
      <c r="FU1" t="s">
        <v>211</v>
      </c>
      <c r="FV1" t="s">
        <v>212</v>
      </c>
      <c r="FW1" t="s">
        <v>213</v>
      </c>
      <c r="FX1" t="s">
        <v>214</v>
      </c>
      <c r="FY1" t="s">
        <v>215</v>
      </c>
      <c r="FZ1" t="s">
        <v>216</v>
      </c>
      <c r="GA1" t="s">
        <v>217</v>
      </c>
      <c r="GB1" t="s">
        <v>218</v>
      </c>
      <c r="GC1" t="s">
        <v>219</v>
      </c>
      <c r="GD1" t="s">
        <v>220</v>
      </c>
      <c r="GE1" t="s">
        <v>221</v>
      </c>
      <c r="GF1" t="s">
        <v>1664</v>
      </c>
      <c r="GG1" t="s">
        <v>222</v>
      </c>
      <c r="GH1" t="s">
        <v>603</v>
      </c>
      <c r="GI1" t="s">
        <v>605</v>
      </c>
      <c r="GJ1" t="s">
        <v>623</v>
      </c>
      <c r="GK1" t="s">
        <v>604</v>
      </c>
      <c r="GL1" t="s">
        <v>606</v>
      </c>
      <c r="GM1" t="s">
        <v>624</v>
      </c>
      <c r="GN1" t="s">
        <v>699</v>
      </c>
      <c r="GO1" t="s">
        <v>700</v>
      </c>
      <c r="GP1" t="s">
        <v>46</v>
      </c>
      <c r="GQ1" t="s">
        <v>31</v>
      </c>
      <c r="GR1" t="s">
        <v>597</v>
      </c>
      <c r="GS1" t="s">
        <v>696</v>
      </c>
      <c r="GT1" t="s">
        <v>706</v>
      </c>
      <c r="GU1" t="s">
        <v>42</v>
      </c>
      <c r="GV1" t="s">
        <v>52</v>
      </c>
      <c r="GW1" t="s">
        <v>61</v>
      </c>
      <c r="GX1" t="s">
        <v>62</v>
      </c>
      <c r="GY1" t="s">
        <v>63</v>
      </c>
      <c r="GZ1" t="s">
        <v>53</v>
      </c>
      <c r="HA1" t="s">
        <v>54</v>
      </c>
      <c r="HB1" t="s">
        <v>55</v>
      </c>
      <c r="HC1" t="s">
        <v>56</v>
      </c>
      <c r="HD1" t="s">
        <v>57</v>
      </c>
      <c r="HE1" t="s">
        <v>58</v>
      </c>
      <c r="HF1" t="s">
        <v>59</v>
      </c>
      <c r="HG1" t="s">
        <v>60</v>
      </c>
      <c r="HH1" t="s">
        <v>703</v>
      </c>
      <c r="HI1" t="s">
        <v>1677</v>
      </c>
      <c r="HJ1" t="s">
        <v>404</v>
      </c>
      <c r="HK1" t="s">
        <v>76</v>
      </c>
      <c r="HL1" t="s">
        <v>1674</v>
      </c>
      <c r="HM1" t="s">
        <v>1675</v>
      </c>
      <c r="HN1" t="s">
        <v>1676</v>
      </c>
      <c r="HO1" t="s">
        <v>701</v>
      </c>
      <c r="HP1" t="s">
        <v>413</v>
      </c>
      <c r="HQ1" t="s">
        <v>74</v>
      </c>
      <c r="HR1" t="s">
        <v>918</v>
      </c>
      <c r="HS1" t="s">
        <v>30</v>
      </c>
      <c r="HT1" t="s">
        <v>600</v>
      </c>
      <c r="HU1" t="s">
        <v>395</v>
      </c>
      <c r="HV1" t="s">
        <v>73</v>
      </c>
      <c r="HW1" t="s">
        <v>709</v>
      </c>
      <c r="HX1" t="s">
        <v>710</v>
      </c>
      <c r="HY1" t="s">
        <v>38</v>
      </c>
      <c r="HZ1" t="s">
        <v>39</v>
      </c>
      <c r="IA1" t="s">
        <v>40</v>
      </c>
      <c r="IB1" t="s">
        <v>41</v>
      </c>
      <c r="IC1" t="s">
        <v>24</v>
      </c>
      <c r="ID1" t="s">
        <v>691</v>
      </c>
      <c r="IE1" t="s">
        <v>35</v>
      </c>
      <c r="IF1" t="s">
        <v>36</v>
      </c>
      <c r="IG1" t="s">
        <v>591</v>
      </c>
      <c r="IH1" t="s">
        <v>594</v>
      </c>
      <c r="II1" t="s">
        <v>714</v>
      </c>
      <c r="IJ1" t="s">
        <v>707</v>
      </c>
      <c r="IK1" t="s">
        <v>712</v>
      </c>
      <c r="IL1" t="s">
        <v>708</v>
      </c>
      <c r="IM1" t="s">
        <v>713</v>
      </c>
      <c r="IN1" t="s">
        <v>33</v>
      </c>
      <c r="IO1" t="s">
        <v>705</v>
      </c>
      <c r="IP1" t="s">
        <v>704</v>
      </c>
      <c r="IQ1" t="s">
        <v>51</v>
      </c>
      <c r="IR1" t="s">
        <v>25</v>
      </c>
      <c r="IS1" t="s">
        <v>26</v>
      </c>
      <c r="IT1" t="s">
        <v>402</v>
      </c>
      <c r="IU1" t="s">
        <v>803</v>
      </c>
      <c r="IV1" t="s">
        <v>804</v>
      </c>
      <c r="IW1" t="s">
        <v>27</v>
      </c>
      <c r="IX1" t="s">
        <v>1681</v>
      </c>
      <c r="IY1" t="s">
        <v>586</v>
      </c>
      <c r="IZ1" t="s">
        <v>1683</v>
      </c>
      <c r="JA1" t="s">
        <v>1684</v>
      </c>
      <c r="JB1" t="s">
        <v>28</v>
      </c>
      <c r="JC1" t="s">
        <v>29</v>
      </c>
      <c r="JD1" t="s">
        <v>79</v>
      </c>
      <c r="JE1" t="s">
        <v>71</v>
      </c>
      <c r="JF1" t="s">
        <v>588</v>
      </c>
      <c r="JG1" t="s">
        <v>21</v>
      </c>
      <c r="JH1" t="s">
        <v>47</v>
      </c>
      <c r="JI1" t="s">
        <v>48</v>
      </c>
      <c r="JJ1" t="s">
        <v>49</v>
      </c>
      <c r="JK1" t="s">
        <v>50</v>
      </c>
      <c r="JL1" t="s">
        <v>72</v>
      </c>
      <c r="JM1" t="s">
        <v>77</v>
      </c>
      <c r="JN1" t="s">
        <v>37</v>
      </c>
      <c r="JO1" t="s">
        <v>1682</v>
      </c>
      <c r="JP1" t="s">
        <v>1678</v>
      </c>
      <c r="JQ1" t="s">
        <v>1679</v>
      </c>
      <c r="JR1" t="s">
        <v>1680</v>
      </c>
      <c r="JS1" t="s">
        <v>43</v>
      </c>
      <c r="JT1" t="s">
        <v>44</v>
      </c>
      <c r="JU1" t="s">
        <v>338</v>
      </c>
      <c r="JV1" t="s">
        <v>45</v>
      </c>
      <c r="JW1" t="s">
        <v>64</v>
      </c>
      <c r="JX1" t="s">
        <v>65</v>
      </c>
      <c r="JY1" t="s">
        <v>66</v>
      </c>
      <c r="JZ1" t="s">
        <v>67</v>
      </c>
      <c r="KA1" t="s">
        <v>68</v>
      </c>
      <c r="KB1" t="s">
        <v>69</v>
      </c>
      <c r="KC1" t="s">
        <v>702</v>
      </c>
      <c r="KD1" t="s">
        <v>32</v>
      </c>
      <c r="KE1" t="s">
        <v>14</v>
      </c>
      <c r="KF1" t="s">
        <v>78</v>
      </c>
      <c r="KG1" t="s">
        <v>70</v>
      </c>
      <c r="KH1" t="s">
        <v>34</v>
      </c>
      <c r="KI1" t="s">
        <v>80</v>
      </c>
      <c r="KJ1" t="s">
        <v>75</v>
      </c>
      <c r="KK1" t="s">
        <v>180</v>
      </c>
      <c r="KL1" t="s">
        <v>711</v>
      </c>
      <c r="KM1" t="s">
        <v>1685</v>
      </c>
      <c r="KN1" t="s">
        <v>607</v>
      </c>
      <c r="KO1" t="s">
        <v>608</v>
      </c>
      <c r="KP1" t="s">
        <v>625</v>
      </c>
      <c r="KQ1" t="s">
        <v>609</v>
      </c>
      <c r="KR1" t="s">
        <v>610</v>
      </c>
      <c r="KS1" t="s">
        <v>626</v>
      </c>
      <c r="KT1" t="s">
        <v>611</v>
      </c>
      <c r="KU1" t="s">
        <v>612</v>
      </c>
      <c r="KV1" t="s">
        <v>627</v>
      </c>
      <c r="KW1" t="s">
        <v>613</v>
      </c>
      <c r="KX1" t="s">
        <v>614</v>
      </c>
      <c r="KY1" t="s">
        <v>628</v>
      </c>
      <c r="KZ1" t="s">
        <v>615</v>
      </c>
      <c r="LA1" t="s">
        <v>616</v>
      </c>
      <c r="LB1" t="s">
        <v>629</v>
      </c>
      <c r="LC1" t="s">
        <v>617</v>
      </c>
      <c r="LD1" t="s">
        <v>618</v>
      </c>
      <c r="LE1" t="s">
        <v>630</v>
      </c>
      <c r="LF1" t="s">
        <v>619</v>
      </c>
      <c r="LG1" t="s">
        <v>620</v>
      </c>
      <c r="LH1" t="s">
        <v>631</v>
      </c>
      <c r="LI1" t="s">
        <v>621</v>
      </c>
      <c r="LJ1" t="s">
        <v>622</v>
      </c>
      <c r="LK1" t="s">
        <v>632</v>
      </c>
      <c r="LL1" t="s">
        <v>1628</v>
      </c>
      <c r="LM1" t="s">
        <v>1629</v>
      </c>
      <c r="LN1" t="s">
        <v>1630</v>
      </c>
      <c r="LO1" t="s">
        <v>1631</v>
      </c>
      <c r="LP1" t="s">
        <v>1632</v>
      </c>
      <c r="LQ1" t="s">
        <v>1633</v>
      </c>
      <c r="LR1" t="s">
        <v>1634</v>
      </c>
      <c r="LS1" t="s">
        <v>1635</v>
      </c>
      <c r="LT1" t="s">
        <v>1636</v>
      </c>
    </row>
    <row r="2" spans="1:332" x14ac:dyDescent="0.3">
      <c r="A2">
        <v>1</v>
      </c>
      <c r="B2" t="s">
        <v>493</v>
      </c>
      <c r="C2" t="s">
        <v>416</v>
      </c>
      <c r="D2" t="s">
        <v>417</v>
      </c>
      <c r="E2" t="s">
        <v>2605</v>
      </c>
      <c r="F2">
        <v>74000</v>
      </c>
      <c r="G2" t="s">
        <v>420</v>
      </c>
      <c r="H2" t="s">
        <v>421</v>
      </c>
      <c r="I2" t="s">
        <v>418</v>
      </c>
      <c r="J2" t="s">
        <v>454</v>
      </c>
      <c r="K2" t="s">
        <v>419</v>
      </c>
      <c r="L2">
        <v>2484877287</v>
      </c>
      <c r="M2" s="2" t="s">
        <v>422</v>
      </c>
      <c r="N2" t="s">
        <v>427</v>
      </c>
      <c r="O2" t="s">
        <v>428</v>
      </c>
      <c r="P2">
        <v>3</v>
      </c>
      <c r="Q2">
        <v>9</v>
      </c>
      <c r="R2" t="s">
        <v>423</v>
      </c>
      <c r="S2">
        <v>1</v>
      </c>
      <c r="T2">
        <v>3</v>
      </c>
      <c r="U2">
        <v>1</v>
      </c>
      <c r="V2">
        <v>1</v>
      </c>
      <c r="W2">
        <v>3</v>
      </c>
      <c r="Y2" t="s">
        <v>424</v>
      </c>
      <c r="Z2">
        <v>384.25</v>
      </c>
      <c r="AA2">
        <v>1228</v>
      </c>
      <c r="AO2" t="s">
        <v>425</v>
      </c>
      <c r="AP2" t="s">
        <v>426</v>
      </c>
      <c r="AQ2">
        <v>21</v>
      </c>
      <c r="AR2">
        <v>0</v>
      </c>
      <c r="AS2">
        <v>8</v>
      </c>
      <c r="AT2">
        <v>13</v>
      </c>
      <c r="AU2">
        <v>0</v>
      </c>
      <c r="AV2">
        <v>0</v>
      </c>
      <c r="AX2">
        <v>300</v>
      </c>
      <c r="AY2">
        <v>6</v>
      </c>
      <c r="BB2" s="3">
        <f t="shared" ref="BB2:BB33" si="0">+BC2+BE2+BO2+CN2+CO2+CP2+CQ2+CR2+CS2+DG2</f>
        <v>27</v>
      </c>
      <c r="BC2">
        <v>1</v>
      </c>
      <c r="BD2" t="s">
        <v>429</v>
      </c>
      <c r="BE2">
        <v>8</v>
      </c>
      <c r="BF2" t="s">
        <v>430</v>
      </c>
      <c r="BM2">
        <v>2</v>
      </c>
      <c r="BN2" t="s">
        <v>431</v>
      </c>
      <c r="BO2">
        <v>3</v>
      </c>
      <c r="BP2" t="s">
        <v>459</v>
      </c>
      <c r="BS2" t="s">
        <v>460</v>
      </c>
      <c r="BV2">
        <v>5</v>
      </c>
      <c r="BW2" t="s">
        <v>432</v>
      </c>
      <c r="CN2">
        <v>7</v>
      </c>
      <c r="CO2">
        <v>3</v>
      </c>
      <c r="CP2">
        <v>2</v>
      </c>
      <c r="CR2">
        <v>1</v>
      </c>
      <c r="CS2">
        <v>2</v>
      </c>
      <c r="CT2">
        <v>1</v>
      </c>
      <c r="CU2" s="3">
        <f>+CV2+CX2+CY2+CZ2+DA2</f>
        <v>0</v>
      </c>
      <c r="DO2">
        <v>3</v>
      </c>
      <c r="DP2" t="s">
        <v>432</v>
      </c>
      <c r="EG2">
        <v>15</v>
      </c>
      <c r="EH2" t="s">
        <v>433</v>
      </c>
      <c r="EI2">
        <v>2024</v>
      </c>
      <c r="EJ2" t="s">
        <v>434</v>
      </c>
      <c r="EK2" t="s">
        <v>435</v>
      </c>
      <c r="EL2" t="s">
        <v>436</v>
      </c>
      <c r="EM2" t="s">
        <v>437</v>
      </c>
      <c r="EN2" t="s">
        <v>438</v>
      </c>
      <c r="EP2" t="s">
        <v>439</v>
      </c>
      <c r="EQ2" t="s">
        <v>440</v>
      </c>
      <c r="ES2" s="9" t="s">
        <v>441</v>
      </c>
      <c r="EV2" s="9" t="s">
        <v>442</v>
      </c>
      <c r="EY2" s="9" t="s">
        <v>443</v>
      </c>
      <c r="FB2" s="9" t="s">
        <v>444</v>
      </c>
      <c r="FE2" s="9" t="s">
        <v>445</v>
      </c>
      <c r="FH2" s="9" t="s">
        <v>446</v>
      </c>
      <c r="FK2" s="9" t="s">
        <v>447</v>
      </c>
      <c r="FN2" s="9" t="s">
        <v>448</v>
      </c>
      <c r="FQ2" s="9" t="s">
        <v>449</v>
      </c>
      <c r="FU2">
        <v>0</v>
      </c>
      <c r="FV2" s="3">
        <f>+FU2/3000</f>
        <v>0</v>
      </c>
      <c r="FW2" t="s">
        <v>450</v>
      </c>
      <c r="FX2">
        <v>30</v>
      </c>
      <c r="FY2" s="3">
        <f>+FX2/1400</f>
        <v>2.1428571428571429E-2</v>
      </c>
      <c r="FZ2" t="s">
        <v>451</v>
      </c>
      <c r="GA2">
        <v>20</v>
      </c>
      <c r="GB2" s="3">
        <f>+GA2/2000</f>
        <v>0.01</v>
      </c>
      <c r="GC2" t="s">
        <v>452</v>
      </c>
      <c r="GD2">
        <v>7000</v>
      </c>
      <c r="GE2" s="3">
        <f>+GD2/15000</f>
        <v>0.46666666666666667</v>
      </c>
      <c r="GF2" s="3">
        <f t="shared" ref="GF2:GF12" si="1">+FV2+FY2+GB2+GE2</f>
        <v>0.49809523809523809</v>
      </c>
      <c r="GG2" s="3" t="str">
        <f t="shared" ref="GG2:GG33" si="2">IF(AA2&gt;=3000,"ALTO",IF(GF2&gt;=1,"ALTO","ORDINARIO"))</f>
        <v>ORDINARIO</v>
      </c>
    </row>
    <row r="3" spans="1:332" x14ac:dyDescent="0.3">
      <c r="A3">
        <v>2</v>
      </c>
      <c r="B3" t="s">
        <v>494</v>
      </c>
      <c r="C3" t="s">
        <v>416</v>
      </c>
      <c r="D3" t="s">
        <v>417</v>
      </c>
      <c r="E3" t="s">
        <v>2606</v>
      </c>
      <c r="F3">
        <v>74080</v>
      </c>
      <c r="G3" t="s">
        <v>420</v>
      </c>
      <c r="H3" t="s">
        <v>421</v>
      </c>
      <c r="I3" t="s">
        <v>418</v>
      </c>
      <c r="J3" t="s">
        <v>453</v>
      </c>
      <c r="K3" t="s">
        <v>419</v>
      </c>
      <c r="L3">
        <v>2482407287</v>
      </c>
      <c r="M3" s="2" t="s">
        <v>455</v>
      </c>
      <c r="N3" t="s">
        <v>427</v>
      </c>
      <c r="O3" t="s">
        <v>428</v>
      </c>
      <c r="P3">
        <v>3</v>
      </c>
      <c r="Q3">
        <v>12</v>
      </c>
      <c r="R3" t="s">
        <v>456</v>
      </c>
      <c r="S3">
        <v>1</v>
      </c>
      <c r="T3">
        <v>1</v>
      </c>
      <c r="U3">
        <v>1</v>
      </c>
      <c r="V3">
        <v>1</v>
      </c>
      <c r="W3">
        <v>0</v>
      </c>
      <c r="X3">
        <v>0</v>
      </c>
      <c r="Y3" t="s">
        <v>457</v>
      </c>
      <c r="Z3">
        <v>358</v>
      </c>
      <c r="AA3">
        <v>358</v>
      </c>
      <c r="AO3" t="s">
        <v>425</v>
      </c>
      <c r="AP3" t="s">
        <v>458</v>
      </c>
      <c r="AQ3">
        <v>14</v>
      </c>
      <c r="AR3">
        <v>0</v>
      </c>
      <c r="AS3">
        <v>4</v>
      </c>
      <c r="AT3">
        <v>10</v>
      </c>
      <c r="AU3">
        <v>0</v>
      </c>
      <c r="AV3">
        <v>0</v>
      </c>
      <c r="AX3">
        <v>300</v>
      </c>
      <c r="AY3">
        <v>5</v>
      </c>
      <c r="BB3" s="3">
        <f t="shared" si="0"/>
        <v>23</v>
      </c>
      <c r="BC3">
        <v>1</v>
      </c>
      <c r="BD3" t="s">
        <v>429</v>
      </c>
      <c r="BE3">
        <v>5</v>
      </c>
      <c r="BF3" t="s">
        <v>430</v>
      </c>
      <c r="BM3">
        <v>2</v>
      </c>
      <c r="BN3" t="s">
        <v>429</v>
      </c>
      <c r="BO3">
        <v>3</v>
      </c>
      <c r="BP3" t="s">
        <v>459</v>
      </c>
      <c r="BS3" t="s">
        <v>460</v>
      </c>
      <c r="BV3">
        <v>4</v>
      </c>
      <c r="BW3" t="s">
        <v>432</v>
      </c>
      <c r="CN3">
        <v>9</v>
      </c>
      <c r="CP3">
        <v>2</v>
      </c>
      <c r="CR3">
        <v>1</v>
      </c>
      <c r="CS3">
        <v>2</v>
      </c>
      <c r="CT3">
        <v>1</v>
      </c>
      <c r="CU3" s="3">
        <f t="shared" ref="CU3:CU12" si="3">+CV3+CX3+CY3+CZ3+DA3</f>
        <v>0</v>
      </c>
      <c r="DO3">
        <v>6</v>
      </c>
      <c r="DP3" t="s">
        <v>432</v>
      </c>
      <c r="EG3">
        <v>15</v>
      </c>
      <c r="EH3" t="s">
        <v>433</v>
      </c>
      <c r="EI3">
        <v>2024</v>
      </c>
      <c r="EJ3" t="s">
        <v>461</v>
      </c>
      <c r="EK3" t="s">
        <v>462</v>
      </c>
      <c r="EL3" t="s">
        <v>463</v>
      </c>
      <c r="EM3" t="s">
        <v>464</v>
      </c>
      <c r="EN3" t="s">
        <v>465</v>
      </c>
      <c r="EP3" t="s">
        <v>439</v>
      </c>
      <c r="EQ3" t="s">
        <v>440</v>
      </c>
      <c r="ES3" s="9" t="s">
        <v>466</v>
      </c>
      <c r="EV3" s="9" t="s">
        <v>467</v>
      </c>
      <c r="EY3" s="9" t="s">
        <v>468</v>
      </c>
      <c r="FB3" s="9" t="s">
        <v>469</v>
      </c>
      <c r="FE3" s="9" t="s">
        <v>470</v>
      </c>
      <c r="FH3" s="9" t="s">
        <v>471</v>
      </c>
      <c r="FK3" s="9" t="s">
        <v>472</v>
      </c>
      <c r="FN3" s="9" t="s">
        <v>473</v>
      </c>
      <c r="FQ3" s="9" t="s">
        <v>474</v>
      </c>
      <c r="FU3">
        <v>0</v>
      </c>
      <c r="FV3" s="3">
        <f t="shared" ref="FV3:FV12" si="4">+FU3/3000</f>
        <v>0</v>
      </c>
      <c r="FX3">
        <v>0</v>
      </c>
      <c r="FY3" s="3">
        <f t="shared" ref="FY3:FY12" si="5">+FX3/1400</f>
        <v>0</v>
      </c>
      <c r="GA3">
        <v>0</v>
      </c>
      <c r="GB3" s="3">
        <f t="shared" ref="GB3:GB12" si="6">+GA3/2000</f>
        <v>0</v>
      </c>
      <c r="GC3" t="s">
        <v>452</v>
      </c>
      <c r="GD3">
        <v>900</v>
      </c>
      <c r="GE3" s="3">
        <f t="shared" ref="GE3:GE12" si="7">+GD3/15000</f>
        <v>0.06</v>
      </c>
      <c r="GF3" s="3">
        <f t="shared" si="1"/>
        <v>0.06</v>
      </c>
      <c r="GG3" s="3" t="str">
        <f t="shared" si="2"/>
        <v>ORDINARIO</v>
      </c>
    </row>
    <row r="4" spans="1:332" x14ac:dyDescent="0.3">
      <c r="A4">
        <v>3</v>
      </c>
      <c r="B4" t="s">
        <v>495</v>
      </c>
      <c r="C4" t="s">
        <v>416</v>
      </c>
      <c r="D4" t="s">
        <v>417</v>
      </c>
      <c r="E4" t="s">
        <v>2607</v>
      </c>
      <c r="F4">
        <v>74000</v>
      </c>
      <c r="G4" t="s">
        <v>420</v>
      </c>
      <c r="H4" t="s">
        <v>421</v>
      </c>
      <c r="I4" t="s">
        <v>418</v>
      </c>
      <c r="J4" t="s">
        <v>454</v>
      </c>
      <c r="K4" t="s">
        <v>419</v>
      </c>
      <c r="L4">
        <v>2481122080</v>
      </c>
      <c r="M4" s="2" t="s">
        <v>476</v>
      </c>
      <c r="N4" t="s">
        <v>427</v>
      </c>
      <c r="O4" t="s">
        <v>428</v>
      </c>
      <c r="P4">
        <v>3</v>
      </c>
      <c r="Q4">
        <v>8</v>
      </c>
      <c r="R4" t="s">
        <v>477</v>
      </c>
      <c r="S4">
        <v>1</v>
      </c>
      <c r="T4">
        <v>1</v>
      </c>
      <c r="U4">
        <v>1</v>
      </c>
      <c r="V4">
        <v>1</v>
      </c>
      <c r="W4">
        <v>1</v>
      </c>
      <c r="Y4" t="s">
        <v>457</v>
      </c>
      <c r="Z4">
        <v>1069</v>
      </c>
      <c r="AA4">
        <v>1389</v>
      </c>
      <c r="AO4" t="s">
        <v>425</v>
      </c>
      <c r="AP4" t="s">
        <v>478</v>
      </c>
      <c r="AQ4">
        <v>17</v>
      </c>
      <c r="AR4">
        <v>0</v>
      </c>
      <c r="AS4">
        <v>5</v>
      </c>
      <c r="AT4">
        <v>12</v>
      </c>
      <c r="AU4">
        <v>0</v>
      </c>
      <c r="AV4">
        <v>0</v>
      </c>
      <c r="AX4">
        <v>300</v>
      </c>
      <c r="AY4">
        <v>4</v>
      </c>
      <c r="BB4" s="3">
        <f t="shared" si="0"/>
        <v>19</v>
      </c>
      <c r="BC4">
        <v>1</v>
      </c>
      <c r="BD4" t="s">
        <v>429</v>
      </c>
      <c r="BE4">
        <v>6</v>
      </c>
      <c r="BF4" t="s">
        <v>430</v>
      </c>
      <c r="BM4">
        <v>2</v>
      </c>
      <c r="BN4" t="s">
        <v>431</v>
      </c>
      <c r="BO4">
        <v>3</v>
      </c>
      <c r="BP4" t="s">
        <v>459</v>
      </c>
      <c r="BS4" t="s">
        <v>460</v>
      </c>
      <c r="BV4">
        <v>4</v>
      </c>
      <c r="BW4" t="s">
        <v>432</v>
      </c>
      <c r="CN4">
        <v>4</v>
      </c>
      <c r="CO4">
        <v>1</v>
      </c>
      <c r="CP4">
        <v>1</v>
      </c>
      <c r="CR4">
        <v>1</v>
      </c>
      <c r="CS4">
        <v>2</v>
      </c>
      <c r="CT4">
        <v>1</v>
      </c>
      <c r="CU4" s="3">
        <f t="shared" si="3"/>
        <v>0</v>
      </c>
      <c r="DO4">
        <v>4</v>
      </c>
      <c r="DP4" t="s">
        <v>432</v>
      </c>
      <c r="EG4">
        <v>16</v>
      </c>
      <c r="EH4" t="s">
        <v>433</v>
      </c>
      <c r="EI4">
        <v>2024</v>
      </c>
      <c r="EJ4" t="s">
        <v>479</v>
      </c>
      <c r="EK4" t="s">
        <v>480</v>
      </c>
      <c r="EL4" t="s">
        <v>475</v>
      </c>
      <c r="EM4" t="s">
        <v>481</v>
      </c>
      <c r="EN4" t="s">
        <v>482</v>
      </c>
      <c r="EP4" t="s">
        <v>439</v>
      </c>
      <c r="EQ4" t="s">
        <v>440</v>
      </c>
      <c r="ES4" s="9" t="s">
        <v>483</v>
      </c>
      <c r="EV4" s="9" t="s">
        <v>484</v>
      </c>
      <c r="EY4" s="9" t="s">
        <v>485</v>
      </c>
      <c r="FB4" s="9" t="s">
        <v>486</v>
      </c>
      <c r="FE4" s="9" t="s">
        <v>487</v>
      </c>
      <c r="FH4" s="9" t="s">
        <v>488</v>
      </c>
      <c r="FK4" s="9" t="s">
        <v>489</v>
      </c>
      <c r="FN4" s="9" t="s">
        <v>490</v>
      </c>
      <c r="FQ4" s="9" t="s">
        <v>491</v>
      </c>
      <c r="FU4">
        <v>0</v>
      </c>
      <c r="FV4" s="3">
        <f t="shared" si="4"/>
        <v>0</v>
      </c>
      <c r="FW4" t="s">
        <v>450</v>
      </c>
      <c r="FX4">
        <v>30</v>
      </c>
      <c r="FY4" s="3">
        <f t="shared" si="5"/>
        <v>2.1428571428571429E-2</v>
      </c>
      <c r="FZ4" t="s">
        <v>451</v>
      </c>
      <c r="GA4">
        <v>50</v>
      </c>
      <c r="GB4" s="3">
        <f t="shared" si="6"/>
        <v>2.5000000000000001E-2</v>
      </c>
      <c r="GC4" t="s">
        <v>452</v>
      </c>
      <c r="GD4">
        <v>5000</v>
      </c>
      <c r="GE4" s="3">
        <f t="shared" si="7"/>
        <v>0.33333333333333331</v>
      </c>
      <c r="GF4" s="3">
        <f t="shared" si="1"/>
        <v>0.37976190476190474</v>
      </c>
      <c r="GG4" s="3" t="str">
        <f t="shared" si="2"/>
        <v>ORDINARIO</v>
      </c>
    </row>
    <row r="5" spans="1:332" x14ac:dyDescent="0.3">
      <c r="A5">
        <v>4</v>
      </c>
      <c r="B5" t="s">
        <v>566</v>
      </c>
      <c r="C5" t="s">
        <v>416</v>
      </c>
      <c r="D5" t="s">
        <v>417</v>
      </c>
      <c r="E5" t="s">
        <v>2608</v>
      </c>
      <c r="F5">
        <v>74122</v>
      </c>
      <c r="G5" t="s">
        <v>420</v>
      </c>
      <c r="H5" t="s">
        <v>421</v>
      </c>
      <c r="I5" t="s">
        <v>418</v>
      </c>
      <c r="J5" t="s">
        <v>492</v>
      </c>
      <c r="K5" t="s">
        <v>419</v>
      </c>
      <c r="L5">
        <v>2481121470</v>
      </c>
      <c r="M5" s="2" t="s">
        <v>496</v>
      </c>
      <c r="N5" t="s">
        <v>427</v>
      </c>
      <c r="O5" t="s">
        <v>428</v>
      </c>
      <c r="P5">
        <v>3</v>
      </c>
      <c r="Q5">
        <v>5</v>
      </c>
      <c r="R5" t="s">
        <v>497</v>
      </c>
      <c r="S5">
        <v>1</v>
      </c>
      <c r="T5">
        <v>1</v>
      </c>
      <c r="U5">
        <v>1</v>
      </c>
      <c r="V5">
        <v>1</v>
      </c>
      <c r="W5">
        <v>0</v>
      </c>
      <c r="X5">
        <v>0</v>
      </c>
      <c r="Y5" t="s">
        <v>498</v>
      </c>
      <c r="Z5">
        <v>998.63</v>
      </c>
      <c r="AA5">
        <v>998.63</v>
      </c>
      <c r="AO5" t="s">
        <v>425</v>
      </c>
      <c r="AP5" t="s">
        <v>499</v>
      </c>
      <c r="AQ5">
        <v>15</v>
      </c>
      <c r="AR5">
        <v>0</v>
      </c>
      <c r="AS5">
        <v>5</v>
      </c>
      <c r="AT5">
        <v>10</v>
      </c>
      <c r="AU5">
        <v>0</v>
      </c>
      <c r="AV5">
        <v>0</v>
      </c>
      <c r="AX5">
        <v>300</v>
      </c>
      <c r="AY5">
        <v>4</v>
      </c>
      <c r="BB5" s="3">
        <f t="shared" si="0"/>
        <v>20</v>
      </c>
      <c r="BC5">
        <v>1</v>
      </c>
      <c r="BD5" t="s">
        <v>429</v>
      </c>
      <c r="BE5">
        <v>6</v>
      </c>
      <c r="BF5" t="s">
        <v>430</v>
      </c>
      <c r="BM5">
        <v>2</v>
      </c>
      <c r="BN5" t="s">
        <v>429</v>
      </c>
      <c r="BO5">
        <v>3</v>
      </c>
      <c r="BP5" t="s">
        <v>459</v>
      </c>
      <c r="BS5" t="s">
        <v>460</v>
      </c>
      <c r="BV5">
        <v>6</v>
      </c>
      <c r="BW5" t="s">
        <v>432</v>
      </c>
      <c r="CN5">
        <v>6</v>
      </c>
      <c r="CP5">
        <v>1</v>
      </c>
      <c r="CR5">
        <v>1</v>
      </c>
      <c r="CS5">
        <v>2</v>
      </c>
      <c r="CT5">
        <v>1</v>
      </c>
      <c r="CU5" s="3">
        <f t="shared" si="3"/>
        <v>0</v>
      </c>
      <c r="DO5">
        <v>4</v>
      </c>
      <c r="DP5" t="s">
        <v>432</v>
      </c>
      <c r="EG5">
        <v>16</v>
      </c>
      <c r="EH5" t="s">
        <v>433</v>
      </c>
      <c r="EI5">
        <v>2024</v>
      </c>
      <c r="EJ5" t="s">
        <v>500</v>
      </c>
      <c r="EK5" t="s">
        <v>501</v>
      </c>
      <c r="EL5" t="s">
        <v>502</v>
      </c>
      <c r="EM5" t="s">
        <v>503</v>
      </c>
      <c r="EN5" t="s">
        <v>504</v>
      </c>
      <c r="EP5" t="s">
        <v>439</v>
      </c>
      <c r="EQ5" t="s">
        <v>440</v>
      </c>
      <c r="ES5" s="9" t="s">
        <v>505</v>
      </c>
      <c r="EV5" s="9" t="s">
        <v>506</v>
      </c>
      <c r="EY5" s="9" t="s">
        <v>507</v>
      </c>
      <c r="FB5" s="9" t="s">
        <v>508</v>
      </c>
      <c r="FE5" s="9" t="s">
        <v>509</v>
      </c>
      <c r="FH5" s="9" t="s">
        <v>510</v>
      </c>
      <c r="FK5" s="9" t="s">
        <v>511</v>
      </c>
      <c r="FN5" s="9" t="s">
        <v>512</v>
      </c>
      <c r="FQ5" s="9" t="s">
        <v>513</v>
      </c>
      <c r="FU5">
        <v>0</v>
      </c>
      <c r="FV5" s="3">
        <f t="shared" si="4"/>
        <v>0</v>
      </c>
      <c r="FX5">
        <v>0</v>
      </c>
      <c r="FY5" s="3">
        <f t="shared" si="5"/>
        <v>0</v>
      </c>
      <c r="GA5">
        <v>0</v>
      </c>
      <c r="GB5" s="3">
        <f t="shared" si="6"/>
        <v>0</v>
      </c>
      <c r="GC5" t="s">
        <v>452</v>
      </c>
      <c r="GD5">
        <v>900</v>
      </c>
      <c r="GE5" s="3">
        <f t="shared" si="7"/>
        <v>0.06</v>
      </c>
      <c r="GF5" s="3">
        <f t="shared" si="1"/>
        <v>0.06</v>
      </c>
      <c r="GG5" s="3" t="str">
        <f t="shared" si="2"/>
        <v>ORDINARIO</v>
      </c>
    </row>
    <row r="6" spans="1:332" x14ac:dyDescent="0.3">
      <c r="A6">
        <v>5</v>
      </c>
      <c r="B6" t="s">
        <v>515</v>
      </c>
      <c r="C6" t="s">
        <v>541</v>
      </c>
      <c r="D6" t="s">
        <v>514</v>
      </c>
      <c r="E6" t="s">
        <v>2609</v>
      </c>
      <c r="F6">
        <v>75200</v>
      </c>
      <c r="G6" t="s">
        <v>519</v>
      </c>
      <c r="H6" t="s">
        <v>421</v>
      </c>
      <c r="I6" t="s">
        <v>516</v>
      </c>
      <c r="J6" t="s">
        <v>517</v>
      </c>
      <c r="K6" t="s">
        <v>518</v>
      </c>
      <c r="L6">
        <v>3316001931</v>
      </c>
      <c r="M6" s="2" t="s">
        <v>520</v>
      </c>
      <c r="N6" t="s">
        <v>524</v>
      </c>
      <c r="O6" t="s">
        <v>525</v>
      </c>
      <c r="P6">
        <v>2</v>
      </c>
      <c r="Q6">
        <v>12</v>
      </c>
      <c r="R6" t="s">
        <v>521</v>
      </c>
      <c r="S6">
        <v>3</v>
      </c>
      <c r="T6">
        <v>1</v>
      </c>
      <c r="U6">
        <v>2</v>
      </c>
      <c r="V6">
        <v>2</v>
      </c>
      <c r="W6">
        <v>0</v>
      </c>
      <c r="X6">
        <v>0</v>
      </c>
      <c r="Y6" t="s">
        <v>522</v>
      </c>
      <c r="Z6">
        <v>3250</v>
      </c>
      <c r="AA6">
        <v>254</v>
      </c>
      <c r="AO6" t="s">
        <v>523</v>
      </c>
      <c r="AP6" t="s">
        <v>523</v>
      </c>
      <c r="AQ6">
        <v>12</v>
      </c>
      <c r="AR6">
        <v>0</v>
      </c>
      <c r="AS6">
        <v>2</v>
      </c>
      <c r="AT6">
        <v>10</v>
      </c>
      <c r="AU6">
        <v>0</v>
      </c>
      <c r="AV6">
        <v>0</v>
      </c>
      <c r="AX6">
        <v>100</v>
      </c>
      <c r="AY6">
        <v>2</v>
      </c>
      <c r="BB6" s="3">
        <f t="shared" si="0"/>
        <v>55</v>
      </c>
      <c r="BC6">
        <v>1</v>
      </c>
      <c r="BD6" t="s">
        <v>526</v>
      </c>
      <c r="BE6">
        <v>12</v>
      </c>
      <c r="BF6" t="s">
        <v>527</v>
      </c>
      <c r="BO6">
        <v>2</v>
      </c>
      <c r="BP6" t="s">
        <v>459</v>
      </c>
      <c r="BS6" t="s">
        <v>528</v>
      </c>
      <c r="BV6">
        <v>4</v>
      </c>
      <c r="BW6" t="s">
        <v>529</v>
      </c>
      <c r="CN6">
        <v>16</v>
      </c>
      <c r="CP6">
        <v>11</v>
      </c>
      <c r="CR6">
        <v>2</v>
      </c>
      <c r="CS6">
        <v>11</v>
      </c>
      <c r="CT6">
        <v>2</v>
      </c>
      <c r="CU6" s="3">
        <f t="shared" si="3"/>
        <v>3</v>
      </c>
      <c r="CV6">
        <v>3</v>
      </c>
      <c r="CW6">
        <v>1</v>
      </c>
      <c r="DM6">
        <v>6</v>
      </c>
      <c r="EG6">
        <v>15</v>
      </c>
      <c r="EH6" t="s">
        <v>531</v>
      </c>
      <c r="EI6">
        <v>2024</v>
      </c>
      <c r="EJ6" t="s">
        <v>542</v>
      </c>
      <c r="EK6" t="s">
        <v>543</v>
      </c>
      <c r="EL6" t="s">
        <v>544</v>
      </c>
      <c r="EM6" t="s">
        <v>545</v>
      </c>
      <c r="EN6" t="s">
        <v>546</v>
      </c>
      <c r="EP6" t="s">
        <v>439</v>
      </c>
      <c r="EQ6" t="s">
        <v>440</v>
      </c>
      <c r="ES6" s="9" t="s">
        <v>532</v>
      </c>
      <c r="EV6" s="9" t="s">
        <v>533</v>
      </c>
      <c r="EY6" s="9" t="s">
        <v>534</v>
      </c>
      <c r="FB6" s="9" t="s">
        <v>535</v>
      </c>
      <c r="FE6" s="9" t="s">
        <v>536</v>
      </c>
      <c r="FH6" s="9" t="s">
        <v>537</v>
      </c>
      <c r="FK6" s="9" t="s">
        <v>538</v>
      </c>
      <c r="FN6" s="9" t="s">
        <v>539</v>
      </c>
      <c r="FQ6" s="9" t="s">
        <v>540</v>
      </c>
      <c r="FU6">
        <v>0</v>
      </c>
      <c r="FV6" s="3">
        <f t="shared" si="4"/>
        <v>0</v>
      </c>
      <c r="FX6">
        <v>0</v>
      </c>
      <c r="FY6" s="3">
        <f t="shared" si="5"/>
        <v>0</v>
      </c>
      <c r="GA6">
        <v>0</v>
      </c>
      <c r="GB6" s="3">
        <f t="shared" si="6"/>
        <v>0</v>
      </c>
      <c r="GC6" t="s">
        <v>452</v>
      </c>
      <c r="GD6">
        <v>2500</v>
      </c>
      <c r="GE6" s="3">
        <f t="shared" si="7"/>
        <v>0.16666666666666666</v>
      </c>
      <c r="GF6" s="3">
        <f t="shared" si="1"/>
        <v>0.16666666666666666</v>
      </c>
      <c r="GG6" s="3" t="str">
        <f t="shared" si="2"/>
        <v>ORDINARIO</v>
      </c>
    </row>
    <row r="7" spans="1:332" x14ac:dyDescent="0.3">
      <c r="A7">
        <v>6</v>
      </c>
      <c r="B7" t="s">
        <v>765</v>
      </c>
      <c r="C7" t="s">
        <v>565</v>
      </c>
      <c r="D7" t="s">
        <v>747</v>
      </c>
      <c r="E7" t="s">
        <v>2610</v>
      </c>
      <c r="F7">
        <v>72710</v>
      </c>
      <c r="G7" t="s">
        <v>732</v>
      </c>
      <c r="H7" t="s">
        <v>421</v>
      </c>
      <c r="I7" t="s">
        <v>729</v>
      </c>
      <c r="J7" t="s">
        <v>565</v>
      </c>
      <c r="K7" t="s">
        <v>731</v>
      </c>
      <c r="L7" t="s">
        <v>733</v>
      </c>
      <c r="M7" s="2" t="s">
        <v>734</v>
      </c>
      <c r="N7" t="s">
        <v>427</v>
      </c>
      <c r="O7" t="s">
        <v>428</v>
      </c>
      <c r="P7">
        <v>3</v>
      </c>
      <c r="Q7">
        <v>12</v>
      </c>
      <c r="R7" t="s">
        <v>735</v>
      </c>
      <c r="S7">
        <v>1</v>
      </c>
      <c r="T7">
        <v>2</v>
      </c>
      <c r="U7">
        <v>1</v>
      </c>
      <c r="V7">
        <v>1</v>
      </c>
      <c r="W7">
        <v>1</v>
      </c>
      <c r="X7">
        <v>0</v>
      </c>
      <c r="Y7" t="s">
        <v>457</v>
      </c>
      <c r="Z7">
        <v>1000</v>
      </c>
      <c r="AA7">
        <v>1000</v>
      </c>
      <c r="AC7" t="s">
        <v>730</v>
      </c>
      <c r="AO7" t="s">
        <v>736</v>
      </c>
      <c r="AP7" t="s">
        <v>1572</v>
      </c>
      <c r="AQ7">
        <v>9</v>
      </c>
      <c r="AR7">
        <v>0</v>
      </c>
      <c r="AS7">
        <v>5</v>
      </c>
      <c r="AT7">
        <v>4</v>
      </c>
      <c r="AU7">
        <v>0</v>
      </c>
      <c r="AV7">
        <v>0</v>
      </c>
      <c r="AX7">
        <v>200</v>
      </c>
      <c r="AY7">
        <v>4</v>
      </c>
      <c r="BB7" s="3">
        <f t="shared" si="0"/>
        <v>13</v>
      </c>
      <c r="BC7">
        <v>1</v>
      </c>
      <c r="BD7" t="s">
        <v>429</v>
      </c>
      <c r="BE7">
        <v>7</v>
      </c>
      <c r="BF7" t="s">
        <v>737</v>
      </c>
      <c r="BG7">
        <v>7</v>
      </c>
      <c r="BI7">
        <v>7</v>
      </c>
      <c r="BJ7" t="s">
        <v>772</v>
      </c>
      <c r="BK7">
        <v>3</v>
      </c>
      <c r="BL7" t="s">
        <v>1578</v>
      </c>
      <c r="BM7">
        <v>1</v>
      </c>
      <c r="BN7" t="s">
        <v>429</v>
      </c>
      <c r="BO7">
        <v>1</v>
      </c>
      <c r="BP7" t="s">
        <v>738</v>
      </c>
      <c r="BS7" t="s">
        <v>739</v>
      </c>
      <c r="BV7">
        <v>2</v>
      </c>
      <c r="BW7" t="s">
        <v>739</v>
      </c>
      <c r="CN7">
        <v>2</v>
      </c>
      <c r="CP7">
        <v>1</v>
      </c>
      <c r="CR7">
        <v>1</v>
      </c>
      <c r="CT7">
        <v>2</v>
      </c>
      <c r="CU7" s="3">
        <f t="shared" si="3"/>
        <v>24</v>
      </c>
      <c r="CV7">
        <v>8</v>
      </c>
      <c r="CW7">
        <v>2</v>
      </c>
      <c r="CX7">
        <v>8</v>
      </c>
      <c r="CY7">
        <v>8</v>
      </c>
      <c r="DS7">
        <v>1</v>
      </c>
      <c r="DT7" t="s">
        <v>758</v>
      </c>
      <c r="DU7">
        <v>3</v>
      </c>
      <c r="DV7">
        <v>40000</v>
      </c>
      <c r="DW7">
        <v>40000</v>
      </c>
      <c r="DX7">
        <v>80000</v>
      </c>
      <c r="EG7">
        <v>21</v>
      </c>
      <c r="EH7" t="s">
        <v>531</v>
      </c>
      <c r="EI7">
        <v>2024</v>
      </c>
      <c r="EJ7" t="s">
        <v>740</v>
      </c>
      <c r="EK7" t="s">
        <v>741</v>
      </c>
      <c r="EL7" t="s">
        <v>742</v>
      </c>
      <c r="EM7" t="s">
        <v>743</v>
      </c>
      <c r="EN7" t="s">
        <v>744</v>
      </c>
      <c r="EP7" t="s">
        <v>439</v>
      </c>
      <c r="EQ7" t="s">
        <v>440</v>
      </c>
      <c r="ES7" s="9" t="s">
        <v>1573</v>
      </c>
      <c r="EV7" s="9" t="s">
        <v>1574</v>
      </c>
      <c r="FB7" s="9" t="s">
        <v>1575</v>
      </c>
      <c r="FH7" s="9" t="s">
        <v>1576</v>
      </c>
      <c r="FN7" s="9" t="s">
        <v>1577</v>
      </c>
      <c r="FU7">
        <v>0</v>
      </c>
      <c r="FV7" s="3">
        <f t="shared" si="4"/>
        <v>0</v>
      </c>
      <c r="FW7" t="s">
        <v>451</v>
      </c>
      <c r="FX7">
        <v>80000</v>
      </c>
      <c r="FY7" s="3">
        <f t="shared" si="5"/>
        <v>57.142857142857146</v>
      </c>
      <c r="FZ7" t="s">
        <v>745</v>
      </c>
      <c r="GA7">
        <v>80200</v>
      </c>
      <c r="GB7" s="3">
        <f t="shared" si="6"/>
        <v>40.1</v>
      </c>
      <c r="GC7" t="s">
        <v>452</v>
      </c>
      <c r="GD7">
        <v>1000</v>
      </c>
      <c r="GE7" s="3">
        <f t="shared" si="7"/>
        <v>6.6666666666666666E-2</v>
      </c>
      <c r="GF7" s="3">
        <f t="shared" si="1"/>
        <v>97.30952380952381</v>
      </c>
      <c r="GG7" s="3" t="str">
        <f t="shared" si="2"/>
        <v>ALTO</v>
      </c>
    </row>
    <row r="8" spans="1:332" x14ac:dyDescent="0.3">
      <c r="A8">
        <v>7</v>
      </c>
      <c r="B8" t="s">
        <v>756</v>
      </c>
      <c r="C8" t="s">
        <v>565</v>
      </c>
      <c r="D8" t="s">
        <v>746</v>
      </c>
      <c r="E8" t="s">
        <v>2611</v>
      </c>
      <c r="F8">
        <v>74160</v>
      </c>
      <c r="G8" t="s">
        <v>750</v>
      </c>
      <c r="H8" t="s">
        <v>421</v>
      </c>
      <c r="I8" t="s">
        <v>748</v>
      </c>
      <c r="J8" t="s">
        <v>565</v>
      </c>
      <c r="K8" t="s">
        <v>731</v>
      </c>
      <c r="L8">
        <v>2482498271</v>
      </c>
      <c r="M8" s="2" t="s">
        <v>751</v>
      </c>
      <c r="N8" t="s">
        <v>427</v>
      </c>
      <c r="O8" t="s">
        <v>754</v>
      </c>
      <c r="P8">
        <v>2</v>
      </c>
      <c r="Q8">
        <v>32</v>
      </c>
      <c r="R8" t="s">
        <v>752</v>
      </c>
      <c r="S8">
        <v>1</v>
      </c>
      <c r="T8">
        <v>2</v>
      </c>
      <c r="U8">
        <v>1</v>
      </c>
      <c r="V8">
        <v>1</v>
      </c>
      <c r="W8">
        <v>1</v>
      </c>
      <c r="X8">
        <v>0</v>
      </c>
      <c r="Y8" t="s">
        <v>457</v>
      </c>
      <c r="Z8">
        <v>1700</v>
      </c>
      <c r="AA8">
        <v>1700</v>
      </c>
      <c r="AC8" t="s">
        <v>749</v>
      </c>
      <c r="AO8" t="s">
        <v>736</v>
      </c>
      <c r="AP8" t="s">
        <v>753</v>
      </c>
      <c r="AQ8">
        <v>6</v>
      </c>
      <c r="AR8">
        <v>0</v>
      </c>
      <c r="AS8">
        <v>5</v>
      </c>
      <c r="AT8">
        <v>1</v>
      </c>
      <c r="AU8">
        <v>0</v>
      </c>
      <c r="AV8">
        <v>0</v>
      </c>
      <c r="AX8">
        <v>200</v>
      </c>
      <c r="AY8">
        <v>4</v>
      </c>
      <c r="BB8" s="3">
        <f t="shared" si="0"/>
        <v>13</v>
      </c>
      <c r="BC8">
        <v>1</v>
      </c>
      <c r="BD8" t="s">
        <v>429</v>
      </c>
      <c r="BE8">
        <v>5</v>
      </c>
      <c r="BF8" t="s">
        <v>737</v>
      </c>
      <c r="BG8">
        <v>5</v>
      </c>
      <c r="BI8">
        <v>3</v>
      </c>
      <c r="BJ8" t="s">
        <v>755</v>
      </c>
      <c r="BK8">
        <v>3</v>
      </c>
      <c r="BL8" t="s">
        <v>757</v>
      </c>
      <c r="BO8">
        <v>1</v>
      </c>
      <c r="BP8" t="s">
        <v>738</v>
      </c>
      <c r="BS8" t="s">
        <v>1579</v>
      </c>
      <c r="CN8">
        <v>5</v>
      </c>
      <c r="CR8">
        <v>1</v>
      </c>
      <c r="CT8">
        <v>1</v>
      </c>
      <c r="CU8" s="3">
        <f t="shared" si="3"/>
        <v>26</v>
      </c>
      <c r="CV8">
        <v>10</v>
      </c>
      <c r="CX8">
        <v>8</v>
      </c>
      <c r="CY8">
        <v>8</v>
      </c>
      <c r="DS8">
        <v>1</v>
      </c>
      <c r="DT8" t="s">
        <v>758</v>
      </c>
      <c r="DU8">
        <v>3</v>
      </c>
      <c r="DV8">
        <v>100000</v>
      </c>
      <c r="DW8">
        <v>100000</v>
      </c>
      <c r="DX8">
        <v>80000</v>
      </c>
      <c r="EG8">
        <v>22</v>
      </c>
      <c r="EH8" t="s">
        <v>531</v>
      </c>
      <c r="EI8">
        <v>2024</v>
      </c>
      <c r="EJ8" t="s">
        <v>759</v>
      </c>
      <c r="EK8" t="s">
        <v>760</v>
      </c>
      <c r="EL8" t="s">
        <v>761</v>
      </c>
      <c r="EM8" t="s">
        <v>761</v>
      </c>
      <c r="EN8" t="s">
        <v>762</v>
      </c>
      <c r="EP8" t="s">
        <v>439</v>
      </c>
      <c r="EQ8" t="s">
        <v>440</v>
      </c>
      <c r="ES8" s="9" t="s">
        <v>763</v>
      </c>
      <c r="FH8" s="9" t="s">
        <v>764</v>
      </c>
      <c r="FU8">
        <v>0</v>
      </c>
      <c r="FV8" s="3">
        <f t="shared" si="4"/>
        <v>0</v>
      </c>
      <c r="FW8" t="s">
        <v>451</v>
      </c>
      <c r="FX8">
        <v>200000</v>
      </c>
      <c r="FY8" s="3">
        <f t="shared" si="5"/>
        <v>142.85714285714286</v>
      </c>
      <c r="FZ8" t="s">
        <v>745</v>
      </c>
      <c r="GA8">
        <v>80020</v>
      </c>
      <c r="GB8" s="3">
        <f t="shared" si="6"/>
        <v>40.01</v>
      </c>
      <c r="GC8" t="s">
        <v>452</v>
      </c>
      <c r="GD8">
        <v>1000</v>
      </c>
      <c r="GE8" s="3">
        <f t="shared" si="7"/>
        <v>6.6666666666666666E-2</v>
      </c>
      <c r="GF8" s="3">
        <f t="shared" si="1"/>
        <v>182.93380952380951</v>
      </c>
      <c r="GG8" s="3" t="str">
        <f t="shared" si="2"/>
        <v>ALTO</v>
      </c>
    </row>
    <row r="9" spans="1:332" x14ac:dyDescent="0.3">
      <c r="A9">
        <v>8</v>
      </c>
      <c r="B9" t="s">
        <v>767</v>
      </c>
      <c r="C9" t="s">
        <v>565</v>
      </c>
      <c r="D9" t="s">
        <v>766</v>
      </c>
      <c r="E9" t="s">
        <v>2612</v>
      </c>
      <c r="F9">
        <v>74160</v>
      </c>
      <c r="G9" t="s">
        <v>750</v>
      </c>
      <c r="H9" t="s">
        <v>421</v>
      </c>
      <c r="I9" t="s">
        <v>768</v>
      </c>
      <c r="J9" t="s">
        <v>565</v>
      </c>
      <c r="K9" t="s">
        <v>731</v>
      </c>
      <c r="L9">
        <v>2272762794</v>
      </c>
      <c r="M9" s="2" t="s">
        <v>770</v>
      </c>
      <c r="N9" t="s">
        <v>427</v>
      </c>
      <c r="O9" t="s">
        <v>428</v>
      </c>
      <c r="P9">
        <v>3</v>
      </c>
      <c r="Q9">
        <v>24</v>
      </c>
      <c r="R9" t="s">
        <v>771</v>
      </c>
      <c r="S9">
        <v>1</v>
      </c>
      <c r="T9">
        <v>2</v>
      </c>
      <c r="U9">
        <v>1</v>
      </c>
      <c r="V9">
        <v>1</v>
      </c>
      <c r="W9">
        <v>1</v>
      </c>
      <c r="X9">
        <v>0</v>
      </c>
      <c r="Y9" t="s">
        <v>424</v>
      </c>
      <c r="Z9">
        <v>5005</v>
      </c>
      <c r="AA9">
        <v>828</v>
      </c>
      <c r="AC9" t="s">
        <v>769</v>
      </c>
      <c r="AO9" t="s">
        <v>736</v>
      </c>
      <c r="AP9" t="s">
        <v>1020</v>
      </c>
      <c r="AQ9">
        <v>9</v>
      </c>
      <c r="AR9">
        <v>0</v>
      </c>
      <c r="AS9">
        <v>3</v>
      </c>
      <c r="AT9">
        <v>6</v>
      </c>
      <c r="AU9">
        <v>0</v>
      </c>
      <c r="AV9">
        <v>0</v>
      </c>
      <c r="AX9">
        <v>500</v>
      </c>
      <c r="AY9">
        <v>3</v>
      </c>
      <c r="BB9" s="3">
        <f t="shared" si="0"/>
        <v>18</v>
      </c>
      <c r="BC9">
        <v>1</v>
      </c>
      <c r="BD9" t="s">
        <v>429</v>
      </c>
      <c r="BE9">
        <v>8</v>
      </c>
      <c r="BF9" t="s">
        <v>737</v>
      </c>
      <c r="BG9">
        <v>7</v>
      </c>
      <c r="BH9">
        <v>1</v>
      </c>
      <c r="BI9">
        <v>9</v>
      </c>
      <c r="BJ9" t="s">
        <v>772</v>
      </c>
      <c r="BK9">
        <v>3</v>
      </c>
      <c r="BL9" t="s">
        <v>773</v>
      </c>
      <c r="BO9">
        <v>1</v>
      </c>
      <c r="BP9" t="s">
        <v>738</v>
      </c>
      <c r="BS9" t="s">
        <v>739</v>
      </c>
      <c r="BV9">
        <v>1</v>
      </c>
      <c r="BW9" t="s">
        <v>739</v>
      </c>
      <c r="CN9">
        <v>6</v>
      </c>
      <c r="CR9">
        <v>1</v>
      </c>
      <c r="CS9">
        <v>1</v>
      </c>
      <c r="CT9">
        <v>5</v>
      </c>
      <c r="CU9" s="3">
        <f t="shared" si="3"/>
        <v>24</v>
      </c>
      <c r="CV9">
        <v>8</v>
      </c>
      <c r="CX9">
        <v>8</v>
      </c>
      <c r="CY9">
        <v>8</v>
      </c>
      <c r="DS9">
        <v>2</v>
      </c>
      <c r="DT9" t="s">
        <v>758</v>
      </c>
      <c r="DU9">
        <v>3</v>
      </c>
      <c r="DV9">
        <v>40000</v>
      </c>
      <c r="DW9">
        <v>50000</v>
      </c>
      <c r="DX9">
        <v>60000</v>
      </c>
      <c r="EG9">
        <v>22</v>
      </c>
      <c r="EH9" t="s">
        <v>531</v>
      </c>
      <c r="EI9">
        <v>2024</v>
      </c>
      <c r="EJ9" t="s">
        <v>774</v>
      </c>
      <c r="EK9" t="s">
        <v>761</v>
      </c>
      <c r="EL9" t="s">
        <v>775</v>
      </c>
      <c r="EM9" t="s">
        <v>776</v>
      </c>
      <c r="EN9" t="s">
        <v>761</v>
      </c>
      <c r="EP9" t="s">
        <v>439</v>
      </c>
      <c r="EQ9" t="s">
        <v>440</v>
      </c>
      <c r="ES9" s="9" t="s">
        <v>777</v>
      </c>
      <c r="EV9" s="9" t="s">
        <v>778</v>
      </c>
      <c r="EY9" s="9" t="s">
        <v>779</v>
      </c>
      <c r="FB9" s="9" t="s">
        <v>780</v>
      </c>
      <c r="FE9" s="9" t="s">
        <v>781</v>
      </c>
      <c r="FH9" s="9" t="s">
        <v>782</v>
      </c>
      <c r="FK9" s="9" t="s">
        <v>783</v>
      </c>
      <c r="FN9" s="9" t="s">
        <v>814</v>
      </c>
      <c r="FU9">
        <v>0</v>
      </c>
      <c r="FV9" s="3">
        <f t="shared" si="4"/>
        <v>0</v>
      </c>
      <c r="FW9" t="s">
        <v>451</v>
      </c>
      <c r="FX9">
        <v>90000</v>
      </c>
      <c r="FY9" s="3">
        <f t="shared" si="5"/>
        <v>64.285714285714292</v>
      </c>
      <c r="FZ9" t="s">
        <v>745</v>
      </c>
      <c r="GA9">
        <v>6030</v>
      </c>
      <c r="GB9" s="3">
        <f t="shared" si="6"/>
        <v>3.0150000000000001</v>
      </c>
      <c r="GC9" t="s">
        <v>452</v>
      </c>
      <c r="GD9">
        <v>1000</v>
      </c>
      <c r="GE9" s="3">
        <f t="shared" si="7"/>
        <v>6.6666666666666666E-2</v>
      </c>
      <c r="GF9" s="3">
        <f t="shared" si="1"/>
        <v>67.367380952380955</v>
      </c>
      <c r="GG9" s="3" t="str">
        <f t="shared" si="2"/>
        <v>ALTO</v>
      </c>
    </row>
    <row r="10" spans="1:332" x14ac:dyDescent="0.3">
      <c r="A10">
        <v>9</v>
      </c>
      <c r="B10" t="s">
        <v>786</v>
      </c>
      <c r="C10" t="s">
        <v>565</v>
      </c>
      <c r="D10" t="s">
        <v>784</v>
      </c>
      <c r="E10" t="s">
        <v>2613</v>
      </c>
      <c r="F10">
        <v>72760</v>
      </c>
      <c r="G10" t="s">
        <v>789</v>
      </c>
      <c r="H10" t="s">
        <v>421</v>
      </c>
      <c r="I10" t="s">
        <v>787</v>
      </c>
      <c r="J10" t="s">
        <v>788</v>
      </c>
      <c r="K10" t="s">
        <v>731</v>
      </c>
      <c r="L10" t="s">
        <v>790</v>
      </c>
      <c r="M10" s="2" t="s">
        <v>791</v>
      </c>
      <c r="N10" t="s">
        <v>427</v>
      </c>
      <c r="O10" t="s">
        <v>428</v>
      </c>
      <c r="P10">
        <v>3</v>
      </c>
      <c r="Q10">
        <v>29</v>
      </c>
      <c r="R10" t="s">
        <v>792</v>
      </c>
      <c r="S10">
        <v>3</v>
      </c>
      <c r="T10">
        <v>2</v>
      </c>
      <c r="U10">
        <v>1</v>
      </c>
      <c r="V10">
        <v>4</v>
      </c>
      <c r="W10">
        <v>1</v>
      </c>
      <c r="X10">
        <v>0</v>
      </c>
      <c r="Y10" t="s">
        <v>522</v>
      </c>
      <c r="Z10">
        <v>4108.46</v>
      </c>
      <c r="AA10">
        <v>4108.46</v>
      </c>
      <c r="AC10" t="s">
        <v>785</v>
      </c>
      <c r="AO10" t="s">
        <v>736</v>
      </c>
      <c r="AP10" t="s">
        <v>1582</v>
      </c>
      <c r="AQ10">
        <v>16</v>
      </c>
      <c r="AR10">
        <v>0</v>
      </c>
      <c r="AS10">
        <v>7</v>
      </c>
      <c r="AT10">
        <v>9</v>
      </c>
      <c r="AU10">
        <v>0</v>
      </c>
      <c r="AV10">
        <v>0</v>
      </c>
      <c r="AX10">
        <v>500</v>
      </c>
      <c r="AY10">
        <v>4</v>
      </c>
      <c r="BB10" s="3">
        <f t="shared" si="0"/>
        <v>24</v>
      </c>
      <c r="BC10">
        <v>1</v>
      </c>
      <c r="BD10" t="s">
        <v>429</v>
      </c>
      <c r="BE10">
        <v>13</v>
      </c>
      <c r="BF10" t="s">
        <v>1583</v>
      </c>
      <c r="BG10">
        <v>13</v>
      </c>
      <c r="BI10">
        <v>9</v>
      </c>
      <c r="BJ10" t="s">
        <v>772</v>
      </c>
      <c r="BK10">
        <v>3</v>
      </c>
      <c r="BL10" t="s">
        <v>1578</v>
      </c>
      <c r="BO10">
        <v>1</v>
      </c>
      <c r="BP10" t="s">
        <v>738</v>
      </c>
      <c r="BS10" t="s">
        <v>739</v>
      </c>
      <c r="BV10">
        <v>1</v>
      </c>
      <c r="BW10" t="s">
        <v>739</v>
      </c>
      <c r="CN10">
        <v>3</v>
      </c>
      <c r="CP10">
        <v>4</v>
      </c>
      <c r="CR10">
        <v>1</v>
      </c>
      <c r="CS10">
        <v>1</v>
      </c>
      <c r="CT10">
        <v>5</v>
      </c>
      <c r="CU10" s="3">
        <f t="shared" si="3"/>
        <v>20</v>
      </c>
      <c r="CV10">
        <v>8</v>
      </c>
      <c r="CW10">
        <v>1</v>
      </c>
      <c r="CX10">
        <v>6</v>
      </c>
      <c r="CY10">
        <v>6</v>
      </c>
      <c r="DO10">
        <v>1</v>
      </c>
      <c r="DP10" t="s">
        <v>739</v>
      </c>
      <c r="DU10">
        <v>3</v>
      </c>
      <c r="DV10">
        <v>60000</v>
      </c>
      <c r="DW10">
        <v>80000</v>
      </c>
      <c r="DX10">
        <v>80000</v>
      </c>
      <c r="EG10">
        <v>20</v>
      </c>
      <c r="EH10" t="s">
        <v>531</v>
      </c>
      <c r="EI10">
        <v>2024</v>
      </c>
      <c r="EJ10" t="s">
        <v>793</v>
      </c>
      <c r="EK10" t="s">
        <v>794</v>
      </c>
      <c r="EL10" t="s">
        <v>795</v>
      </c>
      <c r="EM10" t="s">
        <v>796</v>
      </c>
      <c r="EN10" t="s">
        <v>544</v>
      </c>
      <c r="EP10" t="s">
        <v>439</v>
      </c>
      <c r="EQ10" t="s">
        <v>440</v>
      </c>
      <c r="ES10" s="9" t="s">
        <v>1584</v>
      </c>
      <c r="EV10" s="9" t="s">
        <v>1585</v>
      </c>
      <c r="EY10" s="9" t="s">
        <v>1586</v>
      </c>
      <c r="FB10" s="9" t="s">
        <v>1587</v>
      </c>
      <c r="FE10" s="9" t="s">
        <v>1588</v>
      </c>
      <c r="FH10" s="9" t="s">
        <v>1589</v>
      </c>
      <c r="FK10" s="9" t="s">
        <v>1590</v>
      </c>
      <c r="FN10" s="9" t="s">
        <v>1591</v>
      </c>
      <c r="FQ10" s="9" t="s">
        <v>1592</v>
      </c>
      <c r="FT10" t="s">
        <v>797</v>
      </c>
      <c r="FU10">
        <v>100</v>
      </c>
      <c r="FV10" s="3">
        <f t="shared" si="4"/>
        <v>3.3333333333333333E-2</v>
      </c>
      <c r="FW10" t="s">
        <v>451</v>
      </c>
      <c r="FX10">
        <v>140000</v>
      </c>
      <c r="FY10" s="3">
        <f t="shared" si="5"/>
        <v>100</v>
      </c>
      <c r="FZ10" t="s">
        <v>745</v>
      </c>
      <c r="GA10">
        <v>80130</v>
      </c>
      <c r="GB10" s="3">
        <f t="shared" si="6"/>
        <v>40.064999999999998</v>
      </c>
      <c r="GC10" t="s">
        <v>452</v>
      </c>
      <c r="GD10">
        <v>15000</v>
      </c>
      <c r="GE10" s="3">
        <f t="shared" si="7"/>
        <v>1</v>
      </c>
      <c r="GF10" s="3">
        <f t="shared" si="1"/>
        <v>141.09833333333333</v>
      </c>
      <c r="GG10" s="3" t="str">
        <f t="shared" si="2"/>
        <v>ALTO</v>
      </c>
    </row>
    <row r="11" spans="1:332" x14ac:dyDescent="0.3">
      <c r="A11">
        <v>10</v>
      </c>
      <c r="B11" t="s">
        <v>798</v>
      </c>
      <c r="C11" t="s">
        <v>565</v>
      </c>
      <c r="D11" t="s">
        <v>766</v>
      </c>
      <c r="E11" t="s">
        <v>2614</v>
      </c>
      <c r="F11">
        <v>74170</v>
      </c>
      <c r="G11" t="s">
        <v>799</v>
      </c>
      <c r="H11" t="s">
        <v>421</v>
      </c>
      <c r="I11" t="s">
        <v>768</v>
      </c>
      <c r="J11" t="s">
        <v>1612</v>
      </c>
      <c r="K11" t="s">
        <v>731</v>
      </c>
      <c r="L11" t="s">
        <v>800</v>
      </c>
      <c r="M11" s="2" t="s">
        <v>801</v>
      </c>
      <c r="N11" t="s">
        <v>427</v>
      </c>
      <c r="O11" t="s">
        <v>1613</v>
      </c>
      <c r="P11">
        <v>2</v>
      </c>
      <c r="Q11">
        <v>24</v>
      </c>
      <c r="R11" t="s">
        <v>802</v>
      </c>
      <c r="S11">
        <v>1</v>
      </c>
      <c r="T11">
        <v>2</v>
      </c>
      <c r="U11">
        <v>1</v>
      </c>
      <c r="V11">
        <v>1</v>
      </c>
      <c r="W11">
        <v>1</v>
      </c>
      <c r="X11">
        <v>0</v>
      </c>
      <c r="Y11" t="s">
        <v>457</v>
      </c>
      <c r="Z11">
        <v>2430</v>
      </c>
      <c r="AA11">
        <v>2430</v>
      </c>
      <c r="AC11" t="s">
        <v>1611</v>
      </c>
      <c r="AO11" t="s">
        <v>736</v>
      </c>
      <c r="AP11" t="s">
        <v>1614</v>
      </c>
      <c r="AQ11">
        <v>8</v>
      </c>
      <c r="AR11">
        <v>0</v>
      </c>
      <c r="AS11">
        <v>4</v>
      </c>
      <c r="AT11">
        <v>4</v>
      </c>
      <c r="AU11">
        <v>0</v>
      </c>
      <c r="AV11">
        <v>0</v>
      </c>
      <c r="AX11">
        <v>400</v>
      </c>
      <c r="AY11">
        <v>1</v>
      </c>
      <c r="BB11" s="3">
        <f t="shared" si="0"/>
        <v>10</v>
      </c>
      <c r="BC11">
        <v>1</v>
      </c>
      <c r="BD11" t="s">
        <v>429</v>
      </c>
      <c r="BE11">
        <v>6</v>
      </c>
      <c r="BF11" t="s">
        <v>737</v>
      </c>
      <c r="BG11">
        <v>6</v>
      </c>
      <c r="BI11">
        <v>5</v>
      </c>
      <c r="BJ11" t="s">
        <v>772</v>
      </c>
      <c r="BK11">
        <v>3</v>
      </c>
      <c r="BL11" t="s">
        <v>1615</v>
      </c>
      <c r="BM11">
        <v>1</v>
      </c>
      <c r="BN11" t="s">
        <v>429</v>
      </c>
      <c r="BO11">
        <v>1</v>
      </c>
      <c r="BP11" t="s">
        <v>738</v>
      </c>
      <c r="BS11" t="s">
        <v>739</v>
      </c>
      <c r="CP11">
        <v>1</v>
      </c>
      <c r="CR11">
        <v>1</v>
      </c>
      <c r="CT11">
        <v>3</v>
      </c>
      <c r="CU11" s="3">
        <f t="shared" si="3"/>
        <v>9</v>
      </c>
      <c r="CV11">
        <v>3</v>
      </c>
      <c r="CW11">
        <v>1</v>
      </c>
      <c r="CX11">
        <v>3</v>
      </c>
      <c r="CY11">
        <v>3</v>
      </c>
      <c r="DS11">
        <v>2</v>
      </c>
      <c r="DT11" t="s">
        <v>758</v>
      </c>
      <c r="DU11">
        <v>3</v>
      </c>
      <c r="DV11">
        <v>60000</v>
      </c>
      <c r="DW11">
        <v>40000</v>
      </c>
      <c r="DX11">
        <v>60000</v>
      </c>
      <c r="EG11">
        <v>21</v>
      </c>
      <c r="EH11" t="s">
        <v>531</v>
      </c>
      <c r="EI11">
        <v>2024</v>
      </c>
      <c r="EJ11" t="s">
        <v>1616</v>
      </c>
      <c r="EK11" t="s">
        <v>1617</v>
      </c>
      <c r="EL11" t="s">
        <v>1618</v>
      </c>
      <c r="EM11" t="s">
        <v>1619</v>
      </c>
      <c r="EN11" t="s">
        <v>544</v>
      </c>
      <c r="EP11" t="s">
        <v>439</v>
      </c>
      <c r="EQ11" t="s">
        <v>440</v>
      </c>
      <c r="ES11" s="9" t="s">
        <v>1620</v>
      </c>
      <c r="EV11" s="9" t="s">
        <v>1621</v>
      </c>
      <c r="FB11" s="9" t="s">
        <v>1622</v>
      </c>
      <c r="FH11" s="9" t="s">
        <v>1623</v>
      </c>
      <c r="FN11" s="9" t="s">
        <v>1624</v>
      </c>
      <c r="FU11">
        <v>0</v>
      </c>
      <c r="FV11" s="3">
        <f t="shared" si="4"/>
        <v>0</v>
      </c>
      <c r="FW11" t="s">
        <v>451</v>
      </c>
      <c r="FX11">
        <v>100000</v>
      </c>
      <c r="FY11" s="3">
        <f t="shared" si="5"/>
        <v>71.428571428571431</v>
      </c>
      <c r="FZ11" t="s">
        <v>745</v>
      </c>
      <c r="GA11">
        <v>60200</v>
      </c>
      <c r="GB11" s="3">
        <f t="shared" si="6"/>
        <v>30.1</v>
      </c>
      <c r="GC11" t="s">
        <v>452</v>
      </c>
      <c r="GD11">
        <v>15000</v>
      </c>
      <c r="GE11" s="3">
        <f t="shared" si="7"/>
        <v>1</v>
      </c>
      <c r="GF11" s="3">
        <f t="shared" si="1"/>
        <v>102.52857142857144</v>
      </c>
      <c r="GG11" s="3" t="str">
        <f t="shared" si="2"/>
        <v>ALTO</v>
      </c>
    </row>
    <row r="12" spans="1:332" x14ac:dyDescent="0.3">
      <c r="A12">
        <v>11</v>
      </c>
      <c r="B12" t="s">
        <v>1593</v>
      </c>
      <c r="C12" t="s">
        <v>565</v>
      </c>
      <c r="D12" t="s">
        <v>784</v>
      </c>
      <c r="E12" t="s">
        <v>2615</v>
      </c>
      <c r="F12">
        <v>72850</v>
      </c>
      <c r="G12" t="s">
        <v>1595</v>
      </c>
      <c r="H12" t="s">
        <v>421</v>
      </c>
      <c r="I12" t="s">
        <v>787</v>
      </c>
      <c r="J12" t="s">
        <v>565</v>
      </c>
      <c r="K12" t="s">
        <v>731</v>
      </c>
      <c r="L12">
        <v>2221296938</v>
      </c>
      <c r="M12" s="2" t="s">
        <v>1596</v>
      </c>
      <c r="N12" t="s">
        <v>427</v>
      </c>
      <c r="O12" t="s">
        <v>1599</v>
      </c>
      <c r="P12">
        <v>2</v>
      </c>
      <c r="Q12">
        <v>12</v>
      </c>
      <c r="R12" t="s">
        <v>1597</v>
      </c>
      <c r="S12">
        <v>1</v>
      </c>
      <c r="T12">
        <v>1</v>
      </c>
      <c r="U12">
        <v>1</v>
      </c>
      <c r="V12">
        <v>1</v>
      </c>
      <c r="W12">
        <v>1</v>
      </c>
      <c r="X12">
        <v>0</v>
      </c>
      <c r="Y12" t="s">
        <v>457</v>
      </c>
      <c r="Z12">
        <v>1247</v>
      </c>
      <c r="AA12">
        <v>1247</v>
      </c>
      <c r="AC12" t="s">
        <v>1594</v>
      </c>
      <c r="AO12" t="s">
        <v>736</v>
      </c>
      <c r="AP12" t="s">
        <v>1598</v>
      </c>
      <c r="AQ12">
        <v>9</v>
      </c>
      <c r="AR12">
        <v>0</v>
      </c>
      <c r="AS12">
        <v>4</v>
      </c>
      <c r="AT12">
        <v>5</v>
      </c>
      <c r="AU12">
        <v>0</v>
      </c>
      <c r="AV12">
        <v>0</v>
      </c>
      <c r="AX12">
        <v>100</v>
      </c>
      <c r="AY12">
        <v>2</v>
      </c>
      <c r="BB12" s="3">
        <f t="shared" si="0"/>
        <v>18</v>
      </c>
      <c r="BC12">
        <v>1</v>
      </c>
      <c r="BD12" t="s">
        <v>429</v>
      </c>
      <c r="BE12">
        <v>8</v>
      </c>
      <c r="BF12" t="s">
        <v>737</v>
      </c>
      <c r="BG12">
        <v>8</v>
      </c>
      <c r="BI12">
        <v>6</v>
      </c>
      <c r="BJ12" t="s">
        <v>772</v>
      </c>
      <c r="BK12">
        <v>3</v>
      </c>
      <c r="BL12" t="s">
        <v>773</v>
      </c>
      <c r="BV12">
        <v>1</v>
      </c>
      <c r="BW12" t="s">
        <v>739</v>
      </c>
      <c r="CN12">
        <v>7</v>
      </c>
      <c r="CP12">
        <v>1</v>
      </c>
      <c r="CR12">
        <v>1</v>
      </c>
      <c r="CT12">
        <v>1</v>
      </c>
      <c r="CU12" s="3">
        <f t="shared" si="3"/>
        <v>15</v>
      </c>
      <c r="CV12">
        <v>5</v>
      </c>
      <c r="CX12">
        <v>5</v>
      </c>
      <c r="CY12">
        <v>5</v>
      </c>
      <c r="DU12">
        <v>3</v>
      </c>
      <c r="DV12">
        <v>40000</v>
      </c>
      <c r="DW12">
        <v>80000</v>
      </c>
      <c r="DX12">
        <v>80000</v>
      </c>
      <c r="EG12">
        <v>20</v>
      </c>
      <c r="EH12" t="s">
        <v>531</v>
      </c>
      <c r="EI12">
        <v>2024</v>
      </c>
      <c r="EJ12" t="s">
        <v>1600</v>
      </c>
      <c r="EK12" t="s">
        <v>544</v>
      </c>
      <c r="EL12" t="s">
        <v>544</v>
      </c>
      <c r="EM12" t="s">
        <v>1601</v>
      </c>
      <c r="EN12" t="s">
        <v>544</v>
      </c>
      <c r="EP12" t="s">
        <v>439</v>
      </c>
      <c r="EQ12" t="s">
        <v>440</v>
      </c>
      <c r="ES12" s="9" t="s">
        <v>1602</v>
      </c>
      <c r="EV12" s="9" t="s">
        <v>1603</v>
      </c>
      <c r="EY12" s="9" t="s">
        <v>1604</v>
      </c>
      <c r="FB12" s="9" t="s">
        <v>1605</v>
      </c>
      <c r="FE12" s="9" t="s">
        <v>1606</v>
      </c>
      <c r="FH12" s="9" t="s">
        <v>1607</v>
      </c>
      <c r="FK12" s="9" t="s">
        <v>1608</v>
      </c>
      <c r="FN12" s="9" t="s">
        <v>1609</v>
      </c>
      <c r="FQ12" s="9" t="s">
        <v>1610</v>
      </c>
      <c r="FU12">
        <v>0</v>
      </c>
      <c r="FV12" s="3">
        <f t="shared" si="4"/>
        <v>0</v>
      </c>
      <c r="FW12" t="s">
        <v>451</v>
      </c>
      <c r="FX12">
        <v>120000</v>
      </c>
      <c r="FY12" s="3">
        <f t="shared" si="5"/>
        <v>85.714285714285708</v>
      </c>
      <c r="FZ12" t="s">
        <v>745</v>
      </c>
      <c r="GA12">
        <v>80307.45</v>
      </c>
      <c r="GB12" s="3">
        <f t="shared" si="6"/>
        <v>40.153725000000001</v>
      </c>
      <c r="GC12" t="s">
        <v>452</v>
      </c>
      <c r="GD12">
        <v>2500</v>
      </c>
      <c r="GE12" s="3">
        <f t="shared" si="7"/>
        <v>0.16666666666666666</v>
      </c>
      <c r="GF12" s="3">
        <f t="shared" si="1"/>
        <v>126.03467738095237</v>
      </c>
      <c r="GG12" s="3" t="str">
        <f t="shared" si="2"/>
        <v>ALTO</v>
      </c>
    </row>
    <row r="13" spans="1:332" x14ac:dyDescent="0.3">
      <c r="A13">
        <v>12</v>
      </c>
      <c r="B13" t="s">
        <v>1047</v>
      </c>
      <c r="C13" t="s">
        <v>816</v>
      </c>
      <c r="D13" t="s">
        <v>917</v>
      </c>
      <c r="E13" t="s">
        <v>2616</v>
      </c>
      <c r="F13">
        <v>72534</v>
      </c>
      <c r="G13" t="s">
        <v>421</v>
      </c>
      <c r="H13" t="s">
        <v>421</v>
      </c>
      <c r="I13" t="s">
        <v>818</v>
      </c>
      <c r="J13" t="s">
        <v>819</v>
      </c>
      <c r="K13" t="s">
        <v>820</v>
      </c>
      <c r="L13">
        <v>2222405840</v>
      </c>
      <c r="M13" s="2" t="s">
        <v>1048</v>
      </c>
      <c r="N13" t="s">
        <v>524</v>
      </c>
      <c r="O13" t="s">
        <v>824</v>
      </c>
      <c r="P13">
        <v>1</v>
      </c>
      <c r="S13">
        <v>1</v>
      </c>
      <c r="T13">
        <v>1</v>
      </c>
      <c r="U13">
        <v>1</v>
      </c>
      <c r="V13">
        <v>1</v>
      </c>
      <c r="W13">
        <v>0</v>
      </c>
      <c r="X13">
        <v>0</v>
      </c>
      <c r="Y13" t="s">
        <v>424</v>
      </c>
      <c r="AO13" t="s">
        <v>822</v>
      </c>
      <c r="AP13" t="s">
        <v>1049</v>
      </c>
      <c r="AQ13">
        <v>9</v>
      </c>
      <c r="AR13">
        <v>0</v>
      </c>
      <c r="AS13">
        <v>3</v>
      </c>
      <c r="AT13">
        <v>6</v>
      </c>
      <c r="AU13">
        <v>0</v>
      </c>
      <c r="AV13">
        <v>0</v>
      </c>
      <c r="BB13" s="3">
        <f t="shared" si="0"/>
        <v>15</v>
      </c>
      <c r="BC13">
        <v>1</v>
      </c>
      <c r="BD13" t="s">
        <v>987</v>
      </c>
      <c r="BE13">
        <v>4</v>
      </c>
      <c r="BF13" t="s">
        <v>826</v>
      </c>
      <c r="BG13">
        <v>3</v>
      </c>
      <c r="BH13">
        <v>1</v>
      </c>
      <c r="BO13">
        <v>1</v>
      </c>
      <c r="BP13" t="s">
        <v>827</v>
      </c>
      <c r="BR13">
        <v>1</v>
      </c>
      <c r="BS13" t="s">
        <v>828</v>
      </c>
      <c r="BV13">
        <v>5</v>
      </c>
      <c r="BW13" t="s">
        <v>829</v>
      </c>
      <c r="CN13">
        <v>5</v>
      </c>
      <c r="CP13">
        <v>2</v>
      </c>
      <c r="CS13">
        <v>2</v>
      </c>
      <c r="CT13">
        <v>1</v>
      </c>
      <c r="CU13" s="3">
        <f t="shared" ref="CU13:CU44" si="8">+CV13+CX13+CY13+CZ13+DA13</f>
        <v>6</v>
      </c>
      <c r="CV13">
        <v>1</v>
      </c>
      <c r="CW13">
        <v>1</v>
      </c>
      <c r="CY13">
        <v>4</v>
      </c>
      <c r="CZ13">
        <v>1</v>
      </c>
      <c r="DC13">
        <v>4</v>
      </c>
      <c r="DD13" t="s">
        <v>828</v>
      </c>
      <c r="DM13">
        <v>4</v>
      </c>
      <c r="DN13" t="s">
        <v>830</v>
      </c>
      <c r="DQ13">
        <v>2</v>
      </c>
      <c r="DR13" t="s">
        <v>831</v>
      </c>
      <c r="EG13">
        <v>6</v>
      </c>
      <c r="EH13" t="s">
        <v>825</v>
      </c>
      <c r="EI13">
        <v>2024</v>
      </c>
      <c r="EJ13" t="s">
        <v>1309</v>
      </c>
      <c r="EP13" t="s">
        <v>439</v>
      </c>
      <c r="EQ13" t="s">
        <v>440</v>
      </c>
      <c r="ER13" t="s">
        <v>1050</v>
      </c>
      <c r="ES13" s="9" t="s">
        <v>1051</v>
      </c>
      <c r="ET13" t="s">
        <v>1177</v>
      </c>
      <c r="EU13" t="s">
        <v>1052</v>
      </c>
      <c r="EV13" s="9" t="s">
        <v>1053</v>
      </c>
      <c r="EX13" t="s">
        <v>1054</v>
      </c>
      <c r="EY13" s="9" t="s">
        <v>1055</v>
      </c>
      <c r="FA13" t="s">
        <v>1056</v>
      </c>
      <c r="FB13" s="9" t="s">
        <v>1057</v>
      </c>
      <c r="FD13" t="s">
        <v>1058</v>
      </c>
      <c r="FE13" s="9" t="s">
        <v>1059</v>
      </c>
      <c r="FG13" t="s">
        <v>1060</v>
      </c>
      <c r="FH13" s="9" t="s">
        <v>1061</v>
      </c>
      <c r="FJ13" t="s">
        <v>1062</v>
      </c>
      <c r="FK13" s="9" t="s">
        <v>1063</v>
      </c>
      <c r="FM13" t="s">
        <v>1064</v>
      </c>
      <c r="FU13">
        <v>0</v>
      </c>
      <c r="FV13" s="3">
        <f t="shared" ref="FV13:FV44" si="9">+FU13/3000</f>
        <v>0</v>
      </c>
      <c r="FX13">
        <v>0</v>
      </c>
      <c r="FY13" s="3">
        <f t="shared" ref="FY13:FY44" si="10">+FX13/1400</f>
        <v>0</v>
      </c>
      <c r="GA13">
        <v>0</v>
      </c>
      <c r="GB13" s="3">
        <f t="shared" ref="GB13:GB44" si="11">+GA13/2000</f>
        <v>0</v>
      </c>
      <c r="GC13" t="s">
        <v>452</v>
      </c>
      <c r="GE13" s="3">
        <f t="shared" ref="GE13:GE44" si="12">+GD13/15000</f>
        <v>0</v>
      </c>
      <c r="GF13" s="3">
        <f t="shared" ref="GF13:GF44" si="13">+FV13+FY13+GB13+GE13</f>
        <v>0</v>
      </c>
      <c r="GG13" s="3" t="str">
        <f t="shared" si="2"/>
        <v>ORDINARIO</v>
      </c>
      <c r="GN13" s="6" t="s">
        <v>816</v>
      </c>
      <c r="GO13" s="6" t="s">
        <v>816</v>
      </c>
      <c r="GP13" s="6" t="s">
        <v>816</v>
      </c>
      <c r="GQ13" t="s">
        <v>816</v>
      </c>
      <c r="GR13" t="s">
        <v>816</v>
      </c>
      <c r="GS13" t="s">
        <v>816</v>
      </c>
      <c r="GU13" s="6" t="s">
        <v>816</v>
      </c>
      <c r="HH13" s="6" t="s">
        <v>816</v>
      </c>
      <c r="HL13" t="s">
        <v>816</v>
      </c>
      <c r="HM13" t="s">
        <v>816</v>
      </c>
      <c r="HN13" t="s">
        <v>816</v>
      </c>
      <c r="HO13" s="6" t="s">
        <v>816</v>
      </c>
      <c r="HQ13" s="6" t="s">
        <v>816</v>
      </c>
      <c r="HR13" t="s">
        <v>816</v>
      </c>
      <c r="HS13" t="s">
        <v>816</v>
      </c>
      <c r="HT13" t="s">
        <v>816</v>
      </c>
      <c r="HV13" t="s">
        <v>816</v>
      </c>
      <c r="HW13" s="6" t="s">
        <v>816</v>
      </c>
      <c r="HX13" s="6" t="s">
        <v>816</v>
      </c>
      <c r="HY13" s="6" t="s">
        <v>816</v>
      </c>
      <c r="IC13" s="6" t="s">
        <v>816</v>
      </c>
      <c r="ID13" s="6" t="s">
        <v>816</v>
      </c>
      <c r="IG13" t="s">
        <v>816</v>
      </c>
      <c r="IH13" t="s">
        <v>816</v>
      </c>
      <c r="II13" s="6" t="s">
        <v>816</v>
      </c>
      <c r="IJ13" s="6" t="s">
        <v>816</v>
      </c>
      <c r="IK13" s="6"/>
      <c r="IL13" s="6" t="s">
        <v>816</v>
      </c>
      <c r="IQ13" t="s">
        <v>816</v>
      </c>
      <c r="IU13" s="6" t="s">
        <v>816</v>
      </c>
      <c r="IV13" s="6" t="s">
        <v>816</v>
      </c>
      <c r="IW13" t="s">
        <v>816</v>
      </c>
      <c r="IX13" t="s">
        <v>816</v>
      </c>
      <c r="IY13" t="s">
        <v>816</v>
      </c>
      <c r="IZ13" t="s">
        <v>816</v>
      </c>
      <c r="JA13" t="s">
        <v>816</v>
      </c>
      <c r="JB13" s="6" t="s">
        <v>816</v>
      </c>
      <c r="JC13" s="6" t="s">
        <v>816</v>
      </c>
      <c r="JE13" s="6" t="s">
        <v>816</v>
      </c>
      <c r="JF13" t="s">
        <v>816</v>
      </c>
      <c r="JL13" s="6" t="s">
        <v>816</v>
      </c>
      <c r="JO13" t="s">
        <v>816</v>
      </c>
      <c r="JP13" t="s">
        <v>816</v>
      </c>
      <c r="JQ13" t="s">
        <v>816</v>
      </c>
      <c r="JR13" t="s">
        <v>816</v>
      </c>
      <c r="JS13" s="6" t="s">
        <v>816</v>
      </c>
      <c r="JT13" s="6" t="s">
        <v>816</v>
      </c>
      <c r="JW13" t="s">
        <v>816</v>
      </c>
      <c r="JX13" t="s">
        <v>816</v>
      </c>
      <c r="JY13" t="s">
        <v>816</v>
      </c>
      <c r="JZ13" t="s">
        <v>816</v>
      </c>
      <c r="KA13" t="s">
        <v>816</v>
      </c>
      <c r="KB13" t="s">
        <v>816</v>
      </c>
      <c r="KC13" s="6" t="s">
        <v>816</v>
      </c>
      <c r="KE13" t="s">
        <v>816</v>
      </c>
      <c r="KG13" s="6" t="s">
        <v>816</v>
      </c>
      <c r="KJ13" s="6" t="s">
        <v>816</v>
      </c>
      <c r="KL13" s="6"/>
      <c r="KM13" t="s">
        <v>816</v>
      </c>
    </row>
    <row r="14" spans="1:332" x14ac:dyDescent="0.3">
      <c r="A14">
        <v>13</v>
      </c>
      <c r="B14" t="s">
        <v>1015</v>
      </c>
      <c r="C14" t="s">
        <v>816</v>
      </c>
      <c r="D14" t="s">
        <v>917</v>
      </c>
      <c r="E14" t="s">
        <v>2617</v>
      </c>
      <c r="F14">
        <v>72000</v>
      </c>
      <c r="G14" t="s">
        <v>421</v>
      </c>
      <c r="H14" t="s">
        <v>421</v>
      </c>
      <c r="I14" t="s">
        <v>818</v>
      </c>
      <c r="J14" t="s">
        <v>819</v>
      </c>
      <c r="K14" t="s">
        <v>820</v>
      </c>
      <c r="L14" t="s">
        <v>1637</v>
      </c>
      <c r="N14" t="s">
        <v>524</v>
      </c>
      <c r="O14" t="s">
        <v>824</v>
      </c>
      <c r="P14">
        <v>1</v>
      </c>
      <c r="S14">
        <v>1</v>
      </c>
      <c r="T14">
        <v>1</v>
      </c>
      <c r="U14">
        <v>1</v>
      </c>
      <c r="V14">
        <v>1</v>
      </c>
      <c r="W14">
        <v>0</v>
      </c>
      <c r="X14">
        <v>0</v>
      </c>
      <c r="Y14" t="s">
        <v>883</v>
      </c>
      <c r="Z14">
        <v>832.26</v>
      </c>
      <c r="AA14">
        <v>832.26</v>
      </c>
      <c r="AO14" t="s">
        <v>822</v>
      </c>
      <c r="AP14" t="s">
        <v>921</v>
      </c>
      <c r="AQ14">
        <v>15</v>
      </c>
      <c r="AR14">
        <v>0</v>
      </c>
      <c r="AS14">
        <v>6</v>
      </c>
      <c r="AT14">
        <v>9</v>
      </c>
      <c r="AU14">
        <v>0</v>
      </c>
      <c r="AV14">
        <v>0</v>
      </c>
      <c r="AX14">
        <v>200</v>
      </c>
      <c r="AY14">
        <v>6</v>
      </c>
      <c r="BB14" s="3">
        <f t="shared" si="0"/>
        <v>32</v>
      </c>
      <c r="BC14">
        <v>1</v>
      </c>
      <c r="BD14" t="s">
        <v>987</v>
      </c>
      <c r="BE14">
        <v>6</v>
      </c>
      <c r="BF14" t="s">
        <v>826</v>
      </c>
      <c r="BG14">
        <v>4</v>
      </c>
      <c r="BH14">
        <v>2</v>
      </c>
      <c r="BO14">
        <v>2</v>
      </c>
      <c r="BP14" t="s">
        <v>827</v>
      </c>
      <c r="BR14">
        <v>2</v>
      </c>
      <c r="BS14" t="s">
        <v>828</v>
      </c>
      <c r="BV14">
        <v>19</v>
      </c>
      <c r="BW14" t="s">
        <v>829</v>
      </c>
      <c r="CN14">
        <v>19</v>
      </c>
      <c r="CP14">
        <v>1</v>
      </c>
      <c r="CS14">
        <v>3</v>
      </c>
      <c r="CT14">
        <v>1</v>
      </c>
      <c r="CU14" s="3">
        <f t="shared" si="8"/>
        <v>11</v>
      </c>
      <c r="CV14">
        <v>9</v>
      </c>
      <c r="CW14">
        <v>1</v>
      </c>
      <c r="CY14">
        <v>1</v>
      </c>
      <c r="CZ14">
        <v>1</v>
      </c>
      <c r="DC14">
        <v>9</v>
      </c>
      <c r="DD14" t="s">
        <v>828</v>
      </c>
      <c r="DM14">
        <v>4</v>
      </c>
      <c r="DN14" t="s">
        <v>830</v>
      </c>
      <c r="DQ14">
        <v>2</v>
      </c>
      <c r="DR14" t="s">
        <v>831</v>
      </c>
      <c r="EG14">
        <v>1</v>
      </c>
      <c r="EH14" t="s">
        <v>825</v>
      </c>
      <c r="EI14">
        <v>2024</v>
      </c>
      <c r="EJ14" t="s">
        <v>1281</v>
      </c>
      <c r="EK14" t="s">
        <v>1638</v>
      </c>
      <c r="EL14" t="s">
        <v>1639</v>
      </c>
      <c r="EM14" t="s">
        <v>1640</v>
      </c>
      <c r="EN14" t="s">
        <v>437</v>
      </c>
      <c r="EO14" t="s">
        <v>1641</v>
      </c>
      <c r="EP14" t="s">
        <v>439</v>
      </c>
      <c r="EQ14" t="s">
        <v>440</v>
      </c>
      <c r="ER14" t="s">
        <v>884</v>
      </c>
      <c r="ES14" s="9" t="s">
        <v>885</v>
      </c>
      <c r="ET14" t="s">
        <v>1177</v>
      </c>
      <c r="EU14" t="s">
        <v>886</v>
      </c>
      <c r="EV14" s="9" t="s">
        <v>887</v>
      </c>
      <c r="EW14" t="s">
        <v>845</v>
      </c>
      <c r="EX14" t="s">
        <v>888</v>
      </c>
      <c r="EY14" s="9" t="s">
        <v>889</v>
      </c>
      <c r="EZ14" t="s">
        <v>839</v>
      </c>
      <c r="FA14" t="s">
        <v>890</v>
      </c>
      <c r="FB14" s="9" t="s">
        <v>891</v>
      </c>
      <c r="FC14" t="s">
        <v>839</v>
      </c>
      <c r="FD14" t="s">
        <v>892</v>
      </c>
      <c r="FE14" s="9" t="s">
        <v>893</v>
      </c>
      <c r="FF14" t="s">
        <v>839</v>
      </c>
      <c r="FG14" t="s">
        <v>894</v>
      </c>
      <c r="FH14" s="9" t="s">
        <v>895</v>
      </c>
      <c r="FI14" t="s">
        <v>896</v>
      </c>
      <c r="FJ14" t="s">
        <v>897</v>
      </c>
      <c r="FK14" s="9" t="s">
        <v>898</v>
      </c>
      <c r="FL14" t="s">
        <v>842</v>
      </c>
      <c r="FM14" t="s">
        <v>899</v>
      </c>
      <c r="FN14" s="9" t="s">
        <v>900</v>
      </c>
      <c r="FO14" t="s">
        <v>845</v>
      </c>
      <c r="FP14" t="s">
        <v>901</v>
      </c>
      <c r="FQ14" s="9" t="s">
        <v>902</v>
      </c>
      <c r="FR14" t="s">
        <v>845</v>
      </c>
      <c r="FS14" t="s">
        <v>903</v>
      </c>
      <c r="FU14">
        <v>0</v>
      </c>
      <c r="FV14" s="3">
        <f t="shared" si="9"/>
        <v>0</v>
      </c>
      <c r="FX14">
        <v>0</v>
      </c>
      <c r="FY14" s="3">
        <f t="shared" si="10"/>
        <v>0</v>
      </c>
      <c r="GA14">
        <v>0</v>
      </c>
      <c r="GB14" s="3">
        <f t="shared" si="11"/>
        <v>0</v>
      </c>
      <c r="GC14" t="s">
        <v>452</v>
      </c>
      <c r="GD14">
        <v>960</v>
      </c>
      <c r="GE14" s="3">
        <f t="shared" si="12"/>
        <v>6.4000000000000001E-2</v>
      </c>
      <c r="GF14" s="3">
        <f t="shared" si="13"/>
        <v>6.4000000000000001E-2</v>
      </c>
      <c r="GG14" s="3" t="str">
        <f t="shared" si="2"/>
        <v>ORDINARIO</v>
      </c>
      <c r="GH14" t="s">
        <v>904</v>
      </c>
      <c r="GI14" t="s">
        <v>839</v>
      </c>
      <c r="GJ14" t="s">
        <v>905</v>
      </c>
      <c r="GK14" t="s">
        <v>906</v>
      </c>
      <c r="GL14" t="s">
        <v>907</v>
      </c>
      <c r="GM14" t="s">
        <v>908</v>
      </c>
      <c r="GN14" s="6" t="s">
        <v>816</v>
      </c>
      <c r="GO14" s="6" t="s">
        <v>816</v>
      </c>
      <c r="GP14" s="6" t="s">
        <v>816</v>
      </c>
      <c r="GQ14" s="6" t="s">
        <v>816</v>
      </c>
      <c r="GR14" s="6" t="s">
        <v>816</v>
      </c>
      <c r="GS14" s="6" t="s">
        <v>816</v>
      </c>
      <c r="GT14" s="6"/>
      <c r="GU14" s="6" t="s">
        <v>816</v>
      </c>
      <c r="HH14" s="6" t="s">
        <v>816</v>
      </c>
      <c r="HL14" t="s">
        <v>816</v>
      </c>
      <c r="HM14" t="s">
        <v>816</v>
      </c>
      <c r="HN14" t="s">
        <v>816</v>
      </c>
      <c r="HO14" s="6" t="s">
        <v>816</v>
      </c>
      <c r="HQ14" s="6" t="s">
        <v>816</v>
      </c>
      <c r="HR14" t="s">
        <v>816</v>
      </c>
      <c r="HS14" s="6" t="s">
        <v>816</v>
      </c>
      <c r="HT14" s="6" t="s">
        <v>816</v>
      </c>
      <c r="HV14" s="6" t="s">
        <v>816</v>
      </c>
      <c r="HW14" s="6" t="s">
        <v>816</v>
      </c>
      <c r="HX14" s="6" t="s">
        <v>816</v>
      </c>
      <c r="HY14" s="6" t="s">
        <v>816</v>
      </c>
      <c r="IC14" s="6" t="s">
        <v>816</v>
      </c>
      <c r="ID14" s="6" t="s">
        <v>816</v>
      </c>
      <c r="IG14" s="6" t="s">
        <v>816</v>
      </c>
      <c r="IH14" s="6" t="s">
        <v>816</v>
      </c>
      <c r="II14" s="6" t="s">
        <v>816</v>
      </c>
      <c r="IJ14" s="6" t="s">
        <v>816</v>
      </c>
      <c r="IK14" s="6"/>
      <c r="IL14" s="6" t="s">
        <v>816</v>
      </c>
      <c r="IO14" s="6"/>
      <c r="IP14" s="6"/>
      <c r="IQ14" t="s">
        <v>816</v>
      </c>
      <c r="IU14" s="6" t="s">
        <v>816</v>
      </c>
      <c r="IV14" t="s">
        <v>816</v>
      </c>
      <c r="IW14" s="6" t="s">
        <v>816</v>
      </c>
      <c r="IX14" t="s">
        <v>816</v>
      </c>
      <c r="IY14" s="6" t="s">
        <v>816</v>
      </c>
      <c r="IZ14" t="s">
        <v>816</v>
      </c>
      <c r="JA14" t="s">
        <v>816</v>
      </c>
      <c r="JB14" s="6" t="s">
        <v>816</v>
      </c>
      <c r="JC14" t="s">
        <v>816</v>
      </c>
      <c r="JE14" s="6" t="s">
        <v>816</v>
      </c>
      <c r="JF14" s="6" t="s">
        <v>816</v>
      </c>
      <c r="JL14" s="6" t="s">
        <v>816</v>
      </c>
      <c r="JO14" t="s">
        <v>816</v>
      </c>
      <c r="JP14" t="s">
        <v>816</v>
      </c>
      <c r="JQ14" t="s">
        <v>816</v>
      </c>
      <c r="JR14" t="s">
        <v>816</v>
      </c>
      <c r="JS14" s="6" t="s">
        <v>816</v>
      </c>
      <c r="JT14" s="6" t="s">
        <v>816</v>
      </c>
      <c r="JW14" s="6" t="s">
        <v>816</v>
      </c>
      <c r="JX14" s="6" t="s">
        <v>816</v>
      </c>
      <c r="JY14" s="6" t="s">
        <v>816</v>
      </c>
      <c r="JZ14" s="6" t="s">
        <v>816</v>
      </c>
      <c r="KA14" s="6" t="s">
        <v>816</v>
      </c>
      <c r="KB14" s="6" t="s">
        <v>816</v>
      </c>
      <c r="KC14" s="6" t="s">
        <v>816</v>
      </c>
      <c r="KE14" s="6" t="s">
        <v>816</v>
      </c>
      <c r="KG14" s="6" t="s">
        <v>816</v>
      </c>
      <c r="KJ14" s="6" t="s">
        <v>816</v>
      </c>
      <c r="KL14" s="6"/>
      <c r="KM14" t="s">
        <v>816</v>
      </c>
      <c r="KN14" t="s">
        <v>909</v>
      </c>
      <c r="KO14" t="s">
        <v>839</v>
      </c>
      <c r="KP14" t="s">
        <v>910</v>
      </c>
      <c r="KQ14" t="s">
        <v>911</v>
      </c>
      <c r="KR14" t="s">
        <v>839</v>
      </c>
      <c r="KS14" t="s">
        <v>912</v>
      </c>
      <c r="KT14" t="s">
        <v>913</v>
      </c>
      <c r="KU14" t="s">
        <v>842</v>
      </c>
      <c r="KV14" t="s">
        <v>914</v>
      </c>
    </row>
    <row r="15" spans="1:332" x14ac:dyDescent="0.3">
      <c r="A15">
        <v>14</v>
      </c>
      <c r="B15" t="s">
        <v>1642</v>
      </c>
      <c r="C15" t="s">
        <v>816</v>
      </c>
      <c r="D15" t="s">
        <v>917</v>
      </c>
      <c r="E15" t="s">
        <v>2618</v>
      </c>
      <c r="F15">
        <v>72570</v>
      </c>
      <c r="G15" t="s">
        <v>421</v>
      </c>
      <c r="H15" t="s">
        <v>421</v>
      </c>
      <c r="I15" t="s">
        <v>818</v>
      </c>
      <c r="J15" t="s">
        <v>819</v>
      </c>
      <c r="K15" t="s">
        <v>820</v>
      </c>
      <c r="L15">
        <v>2216671314</v>
      </c>
      <c r="M15" s="2" t="s">
        <v>1255</v>
      </c>
      <c r="N15" t="s">
        <v>524</v>
      </c>
      <c r="O15" t="s">
        <v>824</v>
      </c>
      <c r="P15">
        <v>1</v>
      </c>
      <c r="S15">
        <v>1</v>
      </c>
      <c r="T15">
        <v>1</v>
      </c>
      <c r="U15">
        <v>1</v>
      </c>
      <c r="V15">
        <v>1</v>
      </c>
      <c r="W15">
        <v>0</v>
      </c>
      <c r="X15">
        <v>0</v>
      </c>
      <c r="Y15" t="s">
        <v>457</v>
      </c>
      <c r="AO15" t="s">
        <v>822</v>
      </c>
      <c r="AP15" t="s">
        <v>1256</v>
      </c>
      <c r="AQ15">
        <v>9</v>
      </c>
      <c r="AR15">
        <v>0</v>
      </c>
      <c r="AS15">
        <v>4</v>
      </c>
      <c r="AT15">
        <v>5</v>
      </c>
      <c r="AU15">
        <v>0</v>
      </c>
      <c r="AV15">
        <v>0</v>
      </c>
      <c r="BB15" s="3">
        <f t="shared" si="0"/>
        <v>21</v>
      </c>
      <c r="BC15">
        <v>2</v>
      </c>
      <c r="BD15" t="s">
        <v>987</v>
      </c>
      <c r="BE15">
        <v>5</v>
      </c>
      <c r="BF15" t="s">
        <v>826</v>
      </c>
      <c r="BG15">
        <v>4</v>
      </c>
      <c r="BH15">
        <v>1</v>
      </c>
      <c r="BO15">
        <v>1</v>
      </c>
      <c r="BP15" t="s">
        <v>827</v>
      </c>
      <c r="BR15">
        <v>1</v>
      </c>
      <c r="BS15" t="s">
        <v>828</v>
      </c>
      <c r="BV15">
        <v>5</v>
      </c>
      <c r="BW15" t="s">
        <v>829</v>
      </c>
      <c r="CN15">
        <v>7</v>
      </c>
      <c r="CP15">
        <v>1</v>
      </c>
      <c r="CR15">
        <v>1</v>
      </c>
      <c r="CS15">
        <v>4</v>
      </c>
      <c r="CT15">
        <v>1</v>
      </c>
      <c r="CU15" s="3">
        <f t="shared" si="8"/>
        <v>3</v>
      </c>
      <c r="CV15">
        <v>1</v>
      </c>
      <c r="CW15">
        <v>1</v>
      </c>
      <c r="CY15">
        <v>1</v>
      </c>
      <c r="CZ15">
        <v>1</v>
      </c>
      <c r="DC15">
        <v>2</v>
      </c>
      <c r="DD15" t="s">
        <v>828</v>
      </c>
      <c r="DM15">
        <v>4</v>
      </c>
      <c r="DN15" t="s">
        <v>830</v>
      </c>
      <c r="DQ15">
        <v>2</v>
      </c>
      <c r="DR15" t="s">
        <v>831</v>
      </c>
      <c r="EG15">
        <v>22</v>
      </c>
      <c r="EH15" t="s">
        <v>825</v>
      </c>
      <c r="EI15">
        <v>2024</v>
      </c>
      <c r="EJ15" t="s">
        <v>1257</v>
      </c>
      <c r="EP15" t="s">
        <v>439</v>
      </c>
      <c r="EQ15" t="s">
        <v>440</v>
      </c>
      <c r="ES15" s="9" t="s">
        <v>1258</v>
      </c>
      <c r="ET15" s="1"/>
      <c r="EU15" t="s">
        <v>1259</v>
      </c>
      <c r="EV15" s="9" t="s">
        <v>1260</v>
      </c>
      <c r="EW15" t="s">
        <v>1261</v>
      </c>
      <c r="EX15" t="s">
        <v>1262</v>
      </c>
      <c r="EY15" s="9" t="s">
        <v>1263</v>
      </c>
      <c r="EZ15" t="s">
        <v>845</v>
      </c>
      <c r="FA15" t="s">
        <v>1264</v>
      </c>
      <c r="FB15" s="9" t="s">
        <v>1265</v>
      </c>
      <c r="FC15" t="s">
        <v>845</v>
      </c>
      <c r="FD15" t="s">
        <v>1266</v>
      </c>
      <c r="FE15" s="9" t="s">
        <v>1267</v>
      </c>
      <c r="FF15" t="s">
        <v>1261</v>
      </c>
      <c r="FG15" t="s">
        <v>1268</v>
      </c>
      <c r="FH15" s="9" t="s">
        <v>1269</v>
      </c>
      <c r="FI15" t="s">
        <v>1215</v>
      </c>
      <c r="FJ15" t="s">
        <v>1270</v>
      </c>
      <c r="FK15" s="9" t="s">
        <v>1271</v>
      </c>
      <c r="FL15" t="s">
        <v>839</v>
      </c>
      <c r="FM15" t="s">
        <v>1272</v>
      </c>
      <c r="FN15" s="9" t="s">
        <v>1273</v>
      </c>
      <c r="FO15" t="s">
        <v>839</v>
      </c>
      <c r="FP15" t="s">
        <v>1274</v>
      </c>
      <c r="FU15">
        <v>0</v>
      </c>
      <c r="FV15" s="3">
        <f t="shared" si="9"/>
        <v>0</v>
      </c>
      <c r="FX15">
        <v>0</v>
      </c>
      <c r="FY15" s="3">
        <f t="shared" si="10"/>
        <v>0</v>
      </c>
      <c r="GA15">
        <v>0</v>
      </c>
      <c r="GB15" s="3">
        <f t="shared" si="11"/>
        <v>0</v>
      </c>
      <c r="GC15" t="s">
        <v>452</v>
      </c>
      <c r="GE15" s="3">
        <f t="shared" si="12"/>
        <v>0</v>
      </c>
      <c r="GF15" s="3">
        <f t="shared" si="13"/>
        <v>0</v>
      </c>
      <c r="GG15" s="3" t="str">
        <f t="shared" si="2"/>
        <v>ORDINARIO</v>
      </c>
      <c r="GN15" t="s">
        <v>816</v>
      </c>
      <c r="GO15" t="s">
        <v>816</v>
      </c>
      <c r="GP15" t="s">
        <v>816</v>
      </c>
      <c r="GQ15" t="s">
        <v>816</v>
      </c>
      <c r="GR15" t="s">
        <v>816</v>
      </c>
      <c r="GS15" t="s">
        <v>816</v>
      </c>
      <c r="GU15" t="s">
        <v>816</v>
      </c>
      <c r="HH15" t="s">
        <v>816</v>
      </c>
      <c r="HL15" t="s">
        <v>816</v>
      </c>
      <c r="HM15" t="s">
        <v>816</v>
      </c>
      <c r="HN15" t="s">
        <v>816</v>
      </c>
      <c r="HO15" t="s">
        <v>816</v>
      </c>
      <c r="HQ15" t="s">
        <v>816</v>
      </c>
      <c r="HR15" t="s">
        <v>816</v>
      </c>
      <c r="HS15" t="s">
        <v>816</v>
      </c>
      <c r="HT15" t="s">
        <v>816</v>
      </c>
      <c r="HV15" t="s">
        <v>816</v>
      </c>
      <c r="HW15" t="s">
        <v>816</v>
      </c>
      <c r="HX15" t="s">
        <v>816</v>
      </c>
      <c r="HY15" t="s">
        <v>816</v>
      </c>
      <c r="IC15" t="s">
        <v>816</v>
      </c>
      <c r="ID15" t="s">
        <v>816</v>
      </c>
      <c r="IG15" t="s">
        <v>816</v>
      </c>
      <c r="IH15" t="s">
        <v>816</v>
      </c>
      <c r="II15" t="s">
        <v>816</v>
      </c>
      <c r="IJ15" t="s">
        <v>816</v>
      </c>
      <c r="IL15" t="s">
        <v>816</v>
      </c>
      <c r="IQ15" t="s">
        <v>816</v>
      </c>
      <c r="IU15" t="s">
        <v>816</v>
      </c>
      <c r="IV15" t="s">
        <v>816</v>
      </c>
      <c r="IW15" t="s">
        <v>816</v>
      </c>
      <c r="IX15" t="s">
        <v>816</v>
      </c>
      <c r="IY15" t="s">
        <v>816</v>
      </c>
      <c r="IZ15" t="s">
        <v>816</v>
      </c>
      <c r="JA15" t="s">
        <v>816</v>
      </c>
      <c r="JB15" t="s">
        <v>816</v>
      </c>
      <c r="JC15" t="s">
        <v>816</v>
      </c>
      <c r="JE15" t="s">
        <v>816</v>
      </c>
      <c r="JF15" t="s">
        <v>816</v>
      </c>
      <c r="JL15" t="s">
        <v>816</v>
      </c>
      <c r="JO15" t="s">
        <v>816</v>
      </c>
      <c r="JP15" t="s">
        <v>816</v>
      </c>
      <c r="JQ15" t="s">
        <v>816</v>
      </c>
      <c r="JR15" t="s">
        <v>816</v>
      </c>
      <c r="JS15" t="s">
        <v>816</v>
      </c>
      <c r="JT15" t="s">
        <v>816</v>
      </c>
      <c r="JW15" t="s">
        <v>816</v>
      </c>
      <c r="JX15" t="s">
        <v>816</v>
      </c>
      <c r="JY15" t="s">
        <v>816</v>
      </c>
      <c r="JZ15" t="s">
        <v>816</v>
      </c>
      <c r="KA15" t="s">
        <v>816</v>
      </c>
      <c r="KB15" t="s">
        <v>816</v>
      </c>
      <c r="KC15" t="s">
        <v>816</v>
      </c>
      <c r="KE15" t="s">
        <v>816</v>
      </c>
      <c r="KG15" t="s">
        <v>816</v>
      </c>
      <c r="KJ15" t="s">
        <v>816</v>
      </c>
      <c r="KM15" t="s">
        <v>816</v>
      </c>
    </row>
    <row r="16" spans="1:332" x14ac:dyDescent="0.3">
      <c r="A16">
        <v>15</v>
      </c>
      <c r="B16" t="s">
        <v>1354</v>
      </c>
      <c r="C16" t="s">
        <v>816</v>
      </c>
      <c r="D16" t="s">
        <v>917</v>
      </c>
      <c r="E16" t="s">
        <v>2619</v>
      </c>
      <c r="F16">
        <v>74200</v>
      </c>
      <c r="G16" t="s">
        <v>1337</v>
      </c>
      <c r="H16" t="s">
        <v>421</v>
      </c>
      <c r="I16" t="s">
        <v>818</v>
      </c>
      <c r="J16" t="s">
        <v>1336</v>
      </c>
      <c r="K16" t="s">
        <v>820</v>
      </c>
      <c r="N16" t="s">
        <v>524</v>
      </c>
      <c r="O16" t="s">
        <v>824</v>
      </c>
      <c r="P16">
        <v>1</v>
      </c>
      <c r="S16">
        <v>1</v>
      </c>
      <c r="T16">
        <v>1</v>
      </c>
      <c r="U16">
        <v>1</v>
      </c>
      <c r="V16">
        <v>1</v>
      </c>
      <c r="W16">
        <v>0</v>
      </c>
      <c r="X16">
        <v>0</v>
      </c>
      <c r="Y16" t="s">
        <v>821</v>
      </c>
      <c r="AO16" t="s">
        <v>822</v>
      </c>
      <c r="AP16" t="s">
        <v>1355</v>
      </c>
      <c r="AQ16">
        <v>9</v>
      </c>
      <c r="AR16">
        <v>0</v>
      </c>
      <c r="AS16">
        <v>2</v>
      </c>
      <c r="AT16">
        <v>7</v>
      </c>
      <c r="AU16">
        <v>0</v>
      </c>
      <c r="AV16">
        <v>0</v>
      </c>
      <c r="BB16" s="3">
        <f t="shared" si="0"/>
        <v>19</v>
      </c>
      <c r="BC16">
        <v>1</v>
      </c>
      <c r="BD16" t="s">
        <v>987</v>
      </c>
      <c r="BE16">
        <v>6</v>
      </c>
      <c r="BF16" t="s">
        <v>826</v>
      </c>
      <c r="BG16">
        <v>5</v>
      </c>
      <c r="BH16">
        <v>1</v>
      </c>
      <c r="BO16">
        <v>1</v>
      </c>
      <c r="BP16" t="s">
        <v>827</v>
      </c>
      <c r="BR16">
        <v>1</v>
      </c>
      <c r="BS16" t="s">
        <v>828</v>
      </c>
      <c r="BV16">
        <v>9</v>
      </c>
      <c r="BW16" t="s">
        <v>829</v>
      </c>
      <c r="CN16">
        <v>6</v>
      </c>
      <c r="CP16">
        <v>2</v>
      </c>
      <c r="CS16">
        <v>3</v>
      </c>
      <c r="CT16">
        <v>2</v>
      </c>
      <c r="CU16" s="3">
        <f t="shared" si="8"/>
        <v>6</v>
      </c>
      <c r="CV16">
        <v>4</v>
      </c>
      <c r="CW16">
        <v>1</v>
      </c>
      <c r="CY16">
        <v>1</v>
      </c>
      <c r="CZ16">
        <v>1</v>
      </c>
      <c r="DC16">
        <v>12</v>
      </c>
      <c r="DD16" t="s">
        <v>828</v>
      </c>
      <c r="DM16">
        <v>4</v>
      </c>
      <c r="DN16" t="s">
        <v>830</v>
      </c>
      <c r="DQ16">
        <v>2</v>
      </c>
      <c r="DR16" t="s">
        <v>831</v>
      </c>
      <c r="EG16">
        <v>24</v>
      </c>
      <c r="EH16" t="s">
        <v>433</v>
      </c>
      <c r="EI16">
        <v>2024</v>
      </c>
      <c r="EJ16" t="s">
        <v>1356</v>
      </c>
      <c r="EP16" t="s">
        <v>439</v>
      </c>
      <c r="EQ16" t="s">
        <v>440</v>
      </c>
      <c r="ER16" t="s">
        <v>1357</v>
      </c>
      <c r="ES16" s="9" t="s">
        <v>1358</v>
      </c>
      <c r="ET16" t="s">
        <v>1177</v>
      </c>
      <c r="EU16" t="s">
        <v>1359</v>
      </c>
      <c r="EV16" s="9" t="s">
        <v>1360</v>
      </c>
      <c r="EW16" t="s">
        <v>1009</v>
      </c>
      <c r="EX16" t="s">
        <v>1361</v>
      </c>
      <c r="EY16" s="9" t="s">
        <v>1362</v>
      </c>
      <c r="EZ16" t="s">
        <v>845</v>
      </c>
      <c r="FA16" t="s">
        <v>1363</v>
      </c>
      <c r="FB16" s="9" t="s">
        <v>1364</v>
      </c>
      <c r="FC16" t="s">
        <v>1009</v>
      </c>
      <c r="FD16" t="s">
        <v>1365</v>
      </c>
      <c r="FE16" s="9" t="s">
        <v>1366</v>
      </c>
      <c r="FF16" t="s">
        <v>845</v>
      </c>
      <c r="FG16" t="s">
        <v>1367</v>
      </c>
      <c r="FH16" s="9" t="s">
        <v>1368</v>
      </c>
      <c r="FI16" t="s">
        <v>839</v>
      </c>
      <c r="FJ16" t="s">
        <v>1369</v>
      </c>
      <c r="FK16" s="9" t="s">
        <v>1370</v>
      </c>
      <c r="FL16" t="s">
        <v>855</v>
      </c>
      <c r="FM16" t="s">
        <v>1371</v>
      </c>
      <c r="FN16" s="9" t="s">
        <v>1372</v>
      </c>
      <c r="FO16" t="s">
        <v>839</v>
      </c>
      <c r="FP16" t="s">
        <v>1373</v>
      </c>
      <c r="FU16">
        <v>0</v>
      </c>
      <c r="FV16" s="3">
        <f t="shared" si="9"/>
        <v>0</v>
      </c>
      <c r="FX16">
        <v>0</v>
      </c>
      <c r="FY16" s="3">
        <f t="shared" si="10"/>
        <v>0</v>
      </c>
      <c r="GA16">
        <v>0</v>
      </c>
      <c r="GB16" s="3">
        <f t="shared" si="11"/>
        <v>0</v>
      </c>
      <c r="GC16" t="s">
        <v>452</v>
      </c>
      <c r="GE16" s="3">
        <f t="shared" si="12"/>
        <v>0</v>
      </c>
      <c r="GF16" s="3">
        <f t="shared" si="13"/>
        <v>0</v>
      </c>
      <c r="GG16" s="3" t="str">
        <f t="shared" si="2"/>
        <v>ORDINARIO</v>
      </c>
      <c r="GN16" s="6" t="s">
        <v>816</v>
      </c>
      <c r="GO16" s="6" t="s">
        <v>816</v>
      </c>
      <c r="GP16" s="6" t="s">
        <v>816</v>
      </c>
      <c r="GQ16" s="6" t="s">
        <v>816</v>
      </c>
      <c r="GR16" s="6" t="s">
        <v>816</v>
      </c>
      <c r="GS16" s="6" t="s">
        <v>816</v>
      </c>
      <c r="GT16" s="6"/>
      <c r="GU16" s="6" t="s">
        <v>816</v>
      </c>
      <c r="HH16" s="6" t="s">
        <v>816</v>
      </c>
      <c r="HL16" t="s">
        <v>816</v>
      </c>
      <c r="HM16" t="s">
        <v>816</v>
      </c>
      <c r="HN16" t="s">
        <v>816</v>
      </c>
      <c r="HO16" s="6" t="s">
        <v>816</v>
      </c>
      <c r="HQ16" s="6" t="s">
        <v>816</v>
      </c>
      <c r="HR16" t="s">
        <v>816</v>
      </c>
      <c r="HS16" s="6" t="s">
        <v>816</v>
      </c>
      <c r="HT16" s="6" t="s">
        <v>816</v>
      </c>
      <c r="HV16" s="6" t="s">
        <v>816</v>
      </c>
      <c r="HW16" s="6" t="s">
        <v>816</v>
      </c>
      <c r="HX16" s="6" t="s">
        <v>816</v>
      </c>
      <c r="HY16" s="6" t="s">
        <v>816</v>
      </c>
      <c r="IC16" s="6" t="s">
        <v>816</v>
      </c>
      <c r="ID16" s="6" t="s">
        <v>816</v>
      </c>
      <c r="IG16" s="6" t="s">
        <v>816</v>
      </c>
      <c r="IH16" s="6" t="s">
        <v>816</v>
      </c>
      <c r="II16" s="6" t="s">
        <v>816</v>
      </c>
      <c r="IJ16" s="6" t="s">
        <v>816</v>
      </c>
      <c r="IK16" s="6"/>
      <c r="IL16" s="6" t="s">
        <v>816</v>
      </c>
      <c r="IO16" s="6"/>
      <c r="IP16" s="6"/>
      <c r="IQ16" t="s">
        <v>816</v>
      </c>
      <c r="IU16" s="6" t="s">
        <v>816</v>
      </c>
      <c r="IV16" t="s">
        <v>816</v>
      </c>
      <c r="IW16" t="s">
        <v>816</v>
      </c>
      <c r="IX16" t="s">
        <v>816</v>
      </c>
      <c r="IY16" t="s">
        <v>816</v>
      </c>
      <c r="IZ16" t="s">
        <v>816</v>
      </c>
      <c r="JA16" t="s">
        <v>816</v>
      </c>
      <c r="JB16" s="6" t="s">
        <v>816</v>
      </c>
      <c r="JC16" s="6" t="s">
        <v>816</v>
      </c>
      <c r="JE16" s="6" t="s">
        <v>816</v>
      </c>
      <c r="JF16" t="s">
        <v>816</v>
      </c>
      <c r="JL16" s="6" t="s">
        <v>816</v>
      </c>
      <c r="JO16" t="s">
        <v>816</v>
      </c>
      <c r="JP16" t="s">
        <v>816</v>
      </c>
      <c r="JQ16" t="s">
        <v>816</v>
      </c>
      <c r="JR16" t="s">
        <v>816</v>
      </c>
      <c r="JS16" s="6" t="s">
        <v>816</v>
      </c>
      <c r="JT16" s="6" t="s">
        <v>816</v>
      </c>
      <c r="JW16" s="6" t="s">
        <v>816</v>
      </c>
      <c r="JX16" s="6" t="s">
        <v>816</v>
      </c>
      <c r="JY16" s="6" t="s">
        <v>816</v>
      </c>
      <c r="JZ16" s="6" t="s">
        <v>816</v>
      </c>
      <c r="KA16" s="6" t="s">
        <v>816</v>
      </c>
      <c r="KB16" s="6" t="s">
        <v>816</v>
      </c>
      <c r="KC16" s="6" t="s">
        <v>816</v>
      </c>
      <c r="KE16" s="6" t="s">
        <v>816</v>
      </c>
      <c r="KG16" s="6" t="s">
        <v>816</v>
      </c>
      <c r="KJ16" s="6" t="s">
        <v>816</v>
      </c>
      <c r="KL16" s="6"/>
      <c r="KM16" t="s">
        <v>816</v>
      </c>
    </row>
    <row r="17" spans="1:305" x14ac:dyDescent="0.3">
      <c r="A17">
        <v>16</v>
      </c>
      <c r="B17" t="s">
        <v>1087</v>
      </c>
      <c r="C17" t="s">
        <v>816</v>
      </c>
      <c r="D17" t="s">
        <v>917</v>
      </c>
      <c r="E17" t="s">
        <v>2620</v>
      </c>
      <c r="F17">
        <v>72400</v>
      </c>
      <c r="G17" t="s">
        <v>421</v>
      </c>
      <c r="H17" t="s">
        <v>421</v>
      </c>
      <c r="I17" t="s">
        <v>818</v>
      </c>
      <c r="J17" t="s">
        <v>819</v>
      </c>
      <c r="K17" t="s">
        <v>820</v>
      </c>
      <c r="L17">
        <v>2222313245</v>
      </c>
      <c r="M17" s="2" t="s">
        <v>1088</v>
      </c>
      <c r="N17" t="s">
        <v>524</v>
      </c>
      <c r="O17" t="s">
        <v>824</v>
      </c>
      <c r="P17">
        <v>1</v>
      </c>
      <c r="S17">
        <v>1</v>
      </c>
      <c r="T17">
        <v>1</v>
      </c>
      <c r="U17">
        <v>1</v>
      </c>
      <c r="V17">
        <v>1</v>
      </c>
      <c r="W17">
        <v>0</v>
      </c>
      <c r="X17">
        <v>0</v>
      </c>
      <c r="Y17" t="s">
        <v>883</v>
      </c>
      <c r="AO17" t="s">
        <v>822</v>
      </c>
      <c r="AP17" t="s">
        <v>1090</v>
      </c>
      <c r="AQ17">
        <v>8</v>
      </c>
      <c r="AR17">
        <v>0</v>
      </c>
      <c r="AS17">
        <v>3</v>
      </c>
      <c r="AT17">
        <v>5</v>
      </c>
      <c r="AU17">
        <v>0</v>
      </c>
      <c r="AV17">
        <v>0</v>
      </c>
      <c r="BB17" s="3">
        <f t="shared" si="0"/>
        <v>28</v>
      </c>
      <c r="BC17">
        <v>1</v>
      </c>
      <c r="BD17" t="s">
        <v>987</v>
      </c>
      <c r="BE17">
        <v>8</v>
      </c>
      <c r="BF17" t="s">
        <v>826</v>
      </c>
      <c r="BG17">
        <v>7</v>
      </c>
      <c r="BH17">
        <v>1</v>
      </c>
      <c r="BO17">
        <v>2</v>
      </c>
      <c r="BP17" t="s">
        <v>827</v>
      </c>
      <c r="BR17">
        <v>2</v>
      </c>
      <c r="BS17" t="s">
        <v>828</v>
      </c>
      <c r="BV17">
        <v>12</v>
      </c>
      <c r="BW17" t="s">
        <v>829</v>
      </c>
      <c r="CN17">
        <v>12</v>
      </c>
      <c r="CP17">
        <v>1</v>
      </c>
      <c r="CR17">
        <v>1</v>
      </c>
      <c r="CS17">
        <v>3</v>
      </c>
      <c r="CT17">
        <v>2</v>
      </c>
      <c r="CU17" s="3">
        <f t="shared" si="8"/>
        <v>6</v>
      </c>
      <c r="CV17">
        <v>4</v>
      </c>
      <c r="CW17">
        <v>1</v>
      </c>
      <c r="CY17">
        <v>1</v>
      </c>
      <c r="CZ17">
        <v>1</v>
      </c>
      <c r="DC17">
        <v>4</v>
      </c>
      <c r="DD17" t="s">
        <v>828</v>
      </c>
      <c r="DM17">
        <v>4</v>
      </c>
      <c r="DN17" t="s">
        <v>830</v>
      </c>
      <c r="DQ17">
        <v>2</v>
      </c>
      <c r="DR17" t="s">
        <v>831</v>
      </c>
      <c r="EG17">
        <v>20</v>
      </c>
      <c r="EH17" t="s">
        <v>825</v>
      </c>
      <c r="EI17">
        <v>2024</v>
      </c>
      <c r="EJ17" t="s">
        <v>1311</v>
      </c>
      <c r="EP17" t="s">
        <v>439</v>
      </c>
      <c r="EQ17" t="s">
        <v>440</v>
      </c>
      <c r="ER17" t="s">
        <v>1091</v>
      </c>
      <c r="ES17" s="9" t="s">
        <v>1092</v>
      </c>
      <c r="ET17" t="s">
        <v>1177</v>
      </c>
      <c r="EU17" t="s">
        <v>1093</v>
      </c>
      <c r="EV17" s="9" t="s">
        <v>1094</v>
      </c>
      <c r="EW17" t="s">
        <v>1095</v>
      </c>
      <c r="EX17" t="s">
        <v>1096</v>
      </c>
      <c r="EY17" s="9" t="s">
        <v>1097</v>
      </c>
      <c r="EZ17" t="s">
        <v>839</v>
      </c>
      <c r="FA17" t="s">
        <v>1098</v>
      </c>
      <c r="FB17" s="9" t="s">
        <v>1099</v>
      </c>
      <c r="FC17" t="s">
        <v>839</v>
      </c>
      <c r="FD17" t="s">
        <v>1100</v>
      </c>
      <c r="FE17" s="9" t="s">
        <v>1101</v>
      </c>
      <c r="FF17" t="s">
        <v>855</v>
      </c>
      <c r="FG17" t="s">
        <v>1102</v>
      </c>
      <c r="FH17" s="9" t="s">
        <v>1103</v>
      </c>
      <c r="FI17" t="s">
        <v>845</v>
      </c>
      <c r="FJ17" t="s">
        <v>1104</v>
      </c>
      <c r="FK17" s="9" t="s">
        <v>1099</v>
      </c>
      <c r="FL17" t="s">
        <v>839</v>
      </c>
      <c r="FM17" t="s">
        <v>1100</v>
      </c>
      <c r="FN17" s="9" t="s">
        <v>1094</v>
      </c>
      <c r="FO17" t="s">
        <v>1095</v>
      </c>
      <c r="FP17" t="s">
        <v>1096</v>
      </c>
      <c r="FQ17" s="9" t="s">
        <v>1097</v>
      </c>
      <c r="FR17" t="s">
        <v>839</v>
      </c>
      <c r="FS17" t="s">
        <v>1098</v>
      </c>
      <c r="FU17">
        <v>0</v>
      </c>
      <c r="FV17" s="3">
        <f t="shared" si="9"/>
        <v>0</v>
      </c>
      <c r="FX17">
        <v>0</v>
      </c>
      <c r="FY17" s="3">
        <f t="shared" si="10"/>
        <v>0</v>
      </c>
      <c r="GA17">
        <v>0</v>
      </c>
      <c r="GB17" s="3">
        <f t="shared" si="11"/>
        <v>0</v>
      </c>
      <c r="GC17" t="s">
        <v>452</v>
      </c>
      <c r="GE17" s="3">
        <f t="shared" si="12"/>
        <v>0</v>
      </c>
      <c r="GF17" s="3">
        <f t="shared" si="13"/>
        <v>0</v>
      </c>
      <c r="GG17" s="3" t="str">
        <f t="shared" si="2"/>
        <v>ORDINARIO</v>
      </c>
      <c r="GH17" t="s">
        <v>1105</v>
      </c>
      <c r="GI17" t="s">
        <v>845</v>
      </c>
      <c r="GJ17" t="s">
        <v>1106</v>
      </c>
      <c r="GN17" s="6" t="s">
        <v>816</v>
      </c>
      <c r="GO17" s="6" t="s">
        <v>816</v>
      </c>
      <c r="GP17" s="6" t="s">
        <v>816</v>
      </c>
      <c r="GQ17" s="6" t="s">
        <v>816</v>
      </c>
      <c r="GR17" s="6" t="s">
        <v>816</v>
      </c>
      <c r="GS17" s="6" t="s">
        <v>816</v>
      </c>
      <c r="GT17" s="6"/>
      <c r="GU17" s="6" t="s">
        <v>816</v>
      </c>
      <c r="HH17" s="6" t="s">
        <v>816</v>
      </c>
      <c r="HL17" t="s">
        <v>816</v>
      </c>
      <c r="HM17" t="s">
        <v>816</v>
      </c>
      <c r="HN17" t="s">
        <v>816</v>
      </c>
      <c r="HO17" s="6" t="s">
        <v>816</v>
      </c>
      <c r="HQ17" s="6" t="s">
        <v>816</v>
      </c>
      <c r="HR17" t="s">
        <v>816</v>
      </c>
      <c r="HS17" s="6" t="s">
        <v>816</v>
      </c>
      <c r="HT17" s="6" t="s">
        <v>816</v>
      </c>
      <c r="HV17" s="6" t="s">
        <v>816</v>
      </c>
      <c r="HW17" s="6" t="s">
        <v>816</v>
      </c>
      <c r="HX17" s="6" t="s">
        <v>816</v>
      </c>
      <c r="HY17" s="6" t="s">
        <v>816</v>
      </c>
      <c r="IC17" s="6" t="s">
        <v>816</v>
      </c>
      <c r="ID17" s="6" t="s">
        <v>816</v>
      </c>
      <c r="IG17" s="6" t="s">
        <v>816</v>
      </c>
      <c r="IH17" s="6" t="s">
        <v>816</v>
      </c>
      <c r="II17" s="6" t="s">
        <v>816</v>
      </c>
      <c r="IJ17" s="6" t="s">
        <v>816</v>
      </c>
      <c r="IK17" s="6"/>
      <c r="IL17" s="6" t="s">
        <v>816</v>
      </c>
      <c r="IO17" s="6"/>
      <c r="IP17" s="6"/>
      <c r="IQ17" t="s">
        <v>816</v>
      </c>
      <c r="IU17" s="6" t="s">
        <v>816</v>
      </c>
      <c r="IV17" t="s">
        <v>816</v>
      </c>
      <c r="IW17" t="s">
        <v>816</v>
      </c>
      <c r="IX17" t="s">
        <v>816</v>
      </c>
      <c r="IY17" t="s">
        <v>816</v>
      </c>
      <c r="IZ17" t="s">
        <v>816</v>
      </c>
      <c r="JA17" t="s">
        <v>816</v>
      </c>
      <c r="JB17" s="6" t="s">
        <v>816</v>
      </c>
      <c r="JC17" s="6" t="s">
        <v>816</v>
      </c>
      <c r="JE17" s="6" t="s">
        <v>816</v>
      </c>
      <c r="JF17" t="s">
        <v>816</v>
      </c>
      <c r="JL17" s="6" t="s">
        <v>816</v>
      </c>
      <c r="JO17" t="s">
        <v>816</v>
      </c>
      <c r="JP17" t="s">
        <v>816</v>
      </c>
      <c r="JQ17" t="s">
        <v>816</v>
      </c>
      <c r="JR17" t="s">
        <v>816</v>
      </c>
      <c r="JS17" s="6" t="s">
        <v>816</v>
      </c>
      <c r="JT17" s="6" t="s">
        <v>816</v>
      </c>
      <c r="JW17" s="6" t="s">
        <v>816</v>
      </c>
      <c r="JX17" s="6" t="s">
        <v>816</v>
      </c>
      <c r="JY17" s="6" t="s">
        <v>816</v>
      </c>
      <c r="JZ17" s="6" t="s">
        <v>816</v>
      </c>
      <c r="KA17" s="6" t="s">
        <v>816</v>
      </c>
      <c r="KB17" s="6" t="s">
        <v>816</v>
      </c>
      <c r="KC17" s="6" t="s">
        <v>816</v>
      </c>
      <c r="KE17" s="6" t="s">
        <v>816</v>
      </c>
      <c r="KG17" s="6" t="s">
        <v>816</v>
      </c>
      <c r="KJ17" s="6" t="s">
        <v>816</v>
      </c>
      <c r="KL17" s="6"/>
      <c r="KM17" t="s">
        <v>816</v>
      </c>
    </row>
    <row r="18" spans="1:305" x14ac:dyDescent="0.3">
      <c r="A18">
        <v>17</v>
      </c>
      <c r="B18" t="s">
        <v>1179</v>
      </c>
      <c r="C18" t="s">
        <v>816</v>
      </c>
      <c r="D18" t="s">
        <v>917</v>
      </c>
      <c r="E18" t="s">
        <v>2621</v>
      </c>
      <c r="F18">
        <v>74400</v>
      </c>
      <c r="G18" t="s">
        <v>1181</v>
      </c>
      <c r="H18" t="s">
        <v>421</v>
      </c>
      <c r="I18" t="s">
        <v>818</v>
      </c>
      <c r="J18" t="s">
        <v>1180</v>
      </c>
      <c r="K18" t="s">
        <v>820</v>
      </c>
      <c r="N18" t="s">
        <v>524</v>
      </c>
      <c r="O18" t="s">
        <v>824</v>
      </c>
      <c r="P18">
        <v>1</v>
      </c>
      <c r="S18">
        <v>1</v>
      </c>
      <c r="T18">
        <v>1</v>
      </c>
      <c r="U18">
        <v>1</v>
      </c>
      <c r="V18">
        <v>1</v>
      </c>
      <c r="W18">
        <v>2</v>
      </c>
      <c r="X18">
        <v>0</v>
      </c>
      <c r="Y18" t="s">
        <v>1182</v>
      </c>
      <c r="AO18" t="s">
        <v>822</v>
      </c>
      <c r="AP18" t="s">
        <v>1183</v>
      </c>
      <c r="AQ18">
        <v>9</v>
      </c>
      <c r="AR18">
        <v>0</v>
      </c>
      <c r="AS18">
        <v>3</v>
      </c>
      <c r="AT18">
        <v>6</v>
      </c>
      <c r="AU18">
        <v>0</v>
      </c>
      <c r="AV18">
        <v>0</v>
      </c>
      <c r="BB18" s="3">
        <f t="shared" si="0"/>
        <v>30</v>
      </c>
      <c r="BC18">
        <v>1</v>
      </c>
      <c r="BD18" t="s">
        <v>987</v>
      </c>
      <c r="BE18">
        <v>7</v>
      </c>
      <c r="BF18" t="s">
        <v>826</v>
      </c>
      <c r="BG18">
        <v>6</v>
      </c>
      <c r="BH18">
        <v>1</v>
      </c>
      <c r="BO18">
        <v>1</v>
      </c>
      <c r="BP18" t="s">
        <v>827</v>
      </c>
      <c r="BR18">
        <v>1</v>
      </c>
      <c r="BS18" t="s">
        <v>828</v>
      </c>
      <c r="BV18">
        <v>20</v>
      </c>
      <c r="BW18" t="s">
        <v>829</v>
      </c>
      <c r="CN18">
        <v>16</v>
      </c>
      <c r="CP18">
        <v>2</v>
      </c>
      <c r="CS18">
        <v>3</v>
      </c>
      <c r="CT18">
        <v>1</v>
      </c>
      <c r="CU18" s="3">
        <f t="shared" si="8"/>
        <v>6</v>
      </c>
      <c r="CV18">
        <v>4</v>
      </c>
      <c r="CW18">
        <v>1</v>
      </c>
      <c r="CY18">
        <v>1</v>
      </c>
      <c r="CZ18">
        <v>1</v>
      </c>
      <c r="DC18">
        <v>10</v>
      </c>
      <c r="DD18" t="s">
        <v>828</v>
      </c>
      <c r="DM18">
        <v>4</v>
      </c>
      <c r="DN18" t="s">
        <v>830</v>
      </c>
      <c r="DQ18">
        <v>2</v>
      </c>
      <c r="DR18" t="s">
        <v>831</v>
      </c>
      <c r="EG18">
        <v>2</v>
      </c>
      <c r="EH18" t="s">
        <v>825</v>
      </c>
      <c r="EI18">
        <v>2024</v>
      </c>
      <c r="EJ18" t="s">
        <v>1332</v>
      </c>
      <c r="EP18" t="s">
        <v>439</v>
      </c>
      <c r="EQ18" t="s">
        <v>440</v>
      </c>
      <c r="ER18" t="s">
        <v>1184</v>
      </c>
      <c r="ES18" s="9" t="s">
        <v>1185</v>
      </c>
      <c r="ET18" t="s">
        <v>1177</v>
      </c>
      <c r="EU18" t="s">
        <v>1186</v>
      </c>
      <c r="EV18" s="9" t="s">
        <v>1187</v>
      </c>
      <c r="EW18" t="s">
        <v>845</v>
      </c>
      <c r="EX18" t="s">
        <v>1188</v>
      </c>
      <c r="FB18" s="9" t="s">
        <v>1189</v>
      </c>
      <c r="FC18" t="s">
        <v>896</v>
      </c>
      <c r="FD18" t="s">
        <v>1190</v>
      </c>
      <c r="FE18" s="9" t="s">
        <v>1191</v>
      </c>
      <c r="FF18" t="s">
        <v>896</v>
      </c>
      <c r="FG18" t="s">
        <v>1192</v>
      </c>
      <c r="FH18" s="9" t="s">
        <v>1193</v>
      </c>
      <c r="FI18" t="s">
        <v>855</v>
      </c>
      <c r="FJ18" t="s">
        <v>1194</v>
      </c>
      <c r="FK18" s="9" t="s">
        <v>1195</v>
      </c>
      <c r="FL18" t="s">
        <v>839</v>
      </c>
      <c r="FM18" t="s">
        <v>1196</v>
      </c>
      <c r="FN18" s="9" t="s">
        <v>1197</v>
      </c>
      <c r="FO18" t="s">
        <v>839</v>
      </c>
      <c r="FP18" t="s">
        <v>1198</v>
      </c>
      <c r="FQ18" s="9" t="s">
        <v>1199</v>
      </c>
      <c r="FR18" t="s">
        <v>839</v>
      </c>
      <c r="FS18" t="s">
        <v>1200</v>
      </c>
      <c r="FU18">
        <v>0</v>
      </c>
      <c r="FV18" s="3">
        <f t="shared" si="9"/>
        <v>0</v>
      </c>
      <c r="FX18">
        <v>0</v>
      </c>
      <c r="FY18" s="3">
        <f t="shared" si="10"/>
        <v>0</v>
      </c>
      <c r="GA18">
        <v>0</v>
      </c>
      <c r="GB18" s="3">
        <f t="shared" si="11"/>
        <v>0</v>
      </c>
      <c r="GC18" t="s">
        <v>452</v>
      </c>
      <c r="GE18" s="3">
        <f t="shared" si="12"/>
        <v>0</v>
      </c>
      <c r="GF18" s="3">
        <f t="shared" si="13"/>
        <v>0</v>
      </c>
      <c r="GG18" s="3" t="str">
        <f t="shared" si="2"/>
        <v>ORDINARIO</v>
      </c>
      <c r="GN18" s="6" t="s">
        <v>816</v>
      </c>
      <c r="GO18" s="6" t="s">
        <v>816</v>
      </c>
      <c r="GP18" s="6" t="s">
        <v>816</v>
      </c>
      <c r="GQ18" s="6" t="s">
        <v>816</v>
      </c>
      <c r="GR18" t="s">
        <v>816</v>
      </c>
      <c r="GS18" s="6" t="s">
        <v>816</v>
      </c>
      <c r="GT18" s="6"/>
      <c r="GU18" s="6" t="s">
        <v>816</v>
      </c>
      <c r="HH18" s="6" t="s">
        <v>816</v>
      </c>
      <c r="HL18" t="s">
        <v>816</v>
      </c>
      <c r="HM18" t="s">
        <v>816</v>
      </c>
      <c r="HN18" t="s">
        <v>816</v>
      </c>
      <c r="HO18" s="6" t="s">
        <v>816</v>
      </c>
      <c r="HQ18" s="6" t="s">
        <v>816</v>
      </c>
      <c r="HR18" t="s">
        <v>816</v>
      </c>
      <c r="HS18" s="6" t="s">
        <v>816</v>
      </c>
      <c r="HT18" s="6" t="s">
        <v>816</v>
      </c>
      <c r="HU18" s="6"/>
      <c r="HV18" s="6" t="s">
        <v>816</v>
      </c>
      <c r="HW18" s="6" t="s">
        <v>816</v>
      </c>
      <c r="HX18" s="6" t="s">
        <v>816</v>
      </c>
      <c r="HY18" s="6" t="s">
        <v>816</v>
      </c>
      <c r="IC18" s="6" t="s">
        <v>816</v>
      </c>
      <c r="ID18" s="6" t="s">
        <v>816</v>
      </c>
      <c r="IG18" s="6" t="s">
        <v>816</v>
      </c>
      <c r="IH18" s="6" t="s">
        <v>816</v>
      </c>
      <c r="II18" s="6" t="s">
        <v>816</v>
      </c>
      <c r="IJ18" s="6" t="s">
        <v>816</v>
      </c>
      <c r="IK18" s="6"/>
      <c r="IL18" s="6" t="s">
        <v>816</v>
      </c>
      <c r="IO18" s="6"/>
      <c r="IP18" s="6"/>
      <c r="IQ18" t="s">
        <v>816</v>
      </c>
      <c r="IU18" s="6" t="s">
        <v>816</v>
      </c>
      <c r="IV18" t="s">
        <v>816</v>
      </c>
      <c r="IW18" t="s">
        <v>816</v>
      </c>
      <c r="IX18" t="s">
        <v>816</v>
      </c>
      <c r="IY18" t="s">
        <v>816</v>
      </c>
      <c r="IZ18" t="s">
        <v>816</v>
      </c>
      <c r="JA18" t="s">
        <v>816</v>
      </c>
      <c r="JB18" s="6" t="s">
        <v>816</v>
      </c>
      <c r="JC18" s="6" t="s">
        <v>816</v>
      </c>
      <c r="JE18" s="6" t="s">
        <v>816</v>
      </c>
      <c r="JF18" t="s">
        <v>816</v>
      </c>
      <c r="JL18" s="6" t="s">
        <v>816</v>
      </c>
      <c r="JO18" t="s">
        <v>816</v>
      </c>
      <c r="JP18" t="s">
        <v>816</v>
      </c>
      <c r="JQ18" t="s">
        <v>816</v>
      </c>
      <c r="JR18" t="s">
        <v>816</v>
      </c>
      <c r="JS18" s="6" t="s">
        <v>816</v>
      </c>
      <c r="JT18" s="6" t="s">
        <v>816</v>
      </c>
      <c r="JW18" s="6" t="s">
        <v>816</v>
      </c>
      <c r="JX18" s="6" t="s">
        <v>816</v>
      </c>
      <c r="JY18" s="6" t="s">
        <v>816</v>
      </c>
      <c r="JZ18" s="6" t="s">
        <v>816</v>
      </c>
      <c r="KA18" s="6" t="s">
        <v>816</v>
      </c>
      <c r="KB18" s="6" t="s">
        <v>816</v>
      </c>
      <c r="KC18" s="6" t="s">
        <v>816</v>
      </c>
      <c r="KE18" s="6" t="s">
        <v>816</v>
      </c>
      <c r="KG18" s="6" t="s">
        <v>816</v>
      </c>
      <c r="KJ18" s="6" t="s">
        <v>816</v>
      </c>
      <c r="KL18" s="6"/>
      <c r="KM18" t="s">
        <v>816</v>
      </c>
    </row>
    <row r="19" spans="1:305" x14ac:dyDescent="0.3">
      <c r="A19">
        <v>18</v>
      </c>
      <c r="B19" t="s">
        <v>1545</v>
      </c>
      <c r="C19" t="s">
        <v>816</v>
      </c>
      <c r="D19" t="s">
        <v>917</v>
      </c>
      <c r="E19" t="s">
        <v>2622</v>
      </c>
      <c r="F19">
        <v>75280</v>
      </c>
      <c r="G19" t="s">
        <v>1544</v>
      </c>
      <c r="H19" t="s">
        <v>421</v>
      </c>
      <c r="I19" t="s">
        <v>818</v>
      </c>
      <c r="K19" t="s">
        <v>820</v>
      </c>
      <c r="N19" t="s">
        <v>524</v>
      </c>
      <c r="O19" t="s">
        <v>824</v>
      </c>
      <c r="P19">
        <v>1</v>
      </c>
      <c r="S19">
        <v>1</v>
      </c>
      <c r="T19">
        <v>1</v>
      </c>
      <c r="U19">
        <v>1</v>
      </c>
      <c r="V19">
        <v>1</v>
      </c>
      <c r="W19">
        <v>0</v>
      </c>
      <c r="X19">
        <v>0</v>
      </c>
      <c r="Y19" t="s">
        <v>821</v>
      </c>
      <c r="AO19" t="s">
        <v>822</v>
      </c>
      <c r="AP19" t="s">
        <v>1225</v>
      </c>
      <c r="AQ19">
        <v>14</v>
      </c>
      <c r="AR19">
        <v>0</v>
      </c>
      <c r="AS19">
        <v>5</v>
      </c>
      <c r="AT19">
        <v>9</v>
      </c>
      <c r="AU19">
        <v>0</v>
      </c>
      <c r="AV19">
        <v>0</v>
      </c>
      <c r="BB19" s="3">
        <f t="shared" si="0"/>
        <v>0</v>
      </c>
      <c r="BD19" t="s">
        <v>987</v>
      </c>
      <c r="BF19" t="s">
        <v>826</v>
      </c>
      <c r="BP19" t="s">
        <v>827</v>
      </c>
      <c r="BS19" t="s">
        <v>828</v>
      </c>
      <c r="BW19" t="s">
        <v>829</v>
      </c>
      <c r="CU19" s="3">
        <f t="shared" si="8"/>
        <v>0</v>
      </c>
      <c r="DD19" t="s">
        <v>828</v>
      </c>
      <c r="DM19">
        <v>4</v>
      </c>
      <c r="DN19" t="s">
        <v>830</v>
      </c>
      <c r="DQ19">
        <v>2</v>
      </c>
      <c r="DR19" t="s">
        <v>831</v>
      </c>
      <c r="EG19">
        <v>22</v>
      </c>
      <c r="EH19" t="s">
        <v>825</v>
      </c>
      <c r="EI19">
        <v>2024</v>
      </c>
      <c r="EJ19" t="s">
        <v>1627</v>
      </c>
      <c r="EP19" t="s">
        <v>439</v>
      </c>
      <c r="EQ19" t="s">
        <v>440</v>
      </c>
      <c r="ER19" t="s">
        <v>1226</v>
      </c>
      <c r="ES19" s="9" t="s">
        <v>1546</v>
      </c>
      <c r="ET19" t="s">
        <v>1177</v>
      </c>
      <c r="EU19" t="s">
        <v>1547</v>
      </c>
      <c r="EV19" s="9" t="s">
        <v>1548</v>
      </c>
      <c r="EW19" t="s">
        <v>839</v>
      </c>
      <c r="EX19" t="s">
        <v>1549</v>
      </c>
      <c r="EY19" s="9" t="s">
        <v>1550</v>
      </c>
      <c r="EZ19" t="s">
        <v>855</v>
      </c>
      <c r="FA19" t="s">
        <v>1551</v>
      </c>
      <c r="FB19" s="9" t="s">
        <v>1552</v>
      </c>
      <c r="FC19" t="s">
        <v>855</v>
      </c>
      <c r="FD19" t="s">
        <v>1553</v>
      </c>
      <c r="FE19" s="9" t="s">
        <v>1554</v>
      </c>
      <c r="FF19" t="s">
        <v>839</v>
      </c>
      <c r="FG19" t="s">
        <v>1555</v>
      </c>
      <c r="FH19" s="9" t="s">
        <v>1556</v>
      </c>
      <c r="FI19" t="s">
        <v>839</v>
      </c>
      <c r="FJ19" t="s">
        <v>1557</v>
      </c>
      <c r="FK19" s="9" t="s">
        <v>1558</v>
      </c>
      <c r="FL19" t="s">
        <v>839</v>
      </c>
      <c r="FM19" t="s">
        <v>1559</v>
      </c>
      <c r="FN19" s="9" t="s">
        <v>1560</v>
      </c>
      <c r="FO19" t="s">
        <v>845</v>
      </c>
      <c r="FP19" t="s">
        <v>1561</v>
      </c>
      <c r="FQ19" s="9" t="s">
        <v>1562</v>
      </c>
      <c r="FR19" t="s">
        <v>845</v>
      </c>
      <c r="FS19" t="s">
        <v>1563</v>
      </c>
      <c r="FU19">
        <v>0</v>
      </c>
      <c r="FV19" s="3">
        <f t="shared" si="9"/>
        <v>0</v>
      </c>
      <c r="FX19">
        <v>0</v>
      </c>
      <c r="FY19" s="3">
        <f t="shared" si="10"/>
        <v>0</v>
      </c>
      <c r="GA19">
        <v>0</v>
      </c>
      <c r="GB19" s="3">
        <f t="shared" si="11"/>
        <v>0</v>
      </c>
      <c r="GC19" t="s">
        <v>452</v>
      </c>
      <c r="GE19" s="3">
        <f t="shared" si="12"/>
        <v>0</v>
      </c>
      <c r="GF19" s="3">
        <f t="shared" si="13"/>
        <v>0</v>
      </c>
      <c r="GG19" s="3" t="str">
        <f t="shared" si="2"/>
        <v>ORDINARIO</v>
      </c>
      <c r="GH19" t="s">
        <v>1564</v>
      </c>
      <c r="GI19" t="s">
        <v>836</v>
      </c>
      <c r="GJ19" t="s">
        <v>1565</v>
      </c>
      <c r="GK19" t="s">
        <v>1566</v>
      </c>
      <c r="GL19" t="s">
        <v>1261</v>
      </c>
      <c r="GM19" t="s">
        <v>1567</v>
      </c>
      <c r="GN19" s="6" t="s">
        <v>816</v>
      </c>
      <c r="GO19" s="6" t="s">
        <v>816</v>
      </c>
      <c r="GP19" t="s">
        <v>816</v>
      </c>
      <c r="GQ19" t="s">
        <v>816</v>
      </c>
      <c r="GR19" t="s">
        <v>816</v>
      </c>
      <c r="GS19" t="s">
        <v>816</v>
      </c>
      <c r="GU19" t="s">
        <v>816</v>
      </c>
      <c r="HH19" t="s">
        <v>816</v>
      </c>
      <c r="HL19" t="s">
        <v>816</v>
      </c>
      <c r="HM19" t="s">
        <v>816</v>
      </c>
      <c r="HN19" t="s">
        <v>816</v>
      </c>
      <c r="HO19" s="6" t="s">
        <v>816</v>
      </c>
      <c r="HQ19" t="s">
        <v>816</v>
      </c>
      <c r="HR19" t="s">
        <v>816</v>
      </c>
      <c r="HS19" t="s">
        <v>816</v>
      </c>
      <c r="HT19" t="s">
        <v>816</v>
      </c>
      <c r="HV19" t="s">
        <v>816</v>
      </c>
      <c r="HW19" s="6" t="s">
        <v>816</v>
      </c>
      <c r="HX19" s="6" t="s">
        <v>816</v>
      </c>
      <c r="HY19" t="s">
        <v>816</v>
      </c>
      <c r="IC19" t="s">
        <v>816</v>
      </c>
      <c r="ID19" t="s">
        <v>816</v>
      </c>
      <c r="IG19" t="s">
        <v>816</v>
      </c>
      <c r="IH19" t="s">
        <v>816</v>
      </c>
      <c r="II19" t="s">
        <v>816</v>
      </c>
      <c r="IJ19" t="s">
        <v>816</v>
      </c>
      <c r="IL19" t="s">
        <v>816</v>
      </c>
      <c r="IQ19" t="s">
        <v>816</v>
      </c>
      <c r="IU19" s="6" t="s">
        <v>816</v>
      </c>
      <c r="IV19" t="s">
        <v>816</v>
      </c>
      <c r="IW19" t="s">
        <v>816</v>
      </c>
      <c r="IX19" t="s">
        <v>816</v>
      </c>
      <c r="IY19" t="s">
        <v>816</v>
      </c>
      <c r="IZ19" t="s">
        <v>816</v>
      </c>
      <c r="JA19" t="s">
        <v>816</v>
      </c>
      <c r="JB19" t="s">
        <v>816</v>
      </c>
      <c r="JC19" t="s">
        <v>816</v>
      </c>
      <c r="JE19" t="s">
        <v>816</v>
      </c>
      <c r="JF19" t="s">
        <v>816</v>
      </c>
      <c r="JL19" t="s">
        <v>816</v>
      </c>
      <c r="JO19" t="s">
        <v>816</v>
      </c>
      <c r="JP19" t="s">
        <v>816</v>
      </c>
      <c r="JQ19" t="s">
        <v>816</v>
      </c>
      <c r="JR19" t="s">
        <v>816</v>
      </c>
      <c r="JS19" t="s">
        <v>816</v>
      </c>
      <c r="JT19" t="s">
        <v>816</v>
      </c>
      <c r="JW19" t="s">
        <v>816</v>
      </c>
      <c r="JX19" t="s">
        <v>816</v>
      </c>
      <c r="JY19" t="s">
        <v>816</v>
      </c>
      <c r="JZ19" t="s">
        <v>816</v>
      </c>
      <c r="KA19" t="s">
        <v>816</v>
      </c>
      <c r="KB19" t="s">
        <v>816</v>
      </c>
      <c r="KC19" t="s">
        <v>816</v>
      </c>
      <c r="KE19" t="s">
        <v>816</v>
      </c>
      <c r="KG19" t="s">
        <v>816</v>
      </c>
      <c r="KJ19" t="s">
        <v>816</v>
      </c>
      <c r="KM19" t="s">
        <v>816</v>
      </c>
      <c r="KN19" t="s">
        <v>1568</v>
      </c>
      <c r="KO19" t="s">
        <v>1261</v>
      </c>
      <c r="KP19" t="s">
        <v>1569</v>
      </c>
      <c r="KQ19" t="s">
        <v>1570</v>
      </c>
      <c r="KR19" t="s">
        <v>845</v>
      </c>
      <c r="KS19" t="s">
        <v>1571</v>
      </c>
    </row>
    <row r="20" spans="1:305" x14ac:dyDescent="0.3">
      <c r="A20">
        <v>19</v>
      </c>
      <c r="B20" t="s">
        <v>1016</v>
      </c>
      <c r="C20" t="s">
        <v>816</v>
      </c>
      <c r="D20" t="s">
        <v>917</v>
      </c>
      <c r="E20" t="s">
        <v>2623</v>
      </c>
      <c r="F20">
        <v>72150</v>
      </c>
      <c r="G20" t="s">
        <v>421</v>
      </c>
      <c r="H20" t="s">
        <v>421</v>
      </c>
      <c r="I20" t="s">
        <v>818</v>
      </c>
      <c r="J20" t="s">
        <v>819</v>
      </c>
      <c r="K20" t="s">
        <v>820</v>
      </c>
      <c r="N20" t="s">
        <v>524</v>
      </c>
      <c r="O20" t="s">
        <v>824</v>
      </c>
      <c r="P20">
        <v>1</v>
      </c>
      <c r="S20">
        <v>1</v>
      </c>
      <c r="T20">
        <v>1</v>
      </c>
      <c r="U20">
        <v>1</v>
      </c>
      <c r="V20">
        <v>2</v>
      </c>
      <c r="W20">
        <v>0</v>
      </c>
      <c r="X20">
        <v>0</v>
      </c>
      <c r="Y20" t="s">
        <v>916</v>
      </c>
      <c r="AO20" t="s">
        <v>822</v>
      </c>
      <c r="AP20" t="s">
        <v>922</v>
      </c>
      <c r="AQ20">
        <v>9</v>
      </c>
      <c r="AR20">
        <v>0</v>
      </c>
      <c r="AS20">
        <v>2</v>
      </c>
      <c r="AT20">
        <v>7</v>
      </c>
      <c r="AU20">
        <v>0</v>
      </c>
      <c r="AV20">
        <v>0</v>
      </c>
      <c r="BB20" s="3">
        <f t="shared" si="0"/>
        <v>15</v>
      </c>
      <c r="BC20">
        <v>1</v>
      </c>
      <c r="BD20" t="s">
        <v>987</v>
      </c>
      <c r="BE20">
        <v>5</v>
      </c>
      <c r="BF20" t="s">
        <v>826</v>
      </c>
      <c r="BG20">
        <v>4</v>
      </c>
      <c r="BH20">
        <v>1</v>
      </c>
      <c r="BO20">
        <v>2</v>
      </c>
      <c r="BP20" t="s">
        <v>827</v>
      </c>
      <c r="BQ20">
        <v>2</v>
      </c>
      <c r="BS20" t="s">
        <v>828</v>
      </c>
      <c r="BV20">
        <v>14</v>
      </c>
      <c r="BW20" t="s">
        <v>829</v>
      </c>
      <c r="CN20">
        <v>3</v>
      </c>
      <c r="CP20">
        <v>2</v>
      </c>
      <c r="CR20">
        <v>1</v>
      </c>
      <c r="CS20">
        <v>1</v>
      </c>
      <c r="CT20">
        <v>8</v>
      </c>
      <c r="CU20" s="3">
        <f t="shared" si="8"/>
        <v>6</v>
      </c>
      <c r="CV20">
        <v>1</v>
      </c>
      <c r="CW20">
        <v>1</v>
      </c>
      <c r="CY20">
        <v>4</v>
      </c>
      <c r="CZ20">
        <v>1</v>
      </c>
      <c r="DC20">
        <v>5</v>
      </c>
      <c r="DD20" t="s">
        <v>828</v>
      </c>
      <c r="DM20">
        <v>4</v>
      </c>
      <c r="DN20" t="s">
        <v>830</v>
      </c>
      <c r="DQ20">
        <v>2</v>
      </c>
      <c r="DR20" t="s">
        <v>831</v>
      </c>
      <c r="EG20">
        <v>19</v>
      </c>
      <c r="EH20" t="s">
        <v>825</v>
      </c>
      <c r="EI20">
        <v>2024</v>
      </c>
      <c r="EJ20" t="s">
        <v>1282</v>
      </c>
      <c r="EP20" t="s">
        <v>439</v>
      </c>
      <c r="EQ20" t="s">
        <v>440</v>
      </c>
      <c r="ER20" t="s">
        <v>923</v>
      </c>
      <c r="ES20" s="9" t="s">
        <v>924</v>
      </c>
      <c r="ET20" t="s">
        <v>1177</v>
      </c>
      <c r="EV20" s="9" t="s">
        <v>925</v>
      </c>
      <c r="EW20" t="s">
        <v>845</v>
      </c>
      <c r="EX20" t="s">
        <v>926</v>
      </c>
      <c r="EY20" s="9" t="s">
        <v>927</v>
      </c>
      <c r="EZ20" t="s">
        <v>839</v>
      </c>
      <c r="FA20" t="s">
        <v>928</v>
      </c>
      <c r="FB20" s="9" t="s">
        <v>929</v>
      </c>
      <c r="FC20" t="s">
        <v>855</v>
      </c>
      <c r="FD20" t="s">
        <v>930</v>
      </c>
      <c r="FE20" s="9" t="s">
        <v>931</v>
      </c>
      <c r="FF20" t="s">
        <v>848</v>
      </c>
      <c r="FG20" t="s">
        <v>932</v>
      </c>
      <c r="FH20" s="9" t="s">
        <v>933</v>
      </c>
      <c r="FI20" t="s">
        <v>845</v>
      </c>
      <c r="FJ20" t="s">
        <v>934</v>
      </c>
      <c r="FK20" s="9" t="s">
        <v>935</v>
      </c>
      <c r="FL20" t="s">
        <v>848</v>
      </c>
      <c r="FM20" t="s">
        <v>936</v>
      </c>
      <c r="FN20" s="9" t="s">
        <v>937</v>
      </c>
      <c r="FO20" t="s">
        <v>839</v>
      </c>
      <c r="FU20">
        <v>0</v>
      </c>
      <c r="FV20" s="3">
        <f t="shared" si="9"/>
        <v>0</v>
      </c>
      <c r="FX20">
        <v>0</v>
      </c>
      <c r="FY20" s="3">
        <f t="shared" si="10"/>
        <v>0</v>
      </c>
      <c r="GA20">
        <v>0</v>
      </c>
      <c r="GB20" s="3">
        <f t="shared" si="11"/>
        <v>0</v>
      </c>
      <c r="GC20" t="s">
        <v>452</v>
      </c>
      <c r="GE20" s="3">
        <f t="shared" si="12"/>
        <v>0</v>
      </c>
      <c r="GF20" s="3">
        <f t="shared" si="13"/>
        <v>0</v>
      </c>
      <c r="GG20" s="3" t="str">
        <f t="shared" si="2"/>
        <v>ORDINARIO</v>
      </c>
      <c r="GN20" s="6" t="s">
        <v>816</v>
      </c>
      <c r="GO20" s="6" t="s">
        <v>816</v>
      </c>
      <c r="GP20" s="6" t="s">
        <v>816</v>
      </c>
      <c r="GQ20" s="6" t="s">
        <v>816</v>
      </c>
      <c r="GR20" t="s">
        <v>816</v>
      </c>
      <c r="GS20" s="6" t="s">
        <v>816</v>
      </c>
      <c r="GT20" s="6"/>
      <c r="GU20" s="6" t="s">
        <v>816</v>
      </c>
      <c r="HH20" s="6" t="s">
        <v>816</v>
      </c>
      <c r="HL20" t="s">
        <v>816</v>
      </c>
      <c r="HM20" t="s">
        <v>816</v>
      </c>
      <c r="HN20" t="s">
        <v>816</v>
      </c>
      <c r="HO20" s="6" t="s">
        <v>816</v>
      </c>
      <c r="HQ20" s="6" t="s">
        <v>816</v>
      </c>
      <c r="HR20" t="s">
        <v>816</v>
      </c>
      <c r="HS20" s="6" t="s">
        <v>816</v>
      </c>
      <c r="HT20" s="6" t="s">
        <v>816</v>
      </c>
      <c r="HV20" s="6" t="s">
        <v>816</v>
      </c>
      <c r="HW20" s="6" t="s">
        <v>816</v>
      </c>
      <c r="HX20" s="6" t="s">
        <v>816</v>
      </c>
      <c r="HY20" s="6" t="s">
        <v>816</v>
      </c>
      <c r="IC20" s="6" t="s">
        <v>816</v>
      </c>
      <c r="ID20" s="6" t="s">
        <v>816</v>
      </c>
      <c r="IG20" s="6" t="s">
        <v>816</v>
      </c>
      <c r="IH20" s="6" t="s">
        <v>816</v>
      </c>
      <c r="II20" s="6" t="s">
        <v>816</v>
      </c>
      <c r="IJ20" s="6" t="s">
        <v>816</v>
      </c>
      <c r="IK20" s="6"/>
      <c r="IL20" s="6" t="s">
        <v>816</v>
      </c>
      <c r="IO20" s="6"/>
      <c r="IP20" s="6"/>
      <c r="IQ20" t="s">
        <v>816</v>
      </c>
      <c r="IU20" s="6" t="s">
        <v>816</v>
      </c>
      <c r="IV20" t="s">
        <v>816</v>
      </c>
      <c r="IW20" t="s">
        <v>816</v>
      </c>
      <c r="IX20" t="s">
        <v>816</v>
      </c>
      <c r="IY20" t="s">
        <v>816</v>
      </c>
      <c r="IZ20" t="s">
        <v>816</v>
      </c>
      <c r="JA20" t="s">
        <v>816</v>
      </c>
      <c r="JB20" s="6" t="s">
        <v>816</v>
      </c>
      <c r="JC20" s="6" t="s">
        <v>816</v>
      </c>
      <c r="JE20" s="6" t="s">
        <v>816</v>
      </c>
      <c r="JF20" t="s">
        <v>816</v>
      </c>
      <c r="JL20" s="6" t="s">
        <v>816</v>
      </c>
      <c r="JO20" t="s">
        <v>816</v>
      </c>
      <c r="JP20" t="s">
        <v>816</v>
      </c>
      <c r="JQ20" t="s">
        <v>816</v>
      </c>
      <c r="JR20" t="s">
        <v>816</v>
      </c>
      <c r="JS20" s="6" t="s">
        <v>816</v>
      </c>
      <c r="JT20" s="6" t="s">
        <v>816</v>
      </c>
      <c r="JW20" s="6" t="s">
        <v>816</v>
      </c>
      <c r="JX20" s="6" t="s">
        <v>816</v>
      </c>
      <c r="JY20" s="6" t="s">
        <v>816</v>
      </c>
      <c r="JZ20" s="6" t="s">
        <v>816</v>
      </c>
      <c r="KA20" s="6" t="s">
        <v>816</v>
      </c>
      <c r="KB20" s="6" t="s">
        <v>816</v>
      </c>
      <c r="KC20" s="6" t="s">
        <v>816</v>
      </c>
      <c r="KE20" s="6" t="s">
        <v>816</v>
      </c>
      <c r="KG20" s="6" t="s">
        <v>816</v>
      </c>
      <c r="KJ20" s="6" t="s">
        <v>816</v>
      </c>
      <c r="KL20" s="6"/>
      <c r="KM20" t="s">
        <v>816</v>
      </c>
    </row>
    <row r="21" spans="1:305" x14ac:dyDescent="0.3">
      <c r="A21">
        <v>20</v>
      </c>
      <c r="B21" t="s">
        <v>1398</v>
      </c>
      <c r="C21" t="s">
        <v>816</v>
      </c>
      <c r="D21" t="s">
        <v>917</v>
      </c>
      <c r="E21" t="s">
        <v>2624</v>
      </c>
      <c r="F21">
        <v>72774</v>
      </c>
      <c r="G21" t="s">
        <v>789</v>
      </c>
      <c r="H21" t="s">
        <v>421</v>
      </c>
      <c r="I21" t="s">
        <v>818</v>
      </c>
      <c r="J21" t="s">
        <v>1066</v>
      </c>
      <c r="K21" t="s">
        <v>820</v>
      </c>
      <c r="N21" t="s">
        <v>524</v>
      </c>
      <c r="O21" t="s">
        <v>824</v>
      </c>
      <c r="P21">
        <v>1</v>
      </c>
      <c r="S21">
        <v>1</v>
      </c>
      <c r="T21">
        <v>1</v>
      </c>
      <c r="U21">
        <v>1</v>
      </c>
      <c r="V21">
        <v>1</v>
      </c>
      <c r="W21">
        <v>0</v>
      </c>
      <c r="X21">
        <v>0</v>
      </c>
      <c r="Y21" t="s">
        <v>883</v>
      </c>
      <c r="AO21" t="s">
        <v>822</v>
      </c>
      <c r="AP21" t="s">
        <v>1399</v>
      </c>
      <c r="AQ21">
        <v>10</v>
      </c>
      <c r="AR21">
        <v>0</v>
      </c>
      <c r="AS21">
        <v>3</v>
      </c>
      <c r="AT21">
        <v>7</v>
      </c>
      <c r="AU21">
        <v>0</v>
      </c>
      <c r="AV21">
        <v>0</v>
      </c>
      <c r="BB21" s="3">
        <f t="shared" si="0"/>
        <v>18</v>
      </c>
      <c r="BC21">
        <v>1</v>
      </c>
      <c r="BD21" t="s">
        <v>987</v>
      </c>
      <c r="BE21">
        <v>5</v>
      </c>
      <c r="BF21" t="s">
        <v>826</v>
      </c>
      <c r="BG21">
        <v>4</v>
      </c>
      <c r="BH21">
        <v>1</v>
      </c>
      <c r="BO21">
        <v>1</v>
      </c>
      <c r="BP21" t="s">
        <v>827</v>
      </c>
      <c r="BR21">
        <v>1</v>
      </c>
      <c r="BS21" t="s">
        <v>828</v>
      </c>
      <c r="BV21">
        <v>15</v>
      </c>
      <c r="BW21" t="s">
        <v>829</v>
      </c>
      <c r="CN21">
        <v>3</v>
      </c>
      <c r="CP21">
        <v>2</v>
      </c>
      <c r="CQ21">
        <v>2</v>
      </c>
      <c r="CR21">
        <v>1</v>
      </c>
      <c r="CS21">
        <v>3</v>
      </c>
      <c r="CT21">
        <v>3</v>
      </c>
      <c r="CU21" s="3">
        <f t="shared" si="8"/>
        <v>6</v>
      </c>
      <c r="CV21">
        <v>4</v>
      </c>
      <c r="CW21">
        <v>1</v>
      </c>
      <c r="CY21">
        <v>1</v>
      </c>
      <c r="CZ21">
        <v>1</v>
      </c>
      <c r="DC21">
        <v>5</v>
      </c>
      <c r="DD21" t="s">
        <v>828</v>
      </c>
      <c r="DM21">
        <v>4</v>
      </c>
      <c r="DN21" t="s">
        <v>830</v>
      </c>
      <c r="DQ21">
        <v>2</v>
      </c>
      <c r="DR21" t="s">
        <v>831</v>
      </c>
      <c r="EG21">
        <v>26</v>
      </c>
      <c r="EH21" t="s">
        <v>825</v>
      </c>
      <c r="EI21">
        <v>2024</v>
      </c>
      <c r="EJ21" t="s">
        <v>1400</v>
      </c>
      <c r="EP21" t="s">
        <v>439</v>
      </c>
      <c r="EQ21" t="s">
        <v>440</v>
      </c>
      <c r="ER21" t="s">
        <v>1401</v>
      </c>
      <c r="ES21" s="9" t="s">
        <v>1402</v>
      </c>
      <c r="ET21" t="s">
        <v>1177</v>
      </c>
      <c r="EU21" t="s">
        <v>1403</v>
      </c>
      <c r="EV21" s="9" t="s">
        <v>1404</v>
      </c>
      <c r="EW21" t="s">
        <v>855</v>
      </c>
      <c r="EX21" t="s">
        <v>1405</v>
      </c>
      <c r="EY21" s="9" t="s">
        <v>1406</v>
      </c>
      <c r="EZ21" t="s">
        <v>1261</v>
      </c>
      <c r="FA21" t="s">
        <v>1407</v>
      </c>
      <c r="FB21" s="9" t="s">
        <v>1408</v>
      </c>
      <c r="FC21" t="s">
        <v>1261</v>
      </c>
      <c r="FD21" t="s">
        <v>1409</v>
      </c>
      <c r="FE21" s="9" t="s">
        <v>1410</v>
      </c>
      <c r="FF21" t="s">
        <v>839</v>
      </c>
      <c r="FG21" t="s">
        <v>1411</v>
      </c>
      <c r="FH21" s="9" t="s">
        <v>1394</v>
      </c>
      <c r="FI21" t="s">
        <v>839</v>
      </c>
      <c r="FJ21" t="s">
        <v>1395</v>
      </c>
      <c r="FK21" s="9" t="s">
        <v>1412</v>
      </c>
      <c r="FL21" t="s">
        <v>839</v>
      </c>
      <c r="FM21" t="s">
        <v>1413</v>
      </c>
      <c r="FN21" s="9" t="s">
        <v>1414</v>
      </c>
      <c r="FO21" t="s">
        <v>839</v>
      </c>
      <c r="FP21" t="s">
        <v>1415</v>
      </c>
      <c r="FQ21" s="9" t="s">
        <v>1416</v>
      </c>
      <c r="FR21" t="s">
        <v>845</v>
      </c>
      <c r="FS21" t="s">
        <v>1417</v>
      </c>
      <c r="FU21">
        <v>0</v>
      </c>
      <c r="FV21" s="3">
        <f t="shared" si="9"/>
        <v>0</v>
      </c>
      <c r="FX21">
        <v>0</v>
      </c>
      <c r="FY21" s="3">
        <f t="shared" si="10"/>
        <v>0</v>
      </c>
      <c r="GA21">
        <v>0</v>
      </c>
      <c r="GB21" s="3">
        <f t="shared" si="11"/>
        <v>0</v>
      </c>
      <c r="GC21" t="s">
        <v>452</v>
      </c>
      <c r="GE21" s="3">
        <f t="shared" si="12"/>
        <v>0</v>
      </c>
      <c r="GF21" s="3">
        <f t="shared" si="13"/>
        <v>0</v>
      </c>
      <c r="GG21" s="3" t="str">
        <f t="shared" si="2"/>
        <v>ORDINARIO</v>
      </c>
      <c r="GN21" s="6" t="s">
        <v>816</v>
      </c>
      <c r="GO21" s="6" t="s">
        <v>816</v>
      </c>
      <c r="GP21" s="6" t="s">
        <v>816</v>
      </c>
      <c r="GQ21" s="6" t="s">
        <v>816</v>
      </c>
      <c r="GR21" t="s">
        <v>816</v>
      </c>
      <c r="GS21" s="6" t="s">
        <v>816</v>
      </c>
      <c r="GT21" s="6"/>
      <c r="GU21" s="6" t="s">
        <v>816</v>
      </c>
      <c r="HH21" s="6" t="s">
        <v>816</v>
      </c>
      <c r="HL21" t="s">
        <v>816</v>
      </c>
      <c r="HM21" t="s">
        <v>816</v>
      </c>
      <c r="HN21" t="s">
        <v>816</v>
      </c>
      <c r="HO21" s="6" t="s">
        <v>816</v>
      </c>
      <c r="HQ21" s="6" t="s">
        <v>816</v>
      </c>
      <c r="HR21" t="s">
        <v>816</v>
      </c>
      <c r="HS21" s="6" t="s">
        <v>816</v>
      </c>
      <c r="HT21" s="6" t="s">
        <v>816</v>
      </c>
      <c r="HV21" t="s">
        <v>816</v>
      </c>
      <c r="HW21" s="6" t="s">
        <v>816</v>
      </c>
      <c r="HX21" s="6" t="s">
        <v>816</v>
      </c>
      <c r="HY21" s="6" t="s">
        <v>816</v>
      </c>
      <c r="IC21" s="6" t="s">
        <v>816</v>
      </c>
      <c r="ID21" s="6" t="s">
        <v>816</v>
      </c>
      <c r="IG21" s="6" t="s">
        <v>816</v>
      </c>
      <c r="IH21" s="6" t="s">
        <v>816</v>
      </c>
      <c r="II21" s="6" t="s">
        <v>816</v>
      </c>
      <c r="IJ21" s="6" t="s">
        <v>816</v>
      </c>
      <c r="IK21" s="6"/>
      <c r="IL21" s="6" t="s">
        <v>816</v>
      </c>
      <c r="IO21" s="6"/>
      <c r="IP21" s="6"/>
      <c r="IQ21" t="s">
        <v>816</v>
      </c>
      <c r="IU21" s="6" t="s">
        <v>816</v>
      </c>
      <c r="IV21" t="s">
        <v>816</v>
      </c>
      <c r="IW21" t="s">
        <v>816</v>
      </c>
      <c r="IX21" t="s">
        <v>816</v>
      </c>
      <c r="IY21" t="s">
        <v>816</v>
      </c>
      <c r="IZ21" t="s">
        <v>816</v>
      </c>
      <c r="JA21" t="s">
        <v>816</v>
      </c>
      <c r="JB21" s="6" t="s">
        <v>816</v>
      </c>
      <c r="JC21" s="6" t="s">
        <v>816</v>
      </c>
      <c r="JE21" s="6" t="s">
        <v>816</v>
      </c>
      <c r="JF21" t="s">
        <v>816</v>
      </c>
      <c r="JL21" s="6" t="s">
        <v>816</v>
      </c>
      <c r="JO21" t="s">
        <v>816</v>
      </c>
      <c r="JP21" t="s">
        <v>816</v>
      </c>
      <c r="JQ21" t="s">
        <v>816</v>
      </c>
      <c r="JR21" t="s">
        <v>816</v>
      </c>
      <c r="JS21" s="6" t="s">
        <v>816</v>
      </c>
      <c r="JT21" s="6" t="s">
        <v>816</v>
      </c>
      <c r="JW21" s="6" t="s">
        <v>816</v>
      </c>
      <c r="JX21" s="6" t="s">
        <v>816</v>
      </c>
      <c r="JY21" s="6" t="s">
        <v>816</v>
      </c>
      <c r="JZ21" s="6" t="s">
        <v>816</v>
      </c>
      <c r="KA21" s="6" t="s">
        <v>816</v>
      </c>
      <c r="KB21" s="6" t="s">
        <v>816</v>
      </c>
      <c r="KC21" s="6" t="s">
        <v>816</v>
      </c>
      <c r="KE21" s="6" t="s">
        <v>816</v>
      </c>
      <c r="KG21" s="6" t="s">
        <v>816</v>
      </c>
      <c r="KJ21" s="6" t="s">
        <v>816</v>
      </c>
      <c r="KL21" s="6"/>
      <c r="KM21" t="s">
        <v>816</v>
      </c>
    </row>
    <row r="22" spans="1:305" x14ac:dyDescent="0.3">
      <c r="A22">
        <v>21</v>
      </c>
      <c r="B22" t="s">
        <v>1625</v>
      </c>
      <c r="C22" t="s">
        <v>816</v>
      </c>
      <c r="D22" t="s">
        <v>917</v>
      </c>
      <c r="E22" t="s">
        <v>2625</v>
      </c>
      <c r="F22">
        <v>72810</v>
      </c>
      <c r="G22" t="s">
        <v>1420</v>
      </c>
      <c r="H22" t="s">
        <v>421</v>
      </c>
      <c r="I22" t="s">
        <v>818</v>
      </c>
      <c r="J22" t="s">
        <v>819</v>
      </c>
      <c r="K22" t="s">
        <v>820</v>
      </c>
      <c r="L22">
        <v>2226892824</v>
      </c>
      <c r="M22" s="2" t="s">
        <v>1524</v>
      </c>
      <c r="N22" t="s">
        <v>524</v>
      </c>
      <c r="O22" t="s">
        <v>824</v>
      </c>
      <c r="P22">
        <v>1</v>
      </c>
      <c r="Q22">
        <v>2</v>
      </c>
      <c r="R22" t="s">
        <v>1698</v>
      </c>
      <c r="S22">
        <v>1</v>
      </c>
      <c r="T22" t="s">
        <v>1700</v>
      </c>
      <c r="U22">
        <v>1</v>
      </c>
      <c r="V22">
        <v>1</v>
      </c>
      <c r="W22">
        <v>2</v>
      </c>
      <c r="X22">
        <v>0</v>
      </c>
      <c r="Y22" t="s">
        <v>883</v>
      </c>
      <c r="Z22">
        <v>453.82</v>
      </c>
      <c r="AA22">
        <v>453.82</v>
      </c>
      <c r="AD22" t="s">
        <v>1645</v>
      </c>
      <c r="AE22" t="s">
        <v>1646</v>
      </c>
      <c r="AO22" t="s">
        <v>822</v>
      </c>
      <c r="AP22" t="s">
        <v>1525</v>
      </c>
      <c r="AQ22">
        <v>10</v>
      </c>
      <c r="AR22">
        <v>0</v>
      </c>
      <c r="AS22">
        <v>5</v>
      </c>
      <c r="AT22">
        <v>5</v>
      </c>
      <c r="AU22">
        <v>0</v>
      </c>
      <c r="AV22">
        <v>0</v>
      </c>
      <c r="AX22">
        <v>100</v>
      </c>
      <c r="AY22">
        <v>6</v>
      </c>
      <c r="BB22" s="3">
        <f t="shared" si="0"/>
        <v>22</v>
      </c>
      <c r="BC22">
        <v>1</v>
      </c>
      <c r="BD22" t="s">
        <v>987</v>
      </c>
      <c r="BE22">
        <v>6</v>
      </c>
      <c r="BF22" t="s">
        <v>826</v>
      </c>
      <c r="BG22">
        <v>5</v>
      </c>
      <c r="BH22">
        <v>1</v>
      </c>
      <c r="BO22">
        <v>2</v>
      </c>
      <c r="BP22" t="s">
        <v>827</v>
      </c>
      <c r="BR22">
        <v>2</v>
      </c>
      <c r="BS22" t="s">
        <v>828</v>
      </c>
      <c r="BT22">
        <v>10</v>
      </c>
      <c r="BU22">
        <v>4</v>
      </c>
      <c r="BV22">
        <v>14</v>
      </c>
      <c r="BW22" t="s">
        <v>829</v>
      </c>
      <c r="CN22">
        <v>4</v>
      </c>
      <c r="CP22">
        <v>1</v>
      </c>
      <c r="CQ22">
        <v>4</v>
      </c>
      <c r="CR22">
        <v>1</v>
      </c>
      <c r="CS22">
        <v>3</v>
      </c>
      <c r="CT22">
        <v>4</v>
      </c>
      <c r="CU22" s="3">
        <f t="shared" si="8"/>
        <v>6</v>
      </c>
      <c r="CV22">
        <v>4</v>
      </c>
      <c r="CW22">
        <v>1</v>
      </c>
      <c r="CY22">
        <v>1</v>
      </c>
      <c r="CZ22">
        <v>1</v>
      </c>
      <c r="DB22">
        <v>4</v>
      </c>
      <c r="DC22">
        <v>10</v>
      </c>
      <c r="DD22" t="s">
        <v>828</v>
      </c>
      <c r="DM22">
        <v>4</v>
      </c>
      <c r="DN22" t="s">
        <v>830</v>
      </c>
      <c r="DQ22">
        <v>2</v>
      </c>
      <c r="DR22" t="s">
        <v>831</v>
      </c>
      <c r="DY22" t="s">
        <v>1661</v>
      </c>
      <c r="DZ22" t="s">
        <v>1663</v>
      </c>
      <c r="EA22" t="s">
        <v>1701</v>
      </c>
      <c r="EG22">
        <v>29</v>
      </c>
      <c r="EH22" t="s">
        <v>825</v>
      </c>
      <c r="EI22">
        <v>2024</v>
      </c>
      <c r="EJ22" t="s">
        <v>1626</v>
      </c>
      <c r="EK22" t="s">
        <v>1702</v>
      </c>
      <c r="EL22" t="s">
        <v>1703</v>
      </c>
      <c r="EM22" t="s">
        <v>1704</v>
      </c>
      <c r="EN22" s="7" t="s">
        <v>1705</v>
      </c>
      <c r="EO22" t="s">
        <v>1706</v>
      </c>
      <c r="EP22" t="s">
        <v>439</v>
      </c>
      <c r="EQ22" t="s">
        <v>440</v>
      </c>
      <c r="ER22" t="s">
        <v>1526</v>
      </c>
      <c r="ES22" s="9" t="s">
        <v>1527</v>
      </c>
      <c r="ET22" t="s">
        <v>1177</v>
      </c>
      <c r="EU22" t="s">
        <v>1528</v>
      </c>
      <c r="EV22" s="9" t="s">
        <v>1529</v>
      </c>
      <c r="EW22" t="s">
        <v>896</v>
      </c>
      <c r="EX22" t="s">
        <v>1530</v>
      </c>
      <c r="EY22" s="9" t="s">
        <v>1531</v>
      </c>
      <c r="EZ22" t="s">
        <v>839</v>
      </c>
      <c r="FA22" t="s">
        <v>1532</v>
      </c>
      <c r="FB22" s="9" t="s">
        <v>1533</v>
      </c>
      <c r="FC22" t="s">
        <v>896</v>
      </c>
      <c r="FD22" t="s">
        <v>1534</v>
      </c>
      <c r="FE22" s="9" t="s">
        <v>1535</v>
      </c>
      <c r="FF22" t="s">
        <v>855</v>
      </c>
      <c r="FG22" t="s">
        <v>1536</v>
      </c>
      <c r="FH22" s="9" t="s">
        <v>1537</v>
      </c>
      <c r="FI22" t="s">
        <v>845</v>
      </c>
      <c r="FJ22" t="s">
        <v>1538</v>
      </c>
      <c r="FK22" s="9" t="s">
        <v>1539</v>
      </c>
      <c r="FL22" t="s">
        <v>839</v>
      </c>
      <c r="FM22" t="s">
        <v>1540</v>
      </c>
      <c r="FN22" s="9" t="s">
        <v>1541</v>
      </c>
      <c r="FO22" t="s">
        <v>845</v>
      </c>
      <c r="FP22" t="s">
        <v>1542</v>
      </c>
      <c r="FQ22" s="9" t="s">
        <v>1543</v>
      </c>
      <c r="FR22" t="s">
        <v>839</v>
      </c>
      <c r="FU22">
        <v>0</v>
      </c>
      <c r="FV22" s="3">
        <f t="shared" si="9"/>
        <v>0</v>
      </c>
      <c r="FX22">
        <v>0</v>
      </c>
      <c r="FY22" s="3">
        <f t="shared" si="10"/>
        <v>0</v>
      </c>
      <c r="GA22">
        <v>34</v>
      </c>
      <c r="GB22" s="3">
        <f t="shared" si="11"/>
        <v>1.7000000000000001E-2</v>
      </c>
      <c r="GC22" t="s">
        <v>452</v>
      </c>
      <c r="GD22">
        <v>10000</v>
      </c>
      <c r="GE22" s="3">
        <f t="shared" si="12"/>
        <v>0.66666666666666663</v>
      </c>
      <c r="GF22" s="3">
        <f t="shared" si="13"/>
        <v>0.68366666666666664</v>
      </c>
      <c r="GG22" s="3" t="str">
        <f t="shared" si="2"/>
        <v>ORDINARIO</v>
      </c>
      <c r="GN22" s="6" t="s">
        <v>816</v>
      </c>
      <c r="GO22" s="6" t="s">
        <v>816</v>
      </c>
      <c r="GP22" s="6" t="s">
        <v>816</v>
      </c>
      <c r="GQ22" s="6" t="s">
        <v>816</v>
      </c>
      <c r="GR22" t="s">
        <v>816</v>
      </c>
      <c r="GS22" s="6" t="s">
        <v>816</v>
      </c>
      <c r="GT22" s="6" t="s">
        <v>816</v>
      </c>
      <c r="GU22" s="6" t="s">
        <v>816</v>
      </c>
      <c r="HH22" s="6" t="s">
        <v>816</v>
      </c>
      <c r="HL22" s="6" t="s">
        <v>816</v>
      </c>
      <c r="HM22" t="s">
        <v>816</v>
      </c>
      <c r="HN22" t="s">
        <v>816</v>
      </c>
      <c r="HO22" s="6" t="s">
        <v>816</v>
      </c>
      <c r="HQ22" s="6" t="s">
        <v>816</v>
      </c>
      <c r="HR22" s="6" t="s">
        <v>816</v>
      </c>
      <c r="HS22" s="6" t="s">
        <v>816</v>
      </c>
      <c r="HT22" s="6" t="s">
        <v>816</v>
      </c>
      <c r="HU22" s="6" t="s">
        <v>816</v>
      </c>
      <c r="HV22" s="6" t="s">
        <v>816</v>
      </c>
      <c r="HW22" s="6" t="s">
        <v>816</v>
      </c>
      <c r="HX22" s="6" t="s">
        <v>816</v>
      </c>
      <c r="HY22" s="6" t="s">
        <v>816</v>
      </c>
      <c r="IC22" s="6" t="s">
        <v>816</v>
      </c>
      <c r="ID22" s="6" t="s">
        <v>816</v>
      </c>
      <c r="IE22" s="6" t="s">
        <v>816</v>
      </c>
      <c r="IF22" s="6" t="s">
        <v>816</v>
      </c>
      <c r="IG22" s="6" t="s">
        <v>816</v>
      </c>
      <c r="IH22" s="6" t="s">
        <v>816</v>
      </c>
      <c r="II22" s="6" t="s">
        <v>816</v>
      </c>
      <c r="IJ22" s="6" t="s">
        <v>816</v>
      </c>
      <c r="IK22" s="6" t="s">
        <v>816</v>
      </c>
      <c r="IL22" s="6" t="s">
        <v>816</v>
      </c>
      <c r="IN22" s="6" t="s">
        <v>816</v>
      </c>
      <c r="IO22" s="6" t="s">
        <v>816</v>
      </c>
      <c r="IP22" s="6" t="s">
        <v>816</v>
      </c>
      <c r="IQ22" s="6" t="s">
        <v>816</v>
      </c>
      <c r="IU22" s="6" t="s">
        <v>816</v>
      </c>
      <c r="IV22" t="s">
        <v>816</v>
      </c>
      <c r="IW22" s="6" t="s">
        <v>816</v>
      </c>
      <c r="IX22" s="6" t="s">
        <v>816</v>
      </c>
      <c r="IY22" s="6" t="s">
        <v>816</v>
      </c>
      <c r="IZ22" s="6" t="s">
        <v>816</v>
      </c>
      <c r="JA22" s="6" t="s">
        <v>816</v>
      </c>
      <c r="JB22" s="6" t="s">
        <v>816</v>
      </c>
      <c r="JC22" s="6" t="s">
        <v>816</v>
      </c>
      <c r="JE22" s="6" t="s">
        <v>816</v>
      </c>
      <c r="JF22" s="6" t="s">
        <v>816</v>
      </c>
      <c r="JL22" s="6" t="s">
        <v>816</v>
      </c>
      <c r="JO22" s="6" t="s">
        <v>816</v>
      </c>
      <c r="JP22" s="6" t="s">
        <v>816</v>
      </c>
      <c r="JQ22" t="s">
        <v>816</v>
      </c>
      <c r="JR22" t="s">
        <v>816</v>
      </c>
      <c r="JS22" s="6" t="s">
        <v>816</v>
      </c>
      <c r="JT22" s="6" t="s">
        <v>816</v>
      </c>
      <c r="JW22" s="6" t="s">
        <v>816</v>
      </c>
      <c r="JX22" s="6" t="s">
        <v>816</v>
      </c>
      <c r="JY22" s="6" t="s">
        <v>816</v>
      </c>
      <c r="JZ22" s="6" t="s">
        <v>816</v>
      </c>
      <c r="KA22" s="6" t="s">
        <v>816</v>
      </c>
      <c r="KB22" s="6" t="s">
        <v>816</v>
      </c>
      <c r="KC22" s="6" t="s">
        <v>816</v>
      </c>
      <c r="KD22" s="6" t="s">
        <v>816</v>
      </c>
      <c r="KE22" s="6" t="s">
        <v>816</v>
      </c>
      <c r="KG22" s="6" t="s">
        <v>816</v>
      </c>
      <c r="KJ22" s="6" t="s">
        <v>816</v>
      </c>
      <c r="KL22" s="6" t="s">
        <v>816</v>
      </c>
      <c r="KM22" s="6" t="s">
        <v>816</v>
      </c>
    </row>
    <row r="23" spans="1:305" x14ac:dyDescent="0.3">
      <c r="A23">
        <v>22</v>
      </c>
      <c r="B23" t="s">
        <v>1503</v>
      </c>
      <c r="C23" t="s">
        <v>816</v>
      </c>
      <c r="D23" t="s">
        <v>917</v>
      </c>
      <c r="E23" t="s">
        <v>2626</v>
      </c>
      <c r="F23">
        <v>72825</v>
      </c>
      <c r="G23" t="s">
        <v>1420</v>
      </c>
      <c r="H23" t="s">
        <v>421</v>
      </c>
      <c r="I23" t="s">
        <v>818</v>
      </c>
      <c r="J23" t="s">
        <v>819</v>
      </c>
      <c r="K23" t="s">
        <v>820</v>
      </c>
      <c r="L23">
        <v>2226894860</v>
      </c>
      <c r="M23" s="2" t="s">
        <v>1504</v>
      </c>
      <c r="N23" t="s">
        <v>524</v>
      </c>
      <c r="O23" t="s">
        <v>824</v>
      </c>
      <c r="P23">
        <v>1</v>
      </c>
      <c r="Q23">
        <v>3</v>
      </c>
      <c r="R23" t="s">
        <v>1647</v>
      </c>
      <c r="S23">
        <v>1</v>
      </c>
      <c r="T23" t="s">
        <v>1699</v>
      </c>
      <c r="U23">
        <v>1</v>
      </c>
      <c r="V23">
        <v>1</v>
      </c>
      <c r="W23">
        <v>0</v>
      </c>
      <c r="X23">
        <v>0</v>
      </c>
      <c r="Y23" t="s">
        <v>883</v>
      </c>
      <c r="Z23">
        <v>300</v>
      </c>
      <c r="AA23">
        <v>300</v>
      </c>
      <c r="AD23" t="s">
        <v>1645</v>
      </c>
      <c r="AE23" t="s">
        <v>1646</v>
      </c>
      <c r="AO23" t="s">
        <v>822</v>
      </c>
      <c r="AP23" t="s">
        <v>1505</v>
      </c>
      <c r="AQ23">
        <v>9</v>
      </c>
      <c r="AR23">
        <v>0</v>
      </c>
      <c r="AS23">
        <v>1</v>
      </c>
      <c r="AT23">
        <v>9</v>
      </c>
      <c r="AU23">
        <v>0</v>
      </c>
      <c r="AV23">
        <v>0</v>
      </c>
      <c r="AX23">
        <v>40</v>
      </c>
      <c r="AY23">
        <v>6</v>
      </c>
      <c r="BB23" s="3">
        <f t="shared" si="0"/>
        <v>18</v>
      </c>
      <c r="BC23">
        <v>1</v>
      </c>
      <c r="BD23" t="s">
        <v>987</v>
      </c>
      <c r="BE23">
        <v>5</v>
      </c>
      <c r="BF23" t="s">
        <v>826</v>
      </c>
      <c r="BG23">
        <v>4</v>
      </c>
      <c r="BH23">
        <v>1</v>
      </c>
      <c r="BO23">
        <v>2</v>
      </c>
      <c r="BP23" t="s">
        <v>827</v>
      </c>
      <c r="BR23">
        <v>2</v>
      </c>
      <c r="BS23" t="s">
        <v>828</v>
      </c>
      <c r="BT23">
        <v>9</v>
      </c>
      <c r="BU23">
        <v>7</v>
      </c>
      <c r="BV23">
        <f>+BT23+BU23</f>
        <v>16</v>
      </c>
      <c r="BW23" t="s">
        <v>829</v>
      </c>
      <c r="CN23">
        <v>3</v>
      </c>
      <c r="CP23">
        <v>2</v>
      </c>
      <c r="CQ23">
        <v>1</v>
      </c>
      <c r="CR23">
        <v>1</v>
      </c>
      <c r="CS23">
        <v>3</v>
      </c>
      <c r="CT23">
        <v>4</v>
      </c>
      <c r="CU23" s="3">
        <f t="shared" si="8"/>
        <v>3</v>
      </c>
      <c r="CV23">
        <v>1</v>
      </c>
      <c r="CW23">
        <v>1</v>
      </c>
      <c r="CY23">
        <v>1</v>
      </c>
      <c r="CZ23">
        <v>1</v>
      </c>
      <c r="DB23">
        <v>3</v>
      </c>
      <c r="DC23">
        <v>3</v>
      </c>
      <c r="DD23" t="s">
        <v>828</v>
      </c>
      <c r="DM23">
        <v>4</v>
      </c>
      <c r="DN23" t="s">
        <v>830</v>
      </c>
      <c r="DQ23">
        <v>2</v>
      </c>
      <c r="DR23" t="s">
        <v>831</v>
      </c>
      <c r="DY23" t="s">
        <v>1661</v>
      </c>
      <c r="DZ23" t="s">
        <v>1662</v>
      </c>
      <c r="EA23" t="s">
        <v>1663</v>
      </c>
      <c r="EB23" t="s">
        <v>1669</v>
      </c>
      <c r="EG23">
        <v>28</v>
      </c>
      <c r="EH23" t="s">
        <v>825</v>
      </c>
      <c r="EI23">
        <v>2024</v>
      </c>
      <c r="EJ23" t="s">
        <v>1506</v>
      </c>
      <c r="EK23" t="s">
        <v>1652</v>
      </c>
      <c r="EL23" t="s">
        <v>1653</v>
      </c>
      <c r="EM23" t="s">
        <v>1654</v>
      </c>
      <c r="EN23" t="s">
        <v>1655</v>
      </c>
      <c r="EO23" t="s">
        <v>1656</v>
      </c>
      <c r="EP23" t="s">
        <v>439</v>
      </c>
      <c r="EQ23" t="s">
        <v>440</v>
      </c>
      <c r="ER23" t="s">
        <v>1507</v>
      </c>
      <c r="ES23" s="9" t="s">
        <v>1508</v>
      </c>
      <c r="ET23" t="s">
        <v>1177</v>
      </c>
      <c r="EU23" t="s">
        <v>1509</v>
      </c>
      <c r="EV23" s="9" t="s">
        <v>1510</v>
      </c>
      <c r="EW23" t="s">
        <v>845</v>
      </c>
      <c r="EX23" t="s">
        <v>1511</v>
      </c>
      <c r="EY23" s="9" t="s">
        <v>1512</v>
      </c>
      <c r="EZ23" t="s">
        <v>896</v>
      </c>
      <c r="FA23" t="s">
        <v>1513</v>
      </c>
      <c r="FB23" s="9" t="s">
        <v>1514</v>
      </c>
      <c r="FC23" t="s">
        <v>839</v>
      </c>
      <c r="FD23" t="s">
        <v>1515</v>
      </c>
      <c r="FE23" s="9" t="s">
        <v>1516</v>
      </c>
      <c r="FF23" t="s">
        <v>839</v>
      </c>
      <c r="FG23" t="s">
        <v>1517</v>
      </c>
      <c r="FH23" s="9" t="s">
        <v>1518</v>
      </c>
      <c r="FI23" t="s">
        <v>845</v>
      </c>
      <c r="FJ23" t="s">
        <v>1519</v>
      </c>
      <c r="FK23" s="9" t="s">
        <v>1518</v>
      </c>
      <c r="FL23" t="s">
        <v>845</v>
      </c>
      <c r="FM23" t="s">
        <v>1519</v>
      </c>
      <c r="FN23" s="9" t="s">
        <v>1520</v>
      </c>
      <c r="FO23" t="s">
        <v>855</v>
      </c>
      <c r="FP23" t="s">
        <v>1521</v>
      </c>
      <c r="FQ23" s="9" t="s">
        <v>1522</v>
      </c>
      <c r="FR23" t="s">
        <v>896</v>
      </c>
      <c r="FS23" t="s">
        <v>1523</v>
      </c>
      <c r="FU23">
        <v>0</v>
      </c>
      <c r="FV23" s="3">
        <f t="shared" si="9"/>
        <v>0</v>
      </c>
      <c r="FX23">
        <v>0</v>
      </c>
      <c r="FY23" s="3">
        <f t="shared" si="10"/>
        <v>0</v>
      </c>
      <c r="GA23">
        <v>0</v>
      </c>
      <c r="GB23" s="3">
        <f t="shared" si="11"/>
        <v>0</v>
      </c>
      <c r="GC23" t="s">
        <v>452</v>
      </c>
      <c r="GD23">
        <v>600</v>
      </c>
      <c r="GE23" s="3">
        <f t="shared" si="12"/>
        <v>0.04</v>
      </c>
      <c r="GF23" s="3">
        <f t="shared" si="13"/>
        <v>0.04</v>
      </c>
      <c r="GG23" s="3" t="str">
        <f t="shared" si="2"/>
        <v>ORDINARIO</v>
      </c>
      <c r="GN23" s="6" t="s">
        <v>816</v>
      </c>
      <c r="GO23" s="6" t="s">
        <v>816</v>
      </c>
      <c r="GP23" s="6" t="s">
        <v>816</v>
      </c>
      <c r="GQ23" s="6" t="s">
        <v>816</v>
      </c>
      <c r="GR23" s="6" t="s">
        <v>816</v>
      </c>
      <c r="GS23" s="6" t="s">
        <v>816</v>
      </c>
      <c r="GT23" s="6" t="s">
        <v>816</v>
      </c>
      <c r="GU23" s="6" t="s">
        <v>816</v>
      </c>
      <c r="HH23" s="6" t="s">
        <v>816</v>
      </c>
      <c r="HI23" s="6" t="s">
        <v>816</v>
      </c>
      <c r="HL23" s="6" t="s">
        <v>816</v>
      </c>
      <c r="HM23" s="6" t="s">
        <v>816</v>
      </c>
      <c r="HN23" s="6" t="s">
        <v>816</v>
      </c>
      <c r="HO23" s="6" t="s">
        <v>816</v>
      </c>
      <c r="HQ23" s="6" t="s">
        <v>816</v>
      </c>
      <c r="HR23" s="6" t="s">
        <v>816</v>
      </c>
      <c r="HS23" s="6" t="s">
        <v>816</v>
      </c>
      <c r="HT23" s="6" t="s">
        <v>816</v>
      </c>
      <c r="HV23" s="6" t="s">
        <v>816</v>
      </c>
      <c r="HW23" s="6" t="s">
        <v>816</v>
      </c>
      <c r="HX23" s="6" t="s">
        <v>816</v>
      </c>
      <c r="HY23" s="6" t="s">
        <v>816</v>
      </c>
      <c r="IC23" s="6" t="s">
        <v>816</v>
      </c>
      <c r="ID23" s="6" t="s">
        <v>816</v>
      </c>
      <c r="IE23" s="6" t="s">
        <v>816</v>
      </c>
      <c r="IF23" s="6" t="s">
        <v>816</v>
      </c>
      <c r="IG23" s="6" t="s">
        <v>816</v>
      </c>
      <c r="IH23" s="6" t="s">
        <v>816</v>
      </c>
      <c r="II23" s="6" t="s">
        <v>816</v>
      </c>
      <c r="IJ23" s="6" t="s">
        <v>816</v>
      </c>
      <c r="IK23" s="6" t="s">
        <v>816</v>
      </c>
      <c r="IL23" s="6" t="s">
        <v>816</v>
      </c>
      <c r="IN23" s="6" t="s">
        <v>816</v>
      </c>
      <c r="IO23" s="6" t="s">
        <v>816</v>
      </c>
      <c r="IP23" s="6" t="s">
        <v>816</v>
      </c>
      <c r="IQ23" s="6" t="s">
        <v>816</v>
      </c>
      <c r="IU23" s="6" t="s">
        <v>816</v>
      </c>
      <c r="IV23" t="s">
        <v>816</v>
      </c>
      <c r="IW23" s="6" t="s">
        <v>816</v>
      </c>
      <c r="IX23" s="6" t="s">
        <v>816</v>
      </c>
      <c r="IY23" s="6" t="s">
        <v>816</v>
      </c>
      <c r="IZ23" s="6" t="s">
        <v>816</v>
      </c>
      <c r="JA23" s="6" t="s">
        <v>816</v>
      </c>
      <c r="JB23" s="6" t="s">
        <v>816</v>
      </c>
      <c r="JC23" s="6" t="s">
        <v>816</v>
      </c>
      <c r="JE23" s="6" t="s">
        <v>816</v>
      </c>
      <c r="JF23" s="6" t="s">
        <v>816</v>
      </c>
      <c r="JL23" s="6" t="s">
        <v>816</v>
      </c>
      <c r="JO23" s="6" t="s">
        <v>816</v>
      </c>
      <c r="JP23" s="6" t="s">
        <v>816</v>
      </c>
      <c r="JQ23" s="6" t="s">
        <v>816</v>
      </c>
      <c r="JR23" s="6" t="s">
        <v>816</v>
      </c>
      <c r="JS23" s="6" t="s">
        <v>816</v>
      </c>
      <c r="JT23" s="6" t="s">
        <v>816</v>
      </c>
      <c r="JW23" s="6" t="s">
        <v>816</v>
      </c>
      <c r="JX23" s="6" t="s">
        <v>816</v>
      </c>
      <c r="JY23" s="6" t="s">
        <v>816</v>
      </c>
      <c r="JZ23" s="6" t="s">
        <v>816</v>
      </c>
      <c r="KA23" s="6" t="s">
        <v>816</v>
      </c>
      <c r="KB23" s="6" t="s">
        <v>816</v>
      </c>
      <c r="KC23" s="6" t="s">
        <v>816</v>
      </c>
      <c r="KD23" s="6" t="s">
        <v>816</v>
      </c>
      <c r="KE23" s="6" t="s">
        <v>816</v>
      </c>
      <c r="KG23" s="6" t="s">
        <v>816</v>
      </c>
      <c r="KJ23" s="6" t="s">
        <v>816</v>
      </c>
      <c r="KL23" s="6" t="s">
        <v>816</v>
      </c>
      <c r="KM23" s="6" t="s">
        <v>816</v>
      </c>
    </row>
    <row r="24" spans="1:305" x14ac:dyDescent="0.3">
      <c r="A24">
        <v>23</v>
      </c>
      <c r="B24" t="s">
        <v>1801</v>
      </c>
      <c r="C24" t="s">
        <v>816</v>
      </c>
      <c r="D24" t="s">
        <v>917</v>
      </c>
      <c r="E24" t="s">
        <v>2627</v>
      </c>
      <c r="F24">
        <v>72150</v>
      </c>
      <c r="G24" t="s">
        <v>421</v>
      </c>
      <c r="H24" t="s">
        <v>421</v>
      </c>
      <c r="I24" t="s">
        <v>818</v>
      </c>
      <c r="J24" t="s">
        <v>819</v>
      </c>
      <c r="K24" t="s">
        <v>820</v>
      </c>
      <c r="L24">
        <v>2222231030</v>
      </c>
      <c r="N24" t="s">
        <v>524</v>
      </c>
      <c r="O24" t="s">
        <v>824</v>
      </c>
      <c r="P24">
        <v>1</v>
      </c>
      <c r="Q24">
        <v>8</v>
      </c>
      <c r="R24" t="s">
        <v>1806</v>
      </c>
      <c r="S24">
        <v>1</v>
      </c>
      <c r="T24" t="s">
        <v>1807</v>
      </c>
      <c r="U24">
        <v>1</v>
      </c>
      <c r="V24">
        <v>1</v>
      </c>
      <c r="W24">
        <v>2</v>
      </c>
      <c r="X24">
        <v>0</v>
      </c>
      <c r="Y24" t="s">
        <v>457</v>
      </c>
      <c r="Z24">
        <v>500</v>
      </c>
      <c r="AA24">
        <v>500</v>
      </c>
      <c r="AD24" t="s">
        <v>1714</v>
      </c>
      <c r="AE24" t="s">
        <v>1715</v>
      </c>
      <c r="AO24" t="s">
        <v>822</v>
      </c>
      <c r="AP24" s="1" t="s">
        <v>938</v>
      </c>
      <c r="AQ24">
        <v>7</v>
      </c>
      <c r="AR24">
        <v>0</v>
      </c>
      <c r="AS24">
        <v>3</v>
      </c>
      <c r="AT24">
        <v>4</v>
      </c>
      <c r="AU24">
        <v>0</v>
      </c>
      <c r="AV24">
        <v>0</v>
      </c>
      <c r="AX24">
        <v>1</v>
      </c>
      <c r="AY24">
        <v>3</v>
      </c>
      <c r="BB24" s="3">
        <f t="shared" si="0"/>
        <v>22</v>
      </c>
      <c r="BC24">
        <v>2</v>
      </c>
      <c r="BD24" t="s">
        <v>986</v>
      </c>
      <c r="BE24">
        <v>6</v>
      </c>
      <c r="BF24" t="s">
        <v>965</v>
      </c>
      <c r="BG24">
        <v>5</v>
      </c>
      <c r="BH24">
        <v>1</v>
      </c>
      <c r="BO24">
        <v>2</v>
      </c>
      <c r="BP24" t="s">
        <v>827</v>
      </c>
      <c r="BR24">
        <v>3</v>
      </c>
      <c r="BS24" t="s">
        <v>828</v>
      </c>
      <c r="BT24">
        <v>5</v>
      </c>
      <c r="BU24">
        <v>17</v>
      </c>
      <c r="BV24">
        <v>23</v>
      </c>
      <c r="BW24" t="s">
        <v>1159</v>
      </c>
      <c r="CN24">
        <v>4</v>
      </c>
      <c r="CP24">
        <v>2</v>
      </c>
      <c r="CQ24">
        <v>1</v>
      </c>
      <c r="CR24">
        <v>1</v>
      </c>
      <c r="CS24">
        <v>4</v>
      </c>
      <c r="CT24">
        <v>2</v>
      </c>
      <c r="CU24" s="3">
        <f t="shared" si="8"/>
        <v>1</v>
      </c>
      <c r="CV24">
        <v>1</v>
      </c>
      <c r="DB24">
        <v>3</v>
      </c>
      <c r="DC24">
        <v>6</v>
      </c>
      <c r="DD24" t="s">
        <v>939</v>
      </c>
      <c r="DM24">
        <v>4</v>
      </c>
      <c r="DN24" t="s">
        <v>940</v>
      </c>
      <c r="DQ24">
        <v>2</v>
      </c>
      <c r="DR24" t="s">
        <v>831</v>
      </c>
      <c r="DY24" t="s">
        <v>1661</v>
      </c>
      <c r="DZ24" t="s">
        <v>1662</v>
      </c>
      <c r="EA24" t="s">
        <v>1663</v>
      </c>
      <c r="EB24" t="s">
        <v>1669</v>
      </c>
      <c r="EG24">
        <v>19</v>
      </c>
      <c r="EH24" t="s">
        <v>825</v>
      </c>
      <c r="EI24">
        <v>2024</v>
      </c>
      <c r="EJ24" t="s">
        <v>1283</v>
      </c>
      <c r="EK24" t="s">
        <v>1808</v>
      </c>
      <c r="EL24" t="s">
        <v>1809</v>
      </c>
      <c r="EM24" t="s">
        <v>1810</v>
      </c>
      <c r="EN24" t="s">
        <v>915</v>
      </c>
      <c r="EO24" t="s">
        <v>1811</v>
      </c>
      <c r="EP24" t="s">
        <v>439</v>
      </c>
      <c r="EQ24" t="s">
        <v>440</v>
      </c>
      <c r="ER24" t="s">
        <v>941</v>
      </c>
      <c r="ES24" s="9" t="s">
        <v>1789</v>
      </c>
      <c r="ET24" t="s">
        <v>946</v>
      </c>
      <c r="EU24" t="s">
        <v>1790</v>
      </c>
      <c r="EV24" s="9" t="s">
        <v>1791</v>
      </c>
      <c r="EW24" t="s">
        <v>946</v>
      </c>
      <c r="EX24" t="s">
        <v>1792</v>
      </c>
      <c r="EY24" s="9" t="s">
        <v>1793</v>
      </c>
      <c r="EZ24" t="s">
        <v>946</v>
      </c>
      <c r="FA24" t="s">
        <v>1794</v>
      </c>
      <c r="FB24" s="9" t="s">
        <v>1795</v>
      </c>
      <c r="FC24" t="s">
        <v>946</v>
      </c>
      <c r="FD24" t="s">
        <v>1796</v>
      </c>
      <c r="FE24" s="9" t="s">
        <v>1797</v>
      </c>
      <c r="FF24" t="s">
        <v>946</v>
      </c>
      <c r="FG24" t="s">
        <v>1798</v>
      </c>
      <c r="FH24" s="9" t="s">
        <v>1799</v>
      </c>
      <c r="FI24" t="s">
        <v>946</v>
      </c>
      <c r="FJ24" t="s">
        <v>1800</v>
      </c>
      <c r="FU24">
        <v>0</v>
      </c>
      <c r="FV24" s="3">
        <f t="shared" si="9"/>
        <v>0</v>
      </c>
      <c r="FX24">
        <v>0</v>
      </c>
      <c r="FY24" s="3">
        <f t="shared" si="10"/>
        <v>0</v>
      </c>
      <c r="GA24">
        <v>0</v>
      </c>
      <c r="GB24" s="3">
        <f t="shared" si="11"/>
        <v>0</v>
      </c>
      <c r="GC24" t="s">
        <v>452</v>
      </c>
      <c r="GD24">
        <v>660</v>
      </c>
      <c r="GE24" s="3">
        <f t="shared" si="12"/>
        <v>4.3999999999999997E-2</v>
      </c>
      <c r="GF24" s="3">
        <f t="shared" si="13"/>
        <v>4.3999999999999997E-2</v>
      </c>
      <c r="GG24" s="3" t="str">
        <f t="shared" si="2"/>
        <v>ORDINARIO</v>
      </c>
      <c r="GN24" s="6" t="s">
        <v>816</v>
      </c>
      <c r="GO24" t="s">
        <v>816</v>
      </c>
      <c r="GP24" s="6" t="s">
        <v>816</v>
      </c>
      <c r="GQ24" t="s">
        <v>816</v>
      </c>
      <c r="GR24" t="s">
        <v>816</v>
      </c>
      <c r="GS24" s="6" t="s">
        <v>816</v>
      </c>
      <c r="GT24" s="6" t="s">
        <v>816</v>
      </c>
      <c r="GU24" s="6" t="s">
        <v>816</v>
      </c>
      <c r="HH24" s="6" t="s">
        <v>816</v>
      </c>
      <c r="HI24" s="6" t="s">
        <v>816</v>
      </c>
      <c r="HL24" s="6" t="s">
        <v>816</v>
      </c>
      <c r="HM24" s="6" t="s">
        <v>816</v>
      </c>
      <c r="HN24" s="6" t="s">
        <v>816</v>
      </c>
      <c r="HO24" s="6" t="s">
        <v>816</v>
      </c>
      <c r="HQ24" s="6" t="s">
        <v>816</v>
      </c>
      <c r="HR24" s="6" t="s">
        <v>816</v>
      </c>
      <c r="HS24" s="6" t="s">
        <v>816</v>
      </c>
      <c r="HT24" s="6" t="s">
        <v>816</v>
      </c>
      <c r="HV24" s="6" t="s">
        <v>816</v>
      </c>
      <c r="HW24" s="6" t="s">
        <v>816</v>
      </c>
      <c r="HX24" s="6" t="s">
        <v>816</v>
      </c>
      <c r="HY24" s="6" t="s">
        <v>816</v>
      </c>
      <c r="IC24" s="6" t="s">
        <v>816</v>
      </c>
      <c r="ID24" s="6" t="s">
        <v>816</v>
      </c>
      <c r="IE24" s="6" t="s">
        <v>816</v>
      </c>
      <c r="IF24" s="6" t="s">
        <v>816</v>
      </c>
      <c r="IG24" s="6" t="s">
        <v>816</v>
      </c>
      <c r="IH24" s="6" t="s">
        <v>816</v>
      </c>
      <c r="II24" s="6" t="s">
        <v>816</v>
      </c>
      <c r="IJ24" s="6" t="s">
        <v>816</v>
      </c>
      <c r="IK24" s="6" t="s">
        <v>816</v>
      </c>
      <c r="IL24" s="6" t="s">
        <v>816</v>
      </c>
      <c r="IN24" s="6" t="s">
        <v>816</v>
      </c>
      <c r="IQ24" s="6" t="s">
        <v>816</v>
      </c>
      <c r="IU24" s="6" t="s">
        <v>816</v>
      </c>
      <c r="IW24" s="6" t="s">
        <v>816</v>
      </c>
      <c r="IX24" s="6" t="s">
        <v>816</v>
      </c>
      <c r="IY24" s="6" t="s">
        <v>816</v>
      </c>
      <c r="IZ24" s="6" t="s">
        <v>816</v>
      </c>
      <c r="JA24" s="6" t="s">
        <v>816</v>
      </c>
      <c r="JB24" s="6" t="s">
        <v>816</v>
      </c>
      <c r="JC24" s="6" t="s">
        <v>816</v>
      </c>
      <c r="JE24" s="6" t="s">
        <v>816</v>
      </c>
      <c r="JF24" s="6" t="s">
        <v>816</v>
      </c>
      <c r="JL24" s="6" t="s">
        <v>816</v>
      </c>
      <c r="JO24" s="6" t="s">
        <v>816</v>
      </c>
      <c r="JP24" s="6" t="s">
        <v>816</v>
      </c>
      <c r="JQ24" s="6" t="s">
        <v>816</v>
      </c>
      <c r="JR24" s="6" t="s">
        <v>816</v>
      </c>
      <c r="JS24" s="6" t="s">
        <v>816</v>
      </c>
      <c r="JT24" s="6" t="s">
        <v>816</v>
      </c>
      <c r="JW24" s="6" t="s">
        <v>816</v>
      </c>
      <c r="JX24" s="6" t="s">
        <v>816</v>
      </c>
      <c r="JY24" s="6" t="s">
        <v>816</v>
      </c>
      <c r="JZ24" s="6" t="s">
        <v>816</v>
      </c>
      <c r="KA24" s="6" t="s">
        <v>816</v>
      </c>
      <c r="KB24" s="6" t="s">
        <v>816</v>
      </c>
      <c r="KC24" s="6" t="s">
        <v>816</v>
      </c>
      <c r="KD24" s="6" t="s">
        <v>816</v>
      </c>
      <c r="KE24" s="6" t="s">
        <v>816</v>
      </c>
      <c r="KG24" s="6" t="s">
        <v>816</v>
      </c>
      <c r="KJ24" s="6" t="s">
        <v>816</v>
      </c>
      <c r="KL24" s="6" t="s">
        <v>816</v>
      </c>
      <c r="KM24" s="6" t="s">
        <v>816</v>
      </c>
    </row>
    <row r="25" spans="1:305" x14ac:dyDescent="0.3">
      <c r="A25">
        <v>24</v>
      </c>
      <c r="B25" t="s">
        <v>1017</v>
      </c>
      <c r="C25" t="s">
        <v>816</v>
      </c>
      <c r="D25" t="s">
        <v>917</v>
      </c>
      <c r="E25" t="s">
        <v>2628</v>
      </c>
      <c r="F25">
        <v>72150</v>
      </c>
      <c r="G25" t="s">
        <v>421</v>
      </c>
      <c r="H25" t="s">
        <v>421</v>
      </c>
      <c r="I25" t="s">
        <v>818</v>
      </c>
      <c r="J25" t="s">
        <v>819</v>
      </c>
      <c r="K25" t="s">
        <v>820</v>
      </c>
      <c r="L25">
        <v>2222231030</v>
      </c>
      <c r="N25" t="s">
        <v>524</v>
      </c>
      <c r="O25" t="s">
        <v>824</v>
      </c>
      <c r="P25">
        <v>1</v>
      </c>
      <c r="Q25">
        <v>8</v>
      </c>
      <c r="R25" t="s">
        <v>1806</v>
      </c>
      <c r="S25">
        <v>1</v>
      </c>
      <c r="T25" t="s">
        <v>1807</v>
      </c>
      <c r="U25">
        <v>1</v>
      </c>
      <c r="V25">
        <v>1</v>
      </c>
      <c r="W25">
        <v>2</v>
      </c>
      <c r="X25">
        <v>0</v>
      </c>
      <c r="Y25" t="s">
        <v>457</v>
      </c>
      <c r="Z25">
        <v>500</v>
      </c>
      <c r="AA25">
        <v>500</v>
      </c>
      <c r="AD25" t="s">
        <v>1714</v>
      </c>
      <c r="AE25" t="s">
        <v>1715</v>
      </c>
      <c r="AO25" t="s">
        <v>822</v>
      </c>
      <c r="AP25" s="1" t="s">
        <v>938</v>
      </c>
      <c r="AQ25">
        <v>10</v>
      </c>
      <c r="AR25">
        <v>0</v>
      </c>
      <c r="AS25">
        <v>5</v>
      </c>
      <c r="AT25">
        <v>5</v>
      </c>
      <c r="AU25">
        <v>0</v>
      </c>
      <c r="AV25">
        <v>0</v>
      </c>
      <c r="AX25">
        <v>1</v>
      </c>
      <c r="AY25">
        <v>3</v>
      </c>
      <c r="BB25" s="3">
        <f t="shared" si="0"/>
        <v>22</v>
      </c>
      <c r="BC25">
        <v>2</v>
      </c>
      <c r="BD25" t="s">
        <v>986</v>
      </c>
      <c r="BE25">
        <v>6</v>
      </c>
      <c r="BF25" t="s">
        <v>965</v>
      </c>
      <c r="BG25">
        <v>5</v>
      </c>
      <c r="BH25">
        <v>1</v>
      </c>
      <c r="BO25">
        <v>2</v>
      </c>
      <c r="BP25" t="s">
        <v>827</v>
      </c>
      <c r="BR25">
        <v>3</v>
      </c>
      <c r="BS25" t="s">
        <v>828</v>
      </c>
      <c r="BT25">
        <v>5</v>
      </c>
      <c r="BU25">
        <v>17</v>
      </c>
      <c r="BV25">
        <v>23</v>
      </c>
      <c r="BW25" t="s">
        <v>1159</v>
      </c>
      <c r="CN25">
        <v>4</v>
      </c>
      <c r="CP25">
        <v>2</v>
      </c>
      <c r="CQ25">
        <v>1</v>
      </c>
      <c r="CR25">
        <v>1</v>
      </c>
      <c r="CS25">
        <v>4</v>
      </c>
      <c r="CT25">
        <v>2</v>
      </c>
      <c r="CU25" s="3">
        <f t="shared" si="8"/>
        <v>1</v>
      </c>
      <c r="CV25">
        <v>1</v>
      </c>
      <c r="DB25">
        <v>3</v>
      </c>
      <c r="DC25">
        <v>6</v>
      </c>
      <c r="DD25" t="s">
        <v>939</v>
      </c>
      <c r="DM25">
        <v>4</v>
      </c>
      <c r="DN25" t="s">
        <v>940</v>
      </c>
      <c r="DQ25">
        <v>2</v>
      </c>
      <c r="DR25" t="s">
        <v>831</v>
      </c>
      <c r="DY25" t="s">
        <v>1661</v>
      </c>
      <c r="DZ25" t="s">
        <v>1662</v>
      </c>
      <c r="EA25" t="s">
        <v>1663</v>
      </c>
      <c r="EB25" t="s">
        <v>1669</v>
      </c>
      <c r="EG25">
        <v>19</v>
      </c>
      <c r="EH25" t="s">
        <v>825</v>
      </c>
      <c r="EI25">
        <v>2024</v>
      </c>
      <c r="EJ25" t="s">
        <v>1283</v>
      </c>
      <c r="EK25" t="s">
        <v>1808</v>
      </c>
      <c r="EL25" t="s">
        <v>1809</v>
      </c>
      <c r="EM25" t="s">
        <v>1810</v>
      </c>
      <c r="EN25" t="s">
        <v>915</v>
      </c>
      <c r="EO25" t="s">
        <v>1811</v>
      </c>
      <c r="EP25" t="s">
        <v>439</v>
      </c>
      <c r="EQ25" t="s">
        <v>440</v>
      </c>
      <c r="ER25" t="s">
        <v>941</v>
      </c>
      <c r="ES25" s="9" t="s">
        <v>942</v>
      </c>
      <c r="ET25" s="1" t="s">
        <v>943</v>
      </c>
      <c r="EU25" t="s">
        <v>944</v>
      </c>
      <c r="EV25" s="9" t="s">
        <v>945</v>
      </c>
      <c r="EW25" t="s">
        <v>946</v>
      </c>
      <c r="EX25" t="s">
        <v>947</v>
      </c>
      <c r="EY25" s="9" t="s">
        <v>948</v>
      </c>
      <c r="EZ25" t="s">
        <v>946</v>
      </c>
      <c r="FA25" t="s">
        <v>949</v>
      </c>
      <c r="FB25" s="9" t="s">
        <v>950</v>
      </c>
      <c r="FC25" t="s">
        <v>946</v>
      </c>
      <c r="FD25" t="s">
        <v>951</v>
      </c>
      <c r="FE25" s="9" t="s">
        <v>952</v>
      </c>
      <c r="FF25" t="s">
        <v>946</v>
      </c>
      <c r="FG25" t="s">
        <v>953</v>
      </c>
      <c r="FK25" s="9" t="s">
        <v>954</v>
      </c>
      <c r="FL25" t="s">
        <v>943</v>
      </c>
      <c r="FM25" t="s">
        <v>955</v>
      </c>
      <c r="FN25" s="9" t="s">
        <v>956</v>
      </c>
      <c r="FO25" t="s">
        <v>943</v>
      </c>
      <c r="FP25" t="s">
        <v>957</v>
      </c>
      <c r="FQ25" s="9" t="s">
        <v>958</v>
      </c>
      <c r="FR25" t="s">
        <v>943</v>
      </c>
      <c r="FS25" t="s">
        <v>959</v>
      </c>
      <c r="FU25">
        <v>0</v>
      </c>
      <c r="FV25" s="3">
        <f t="shared" si="9"/>
        <v>0</v>
      </c>
      <c r="FX25">
        <v>0</v>
      </c>
      <c r="FY25" s="3">
        <f t="shared" si="10"/>
        <v>0</v>
      </c>
      <c r="GA25">
        <v>0</v>
      </c>
      <c r="GB25" s="3">
        <f t="shared" si="11"/>
        <v>0</v>
      </c>
      <c r="GC25" t="s">
        <v>452</v>
      </c>
      <c r="GD25">
        <v>660</v>
      </c>
      <c r="GE25" s="3">
        <f t="shared" si="12"/>
        <v>4.3999999999999997E-2</v>
      </c>
      <c r="GF25" s="3">
        <f t="shared" si="13"/>
        <v>4.3999999999999997E-2</v>
      </c>
      <c r="GG25" s="3" t="str">
        <f t="shared" si="2"/>
        <v>ORDINARIO</v>
      </c>
      <c r="GH25" t="s">
        <v>960</v>
      </c>
      <c r="GI25" t="s">
        <v>943</v>
      </c>
      <c r="GJ25" t="s">
        <v>961</v>
      </c>
      <c r="GN25" s="6" t="s">
        <v>816</v>
      </c>
      <c r="GO25" t="s">
        <v>816</v>
      </c>
      <c r="GP25" s="6" t="s">
        <v>816</v>
      </c>
      <c r="GQ25" t="s">
        <v>816</v>
      </c>
      <c r="GR25" t="s">
        <v>816</v>
      </c>
      <c r="GS25" s="6" t="s">
        <v>816</v>
      </c>
      <c r="GT25" s="6" t="s">
        <v>816</v>
      </c>
      <c r="GU25" s="6" t="s">
        <v>816</v>
      </c>
      <c r="HH25" s="6" t="s">
        <v>816</v>
      </c>
      <c r="HI25" s="6" t="s">
        <v>816</v>
      </c>
      <c r="HL25" s="6" t="s">
        <v>816</v>
      </c>
      <c r="HM25" s="6" t="s">
        <v>816</v>
      </c>
      <c r="HN25" s="6" t="s">
        <v>816</v>
      </c>
      <c r="HO25" s="6" t="s">
        <v>816</v>
      </c>
      <c r="HQ25" s="6" t="s">
        <v>816</v>
      </c>
      <c r="HR25" s="6" t="s">
        <v>816</v>
      </c>
      <c r="HS25" s="6" t="s">
        <v>816</v>
      </c>
      <c r="HT25" s="6" t="s">
        <v>816</v>
      </c>
      <c r="HV25" s="6" t="s">
        <v>816</v>
      </c>
      <c r="HW25" s="6" t="s">
        <v>816</v>
      </c>
      <c r="HX25" s="6" t="s">
        <v>816</v>
      </c>
      <c r="HY25" s="6" t="s">
        <v>816</v>
      </c>
      <c r="IC25" s="6" t="s">
        <v>816</v>
      </c>
      <c r="ID25" s="6" t="s">
        <v>816</v>
      </c>
      <c r="IE25" s="6" t="s">
        <v>816</v>
      </c>
      <c r="IF25" s="6" t="s">
        <v>816</v>
      </c>
      <c r="IG25" s="6" t="s">
        <v>816</v>
      </c>
      <c r="IH25" s="6" t="s">
        <v>816</v>
      </c>
      <c r="II25" s="6" t="s">
        <v>816</v>
      </c>
      <c r="IJ25" s="6" t="s">
        <v>816</v>
      </c>
      <c r="IK25" s="6" t="s">
        <v>816</v>
      </c>
      <c r="IL25" s="6" t="s">
        <v>816</v>
      </c>
      <c r="IN25" s="6" t="s">
        <v>816</v>
      </c>
      <c r="IQ25" s="6" t="s">
        <v>816</v>
      </c>
      <c r="IU25" s="6" t="s">
        <v>816</v>
      </c>
      <c r="IW25" s="6" t="s">
        <v>816</v>
      </c>
      <c r="IX25" s="6" t="s">
        <v>816</v>
      </c>
      <c r="IY25" s="6" t="s">
        <v>816</v>
      </c>
      <c r="IZ25" s="6" t="s">
        <v>816</v>
      </c>
      <c r="JA25" s="6" t="s">
        <v>816</v>
      </c>
      <c r="JB25" s="6" t="s">
        <v>816</v>
      </c>
      <c r="JC25" s="6" t="s">
        <v>816</v>
      </c>
      <c r="JE25" s="6" t="s">
        <v>816</v>
      </c>
      <c r="JF25" s="6" t="s">
        <v>816</v>
      </c>
      <c r="JL25" s="6" t="s">
        <v>816</v>
      </c>
      <c r="JO25" s="6" t="s">
        <v>816</v>
      </c>
      <c r="JP25" s="6" t="s">
        <v>816</v>
      </c>
      <c r="JQ25" s="6" t="s">
        <v>816</v>
      </c>
      <c r="JR25" s="6" t="s">
        <v>816</v>
      </c>
      <c r="JS25" s="6" t="s">
        <v>816</v>
      </c>
      <c r="JT25" s="6" t="s">
        <v>816</v>
      </c>
      <c r="JW25" s="6" t="s">
        <v>816</v>
      </c>
      <c r="JX25" s="6" t="s">
        <v>816</v>
      </c>
      <c r="JY25" s="6" t="s">
        <v>816</v>
      </c>
      <c r="JZ25" s="6" t="s">
        <v>816</v>
      </c>
      <c r="KA25" s="6" t="s">
        <v>816</v>
      </c>
      <c r="KB25" s="6" t="s">
        <v>816</v>
      </c>
      <c r="KC25" s="6" t="s">
        <v>816</v>
      </c>
      <c r="KD25" s="6" t="s">
        <v>816</v>
      </c>
      <c r="KE25" s="6" t="s">
        <v>816</v>
      </c>
      <c r="KG25" s="6" t="s">
        <v>816</v>
      </c>
      <c r="KJ25" s="6" t="s">
        <v>816</v>
      </c>
      <c r="KL25" s="6" t="s">
        <v>816</v>
      </c>
      <c r="KM25" s="6" t="s">
        <v>816</v>
      </c>
    </row>
    <row r="26" spans="1:305" x14ac:dyDescent="0.3">
      <c r="A26">
        <v>25</v>
      </c>
      <c r="B26" t="s">
        <v>1013</v>
      </c>
      <c r="C26" t="s">
        <v>816</v>
      </c>
      <c r="D26" t="s">
        <v>917</v>
      </c>
      <c r="E26" t="s">
        <v>2629</v>
      </c>
      <c r="F26">
        <v>72530</v>
      </c>
      <c r="G26" t="s">
        <v>421</v>
      </c>
      <c r="H26" t="s">
        <v>421</v>
      </c>
      <c r="I26" t="s">
        <v>818</v>
      </c>
      <c r="J26" t="s">
        <v>819</v>
      </c>
      <c r="K26" t="s">
        <v>820</v>
      </c>
      <c r="L26">
        <v>2222296000</v>
      </c>
      <c r="M26" s="2" t="s">
        <v>1014</v>
      </c>
      <c r="N26" t="s">
        <v>524</v>
      </c>
      <c r="O26" t="s">
        <v>824</v>
      </c>
      <c r="P26">
        <v>1</v>
      </c>
      <c r="Q26">
        <v>44</v>
      </c>
      <c r="R26" t="s">
        <v>1713</v>
      </c>
      <c r="S26">
        <v>1</v>
      </c>
      <c r="T26" t="s">
        <v>1699</v>
      </c>
      <c r="U26">
        <v>1</v>
      </c>
      <c r="V26">
        <v>1</v>
      </c>
      <c r="W26">
        <v>0</v>
      </c>
      <c r="X26">
        <v>0</v>
      </c>
      <c r="Y26" t="s">
        <v>883</v>
      </c>
      <c r="Z26">
        <v>709.67</v>
      </c>
      <c r="AA26">
        <v>709.67</v>
      </c>
      <c r="AD26" t="s">
        <v>1714</v>
      </c>
      <c r="AE26" t="s">
        <v>1715</v>
      </c>
      <c r="AO26" t="s">
        <v>822</v>
      </c>
      <c r="AP26" t="s">
        <v>1021</v>
      </c>
      <c r="AQ26">
        <v>13</v>
      </c>
      <c r="AR26">
        <v>0</v>
      </c>
      <c r="AS26">
        <v>6</v>
      </c>
      <c r="AT26">
        <v>7</v>
      </c>
      <c r="AU26">
        <v>0</v>
      </c>
      <c r="AV26">
        <v>0</v>
      </c>
      <c r="AX26">
        <v>80</v>
      </c>
      <c r="AY26">
        <v>6</v>
      </c>
      <c r="BB26" s="3">
        <f t="shared" si="0"/>
        <v>29</v>
      </c>
      <c r="BC26">
        <v>2</v>
      </c>
      <c r="BD26" t="s">
        <v>987</v>
      </c>
      <c r="BE26">
        <v>7</v>
      </c>
      <c r="BF26" t="s">
        <v>826</v>
      </c>
      <c r="BG26">
        <v>6</v>
      </c>
      <c r="BH26">
        <v>1</v>
      </c>
      <c r="BO26">
        <v>4</v>
      </c>
      <c r="BP26" t="s">
        <v>827</v>
      </c>
      <c r="BR26">
        <v>4</v>
      </c>
      <c r="BS26" t="s">
        <v>828</v>
      </c>
      <c r="BT26">
        <v>6</v>
      </c>
      <c r="BU26">
        <v>11</v>
      </c>
      <c r="BV26">
        <v>17</v>
      </c>
      <c r="BW26" t="s">
        <v>829</v>
      </c>
      <c r="CN26">
        <v>11</v>
      </c>
      <c r="CP26">
        <v>2</v>
      </c>
      <c r="CS26">
        <v>3</v>
      </c>
      <c r="CT26">
        <v>4</v>
      </c>
      <c r="CU26" s="3">
        <f t="shared" si="8"/>
        <v>7</v>
      </c>
      <c r="CV26">
        <v>5</v>
      </c>
      <c r="CW26">
        <v>2</v>
      </c>
      <c r="CY26">
        <v>1</v>
      </c>
      <c r="CZ26">
        <v>1</v>
      </c>
      <c r="DB26">
        <v>3</v>
      </c>
      <c r="DC26">
        <v>4</v>
      </c>
      <c r="DD26" t="s">
        <v>828</v>
      </c>
      <c r="DM26">
        <v>4</v>
      </c>
      <c r="DN26" t="s">
        <v>830</v>
      </c>
      <c r="DQ26">
        <v>2</v>
      </c>
      <c r="DR26" t="s">
        <v>831</v>
      </c>
      <c r="DY26" t="s">
        <v>1661</v>
      </c>
      <c r="DZ26" t="s">
        <v>1662</v>
      </c>
      <c r="EA26" t="s">
        <v>1663</v>
      </c>
      <c r="EB26" t="s">
        <v>1701</v>
      </c>
      <c r="EG26">
        <v>6</v>
      </c>
      <c r="EH26" t="s">
        <v>825</v>
      </c>
      <c r="EI26">
        <v>2024</v>
      </c>
      <c r="EJ26" t="s">
        <v>1308</v>
      </c>
      <c r="EK26" t="s">
        <v>1716</v>
      </c>
      <c r="EL26" t="s">
        <v>1717</v>
      </c>
      <c r="EM26" t="s">
        <v>1718</v>
      </c>
      <c r="EN26" t="s">
        <v>1719</v>
      </c>
      <c r="EO26" t="s">
        <v>1720</v>
      </c>
      <c r="EP26" t="s">
        <v>439</v>
      </c>
      <c r="EQ26" t="s">
        <v>440</v>
      </c>
      <c r="ER26" t="s">
        <v>1022</v>
      </c>
      <c r="ES26" s="9" t="s">
        <v>1023</v>
      </c>
      <c r="ET26" t="s">
        <v>1177</v>
      </c>
      <c r="EU26" t="s">
        <v>1024</v>
      </c>
      <c r="EV26" s="9" t="s">
        <v>1025</v>
      </c>
      <c r="EW26" t="s">
        <v>839</v>
      </c>
      <c r="EX26" t="s">
        <v>1026</v>
      </c>
      <c r="EY26" s="9" t="s">
        <v>1027</v>
      </c>
      <c r="EZ26" t="s">
        <v>839</v>
      </c>
      <c r="FA26" t="s">
        <v>1028</v>
      </c>
      <c r="FB26" s="9" t="s">
        <v>1029</v>
      </c>
      <c r="FC26" t="s">
        <v>896</v>
      </c>
      <c r="FD26" t="s">
        <v>1030</v>
      </c>
      <c r="FE26" s="9" t="s">
        <v>1031</v>
      </c>
      <c r="FF26" t="s">
        <v>845</v>
      </c>
      <c r="FG26" t="s">
        <v>1032</v>
      </c>
      <c r="FH26" s="9" t="s">
        <v>1033</v>
      </c>
      <c r="FI26" t="s">
        <v>1009</v>
      </c>
      <c r="FJ26" t="s">
        <v>1034</v>
      </c>
      <c r="FK26" s="9" t="s">
        <v>1035</v>
      </c>
      <c r="FL26" t="s">
        <v>1009</v>
      </c>
      <c r="FM26" t="s">
        <v>1036</v>
      </c>
      <c r="FN26" s="9" t="s">
        <v>1037</v>
      </c>
      <c r="FO26" t="s">
        <v>855</v>
      </c>
      <c r="FP26" t="s">
        <v>1038</v>
      </c>
      <c r="FQ26" s="9" t="s">
        <v>1039</v>
      </c>
      <c r="FR26" t="s">
        <v>855</v>
      </c>
      <c r="FS26" t="s">
        <v>1040</v>
      </c>
      <c r="FU26">
        <v>0</v>
      </c>
      <c r="FV26" s="3">
        <f t="shared" si="9"/>
        <v>0</v>
      </c>
      <c r="FX26">
        <v>0</v>
      </c>
      <c r="FY26" s="3">
        <f t="shared" si="10"/>
        <v>0</v>
      </c>
      <c r="GA26">
        <v>0</v>
      </c>
      <c r="GB26" s="3">
        <f t="shared" si="11"/>
        <v>0</v>
      </c>
      <c r="GC26" t="s">
        <v>452</v>
      </c>
      <c r="GD26">
        <v>780</v>
      </c>
      <c r="GE26" s="3">
        <f t="shared" si="12"/>
        <v>5.1999999999999998E-2</v>
      </c>
      <c r="GF26" s="3">
        <f t="shared" si="13"/>
        <v>5.1999999999999998E-2</v>
      </c>
      <c r="GG26" s="3" t="str">
        <f t="shared" si="2"/>
        <v>ORDINARIO</v>
      </c>
      <c r="GH26" t="s">
        <v>1041</v>
      </c>
      <c r="GI26" t="s">
        <v>1009</v>
      </c>
      <c r="GJ26" t="s">
        <v>1042</v>
      </c>
      <c r="GK26" t="s">
        <v>1043</v>
      </c>
      <c r="GL26" t="s">
        <v>845</v>
      </c>
      <c r="GM26" t="s">
        <v>1044</v>
      </c>
      <c r="GN26" s="6" t="s">
        <v>816</v>
      </c>
      <c r="GO26" s="6" t="s">
        <v>816</v>
      </c>
      <c r="GP26" s="6" t="s">
        <v>816</v>
      </c>
      <c r="GQ26" s="6" t="s">
        <v>816</v>
      </c>
      <c r="GR26" s="6" t="s">
        <v>816</v>
      </c>
      <c r="GS26" s="6" t="s">
        <v>816</v>
      </c>
      <c r="GU26" s="6" t="s">
        <v>816</v>
      </c>
      <c r="HH26" s="6" t="s">
        <v>816</v>
      </c>
      <c r="HL26" s="6" t="s">
        <v>816</v>
      </c>
      <c r="HM26" s="6" t="s">
        <v>816</v>
      </c>
      <c r="HN26" s="6" t="s">
        <v>816</v>
      </c>
      <c r="HO26" s="6" t="s">
        <v>816</v>
      </c>
      <c r="HQ26" s="6" t="s">
        <v>816</v>
      </c>
      <c r="HR26" s="6" t="s">
        <v>816</v>
      </c>
      <c r="HS26" s="6" t="s">
        <v>816</v>
      </c>
      <c r="HT26" s="6" t="s">
        <v>816</v>
      </c>
      <c r="HV26" s="6" t="s">
        <v>816</v>
      </c>
      <c r="HW26" s="6" t="s">
        <v>816</v>
      </c>
      <c r="HX26" s="6" t="s">
        <v>816</v>
      </c>
      <c r="HY26" s="6" t="s">
        <v>816</v>
      </c>
      <c r="IC26" s="6" t="s">
        <v>816</v>
      </c>
      <c r="ID26" s="6" t="s">
        <v>816</v>
      </c>
      <c r="IE26" s="6" t="s">
        <v>816</v>
      </c>
      <c r="IF26" s="6" t="s">
        <v>816</v>
      </c>
      <c r="IG26" s="6" t="s">
        <v>816</v>
      </c>
      <c r="IH26" s="6" t="s">
        <v>816</v>
      </c>
      <c r="II26" s="6" t="s">
        <v>816</v>
      </c>
      <c r="IJ26" s="6" t="s">
        <v>816</v>
      </c>
      <c r="IK26" s="6" t="s">
        <v>816</v>
      </c>
      <c r="IL26" s="6" t="s">
        <v>816</v>
      </c>
      <c r="IN26" s="6" t="s">
        <v>816</v>
      </c>
      <c r="IQ26" s="6" t="s">
        <v>816</v>
      </c>
      <c r="IU26" s="6" t="s">
        <v>816</v>
      </c>
      <c r="IV26" s="6" t="s">
        <v>816</v>
      </c>
      <c r="IW26" s="6" t="s">
        <v>816</v>
      </c>
      <c r="IX26" s="6" t="s">
        <v>816</v>
      </c>
      <c r="IY26" s="6" t="s">
        <v>816</v>
      </c>
      <c r="IZ26" s="6" t="s">
        <v>816</v>
      </c>
      <c r="JA26" s="6" t="s">
        <v>816</v>
      </c>
      <c r="JB26" s="6" t="s">
        <v>816</v>
      </c>
      <c r="JC26" s="6" t="s">
        <v>816</v>
      </c>
      <c r="JE26" s="6" t="s">
        <v>816</v>
      </c>
      <c r="JF26" s="6" t="s">
        <v>816</v>
      </c>
      <c r="JL26" s="6" t="s">
        <v>816</v>
      </c>
      <c r="JO26" s="6" t="s">
        <v>816</v>
      </c>
      <c r="JP26" s="6" t="s">
        <v>816</v>
      </c>
      <c r="JQ26" s="6" t="s">
        <v>816</v>
      </c>
      <c r="JR26" s="6" t="s">
        <v>816</v>
      </c>
      <c r="JS26" s="6" t="s">
        <v>816</v>
      </c>
      <c r="JT26" s="6" t="s">
        <v>816</v>
      </c>
      <c r="JW26" s="6" t="s">
        <v>816</v>
      </c>
      <c r="JX26" s="6" t="s">
        <v>816</v>
      </c>
      <c r="JY26" s="6" t="s">
        <v>816</v>
      </c>
      <c r="JZ26" s="6" t="s">
        <v>816</v>
      </c>
      <c r="KA26" s="6" t="s">
        <v>816</v>
      </c>
      <c r="KB26" s="6" t="s">
        <v>816</v>
      </c>
      <c r="KC26" s="6" t="s">
        <v>816</v>
      </c>
      <c r="KD26" s="6" t="s">
        <v>816</v>
      </c>
      <c r="KE26" s="6" t="s">
        <v>816</v>
      </c>
      <c r="KG26" s="6" t="s">
        <v>816</v>
      </c>
      <c r="KJ26" s="6" t="s">
        <v>816</v>
      </c>
      <c r="KL26" s="6" t="s">
        <v>816</v>
      </c>
      <c r="KM26" s="6" t="s">
        <v>816</v>
      </c>
      <c r="KN26" t="s">
        <v>1045</v>
      </c>
      <c r="KO26" t="s">
        <v>839</v>
      </c>
      <c r="KP26" t="s">
        <v>1046</v>
      </c>
    </row>
    <row r="27" spans="1:305" x14ac:dyDescent="0.3">
      <c r="A27">
        <v>26</v>
      </c>
      <c r="B27" t="s">
        <v>1374</v>
      </c>
      <c r="C27" t="s">
        <v>816</v>
      </c>
      <c r="D27" t="s">
        <v>917</v>
      </c>
      <c r="E27" t="s">
        <v>2630</v>
      </c>
      <c r="F27">
        <v>72760</v>
      </c>
      <c r="G27" t="s">
        <v>789</v>
      </c>
      <c r="H27" t="s">
        <v>421</v>
      </c>
      <c r="I27" t="s">
        <v>818</v>
      </c>
      <c r="J27" t="s">
        <v>1066</v>
      </c>
      <c r="K27" t="s">
        <v>820</v>
      </c>
      <c r="L27">
        <v>2222474736</v>
      </c>
      <c r="M27" s="2" t="s">
        <v>1375</v>
      </c>
      <c r="N27" t="s">
        <v>524</v>
      </c>
      <c r="O27" t="s">
        <v>824</v>
      </c>
      <c r="P27">
        <v>1</v>
      </c>
      <c r="S27">
        <v>1</v>
      </c>
      <c r="T27" t="s">
        <v>1699</v>
      </c>
      <c r="U27">
        <v>1</v>
      </c>
      <c r="V27">
        <v>1</v>
      </c>
      <c r="W27">
        <v>0</v>
      </c>
      <c r="X27">
        <v>0</v>
      </c>
      <c r="Y27" t="s">
        <v>821</v>
      </c>
      <c r="Z27">
        <v>642.13</v>
      </c>
      <c r="AA27">
        <v>642.13</v>
      </c>
      <c r="AD27" t="s">
        <v>1707</v>
      </c>
      <c r="AE27" t="s">
        <v>1708</v>
      </c>
      <c r="AO27" t="s">
        <v>822</v>
      </c>
      <c r="AP27" t="s">
        <v>1376</v>
      </c>
      <c r="AQ27">
        <v>10</v>
      </c>
      <c r="AR27">
        <v>0</v>
      </c>
      <c r="AS27">
        <v>4</v>
      </c>
      <c r="AT27">
        <v>6</v>
      </c>
      <c r="AU27">
        <v>0</v>
      </c>
      <c r="AV27">
        <v>0</v>
      </c>
      <c r="AX27">
        <v>200</v>
      </c>
      <c r="AY27">
        <v>6</v>
      </c>
      <c r="BB27" s="3">
        <f t="shared" si="0"/>
        <v>22</v>
      </c>
      <c r="BC27">
        <v>1</v>
      </c>
      <c r="BD27" t="s">
        <v>987</v>
      </c>
      <c r="BE27">
        <v>6</v>
      </c>
      <c r="BF27" t="s">
        <v>826</v>
      </c>
      <c r="BG27">
        <v>5</v>
      </c>
      <c r="BH27">
        <v>1</v>
      </c>
      <c r="BO27">
        <v>1</v>
      </c>
      <c r="BP27" t="s">
        <v>827</v>
      </c>
      <c r="BR27">
        <v>1</v>
      </c>
      <c r="BS27" t="s">
        <v>828</v>
      </c>
      <c r="BT27">
        <v>9</v>
      </c>
      <c r="BU27">
        <v>6</v>
      </c>
      <c r="BV27">
        <v>15</v>
      </c>
      <c r="BW27" t="s">
        <v>829</v>
      </c>
      <c r="CN27">
        <v>8</v>
      </c>
      <c r="CP27">
        <v>2</v>
      </c>
      <c r="CS27">
        <v>4</v>
      </c>
      <c r="CT27">
        <v>1</v>
      </c>
      <c r="CU27" s="3">
        <f t="shared" si="8"/>
        <v>7</v>
      </c>
      <c r="CV27">
        <v>5</v>
      </c>
      <c r="CW27">
        <v>1</v>
      </c>
      <c r="CY27">
        <v>1</v>
      </c>
      <c r="CZ27">
        <v>1</v>
      </c>
      <c r="DB27">
        <v>4</v>
      </c>
      <c r="DC27">
        <v>12</v>
      </c>
      <c r="DD27" t="s">
        <v>828</v>
      </c>
      <c r="DM27">
        <v>4</v>
      </c>
      <c r="DN27" t="s">
        <v>830</v>
      </c>
      <c r="DQ27">
        <v>2</v>
      </c>
      <c r="DR27" t="s">
        <v>831</v>
      </c>
      <c r="DY27" t="s">
        <v>1661</v>
      </c>
      <c r="DZ27" t="s">
        <v>1662</v>
      </c>
      <c r="EA27" t="s">
        <v>1663</v>
      </c>
      <c r="EB27" t="s">
        <v>1669</v>
      </c>
      <c r="EG27">
        <v>28</v>
      </c>
      <c r="EH27" t="s">
        <v>825</v>
      </c>
      <c r="EI27">
        <v>2024</v>
      </c>
      <c r="EJ27" t="s">
        <v>1377</v>
      </c>
      <c r="EK27" t="s">
        <v>1709</v>
      </c>
      <c r="EL27" t="s">
        <v>1710</v>
      </c>
      <c r="EM27" t="s">
        <v>1711</v>
      </c>
      <c r="EN27" t="s">
        <v>437</v>
      </c>
      <c r="EO27" t="s">
        <v>1712</v>
      </c>
      <c r="EP27" t="s">
        <v>439</v>
      </c>
      <c r="EQ27" t="s">
        <v>440</v>
      </c>
      <c r="ER27" t="s">
        <v>1378</v>
      </c>
      <c r="ES27" s="9" t="s">
        <v>1379</v>
      </c>
      <c r="ET27" t="s">
        <v>1177</v>
      </c>
      <c r="EU27" t="s">
        <v>1380</v>
      </c>
      <c r="EV27" s="9" t="s">
        <v>1381</v>
      </c>
      <c r="EY27" s="9" t="s">
        <v>1382</v>
      </c>
      <c r="EZ27" t="s">
        <v>845</v>
      </c>
      <c r="FA27" t="s">
        <v>1383</v>
      </c>
      <c r="FB27" s="9" t="s">
        <v>1384</v>
      </c>
      <c r="FC27" t="s">
        <v>845</v>
      </c>
      <c r="FD27" t="s">
        <v>1385</v>
      </c>
      <c r="FE27" s="9" t="s">
        <v>1386</v>
      </c>
      <c r="FF27" t="s">
        <v>845</v>
      </c>
      <c r="FG27" t="s">
        <v>1387</v>
      </c>
      <c r="FH27" s="9" t="s">
        <v>1388</v>
      </c>
      <c r="FI27" t="s">
        <v>896</v>
      </c>
      <c r="FJ27" t="s">
        <v>1389</v>
      </c>
      <c r="FK27" s="9" t="s">
        <v>1390</v>
      </c>
      <c r="FL27" t="s">
        <v>839</v>
      </c>
      <c r="FM27" t="s">
        <v>1391</v>
      </c>
      <c r="FN27" s="9" t="s">
        <v>1392</v>
      </c>
      <c r="FO27" t="s">
        <v>839</v>
      </c>
      <c r="FP27" t="s">
        <v>1393</v>
      </c>
      <c r="FQ27" s="9" t="s">
        <v>1394</v>
      </c>
      <c r="FR27" t="s">
        <v>839</v>
      </c>
      <c r="FS27" t="s">
        <v>1395</v>
      </c>
      <c r="FU27">
        <v>0</v>
      </c>
      <c r="FV27" s="3">
        <f t="shared" si="9"/>
        <v>0</v>
      </c>
      <c r="FX27">
        <v>0</v>
      </c>
      <c r="FY27" s="3">
        <f t="shared" si="10"/>
        <v>0</v>
      </c>
      <c r="GA27">
        <v>0</v>
      </c>
      <c r="GB27" s="3">
        <f t="shared" si="11"/>
        <v>0</v>
      </c>
      <c r="GC27" t="s">
        <v>452</v>
      </c>
      <c r="GD27">
        <v>660</v>
      </c>
      <c r="GE27" s="3">
        <f t="shared" si="12"/>
        <v>4.3999999999999997E-2</v>
      </c>
      <c r="GF27" s="3">
        <f t="shared" si="13"/>
        <v>4.3999999999999997E-2</v>
      </c>
      <c r="GG27" s="3" t="str">
        <f t="shared" si="2"/>
        <v>ORDINARIO</v>
      </c>
      <c r="GH27" t="s">
        <v>1396</v>
      </c>
      <c r="GI27" t="s">
        <v>855</v>
      </c>
      <c r="GJ27" t="s">
        <v>1397</v>
      </c>
      <c r="GN27" s="6" t="s">
        <v>816</v>
      </c>
      <c r="GO27" s="6" t="s">
        <v>816</v>
      </c>
      <c r="GP27" s="6" t="s">
        <v>816</v>
      </c>
      <c r="GQ27" s="6" t="s">
        <v>816</v>
      </c>
      <c r="GR27" s="6" t="s">
        <v>816</v>
      </c>
      <c r="GS27" s="6" t="s">
        <v>816</v>
      </c>
      <c r="GT27" s="6" t="s">
        <v>816</v>
      </c>
      <c r="GU27" s="6" t="s">
        <v>816</v>
      </c>
      <c r="HH27" s="6" t="s">
        <v>816</v>
      </c>
      <c r="HL27" s="6" t="s">
        <v>816</v>
      </c>
      <c r="HM27" t="s">
        <v>816</v>
      </c>
      <c r="HN27" t="s">
        <v>816</v>
      </c>
      <c r="HO27" s="6" t="s">
        <v>816</v>
      </c>
      <c r="HQ27" s="6" t="s">
        <v>816</v>
      </c>
      <c r="HR27" s="6" t="s">
        <v>816</v>
      </c>
      <c r="HS27" s="6" t="s">
        <v>816</v>
      </c>
      <c r="HT27" s="6" t="s">
        <v>816</v>
      </c>
      <c r="HV27" s="6" t="s">
        <v>816</v>
      </c>
      <c r="HW27" s="6" t="s">
        <v>816</v>
      </c>
      <c r="HX27" s="6" t="s">
        <v>816</v>
      </c>
      <c r="HY27" s="6" t="s">
        <v>816</v>
      </c>
      <c r="IC27" s="6" t="s">
        <v>816</v>
      </c>
      <c r="ID27" s="6" t="s">
        <v>816</v>
      </c>
      <c r="IE27" s="6" t="s">
        <v>816</v>
      </c>
      <c r="IF27" s="6" t="s">
        <v>816</v>
      </c>
      <c r="IG27" s="6" t="s">
        <v>816</v>
      </c>
      <c r="IH27" s="6" t="s">
        <v>816</v>
      </c>
      <c r="II27" s="6" t="s">
        <v>816</v>
      </c>
      <c r="IJ27" s="6" t="s">
        <v>816</v>
      </c>
      <c r="IK27" s="6" t="s">
        <v>816</v>
      </c>
      <c r="IL27" s="6" t="s">
        <v>816</v>
      </c>
      <c r="IN27" s="6" t="s">
        <v>816</v>
      </c>
      <c r="IO27" s="6" t="s">
        <v>816</v>
      </c>
      <c r="IQ27" s="6" t="s">
        <v>816</v>
      </c>
      <c r="IU27" s="6" t="s">
        <v>816</v>
      </c>
      <c r="IW27" s="6" t="s">
        <v>816</v>
      </c>
      <c r="IX27" s="6" t="s">
        <v>816</v>
      </c>
      <c r="IY27" s="6" t="s">
        <v>816</v>
      </c>
      <c r="IZ27" s="6" t="s">
        <v>816</v>
      </c>
      <c r="JA27" s="6" t="s">
        <v>816</v>
      </c>
      <c r="JB27" s="6" t="s">
        <v>816</v>
      </c>
      <c r="JC27" s="6" t="s">
        <v>816</v>
      </c>
      <c r="JE27" s="6" t="s">
        <v>816</v>
      </c>
      <c r="JF27" s="6" t="s">
        <v>816</v>
      </c>
      <c r="JL27" s="6" t="s">
        <v>816</v>
      </c>
      <c r="JO27" s="6" t="s">
        <v>816</v>
      </c>
      <c r="JP27" s="6" t="s">
        <v>816</v>
      </c>
      <c r="JQ27" t="s">
        <v>816</v>
      </c>
      <c r="JR27" s="6" t="s">
        <v>816</v>
      </c>
      <c r="JS27" s="6" t="s">
        <v>816</v>
      </c>
      <c r="JT27" s="6" t="s">
        <v>816</v>
      </c>
      <c r="JW27" s="6" t="s">
        <v>816</v>
      </c>
      <c r="JX27" s="6" t="s">
        <v>816</v>
      </c>
      <c r="JY27" s="6" t="s">
        <v>816</v>
      </c>
      <c r="JZ27" s="6" t="s">
        <v>816</v>
      </c>
      <c r="KA27" s="6" t="s">
        <v>816</v>
      </c>
      <c r="KB27" s="6" t="s">
        <v>816</v>
      </c>
      <c r="KC27" s="6" t="s">
        <v>816</v>
      </c>
      <c r="KD27" s="6" t="s">
        <v>816</v>
      </c>
      <c r="KE27" s="6" t="s">
        <v>816</v>
      </c>
      <c r="KG27" s="6" t="s">
        <v>816</v>
      </c>
      <c r="KJ27" s="6" t="s">
        <v>816</v>
      </c>
      <c r="KL27" s="6" t="s">
        <v>816</v>
      </c>
      <c r="KM27" s="6" t="s">
        <v>816</v>
      </c>
    </row>
    <row r="28" spans="1:305" x14ac:dyDescent="0.3">
      <c r="A28">
        <v>27</v>
      </c>
      <c r="B28" t="s">
        <v>1107</v>
      </c>
      <c r="C28" t="s">
        <v>816</v>
      </c>
      <c r="D28" t="s">
        <v>917</v>
      </c>
      <c r="E28" t="s">
        <v>2631</v>
      </c>
      <c r="F28">
        <v>72400</v>
      </c>
      <c r="G28" t="s">
        <v>421</v>
      </c>
      <c r="H28" t="s">
        <v>421</v>
      </c>
      <c r="I28" t="s">
        <v>818</v>
      </c>
      <c r="J28" t="s">
        <v>819</v>
      </c>
      <c r="K28" t="s">
        <v>820</v>
      </c>
      <c r="L28">
        <v>2222492228</v>
      </c>
      <c r="M28" s="2" t="s">
        <v>1108</v>
      </c>
      <c r="N28" t="s">
        <v>524</v>
      </c>
      <c r="O28" t="s">
        <v>824</v>
      </c>
      <c r="P28">
        <v>1</v>
      </c>
      <c r="Q28">
        <v>23</v>
      </c>
      <c r="R28" t="s">
        <v>1780</v>
      </c>
      <c r="S28">
        <v>1</v>
      </c>
      <c r="T28" t="s">
        <v>1699</v>
      </c>
      <c r="U28">
        <v>1</v>
      </c>
      <c r="V28">
        <v>1</v>
      </c>
      <c r="W28">
        <v>0</v>
      </c>
      <c r="X28">
        <v>0</v>
      </c>
      <c r="Y28" t="s">
        <v>916</v>
      </c>
      <c r="Z28">
        <v>478.5</v>
      </c>
      <c r="AA28">
        <v>478.5</v>
      </c>
      <c r="AD28" t="s">
        <v>1714</v>
      </c>
      <c r="AE28" t="s">
        <v>1715</v>
      </c>
      <c r="AO28" t="s">
        <v>822</v>
      </c>
      <c r="AP28" t="s">
        <v>1109</v>
      </c>
      <c r="AQ28">
        <v>12</v>
      </c>
      <c r="AR28">
        <v>0</v>
      </c>
      <c r="AS28">
        <v>4</v>
      </c>
      <c r="AT28">
        <v>8</v>
      </c>
      <c r="AU28">
        <v>0</v>
      </c>
      <c r="AV28">
        <v>0</v>
      </c>
      <c r="AX28">
        <v>30</v>
      </c>
      <c r="AY28">
        <v>6</v>
      </c>
      <c r="BB28" s="3">
        <f t="shared" si="0"/>
        <v>26</v>
      </c>
      <c r="BC28">
        <v>1</v>
      </c>
      <c r="BD28" t="s">
        <v>987</v>
      </c>
      <c r="BE28">
        <v>7</v>
      </c>
      <c r="BF28" t="s">
        <v>826</v>
      </c>
      <c r="BG28">
        <v>6</v>
      </c>
      <c r="BH28">
        <v>1</v>
      </c>
      <c r="BO28">
        <v>2</v>
      </c>
      <c r="BP28" t="s">
        <v>827</v>
      </c>
      <c r="BQ28">
        <v>2</v>
      </c>
      <c r="BS28" t="s">
        <v>828</v>
      </c>
      <c r="BT28">
        <v>9</v>
      </c>
      <c r="BU28">
        <v>8</v>
      </c>
      <c r="BV28">
        <v>17</v>
      </c>
      <c r="BW28" t="s">
        <v>829</v>
      </c>
      <c r="CN28">
        <v>10</v>
      </c>
      <c r="CP28">
        <v>2</v>
      </c>
      <c r="CR28">
        <v>1</v>
      </c>
      <c r="CS28">
        <v>3</v>
      </c>
      <c r="CT28">
        <v>1</v>
      </c>
      <c r="CU28" s="3">
        <f t="shared" si="8"/>
        <v>6</v>
      </c>
      <c r="CV28">
        <v>4</v>
      </c>
      <c r="CW28">
        <v>1</v>
      </c>
      <c r="CY28">
        <v>1</v>
      </c>
      <c r="CZ28">
        <v>1</v>
      </c>
      <c r="DB28">
        <v>1</v>
      </c>
      <c r="DC28">
        <v>11</v>
      </c>
      <c r="DD28" t="s">
        <v>828</v>
      </c>
      <c r="DM28">
        <v>4</v>
      </c>
      <c r="DN28" t="s">
        <v>830</v>
      </c>
      <c r="DQ28">
        <v>2</v>
      </c>
      <c r="DR28" t="s">
        <v>831</v>
      </c>
      <c r="DY28" t="s">
        <v>1661</v>
      </c>
      <c r="DZ28" t="s">
        <v>1662</v>
      </c>
      <c r="EA28" t="s">
        <v>1663</v>
      </c>
      <c r="EB28" t="s">
        <v>1669</v>
      </c>
      <c r="EG28">
        <v>20</v>
      </c>
      <c r="EH28" t="s">
        <v>825</v>
      </c>
      <c r="EI28">
        <v>2024</v>
      </c>
      <c r="EJ28" t="s">
        <v>1312</v>
      </c>
      <c r="EK28" t="s">
        <v>1721</v>
      </c>
      <c r="EL28" t="s">
        <v>1722</v>
      </c>
      <c r="EM28" t="s">
        <v>1723</v>
      </c>
      <c r="EN28" t="s">
        <v>1724</v>
      </c>
      <c r="EO28" t="s">
        <v>1725</v>
      </c>
      <c r="EP28" t="s">
        <v>439</v>
      </c>
      <c r="EQ28" t="s">
        <v>440</v>
      </c>
      <c r="ER28" t="s">
        <v>1110</v>
      </c>
      <c r="ES28" s="9" t="s">
        <v>1111</v>
      </c>
      <c r="ET28" t="s">
        <v>1177</v>
      </c>
      <c r="EU28" t="s">
        <v>1112</v>
      </c>
      <c r="EV28" s="9" t="s">
        <v>1113</v>
      </c>
      <c r="EW28" t="s">
        <v>839</v>
      </c>
      <c r="EX28" t="s">
        <v>1114</v>
      </c>
      <c r="EY28" s="9" t="s">
        <v>1115</v>
      </c>
      <c r="EZ28" t="s">
        <v>842</v>
      </c>
      <c r="FA28" t="s">
        <v>1116</v>
      </c>
      <c r="FB28" s="9" t="s">
        <v>1117</v>
      </c>
      <c r="FC28" t="s">
        <v>845</v>
      </c>
      <c r="FD28" t="s">
        <v>1118</v>
      </c>
      <c r="FE28" s="9" t="s">
        <v>1119</v>
      </c>
      <c r="FF28" t="s">
        <v>845</v>
      </c>
      <c r="FG28" t="s">
        <v>1120</v>
      </c>
      <c r="FH28" s="9" t="s">
        <v>1121</v>
      </c>
      <c r="FI28" t="s">
        <v>855</v>
      </c>
      <c r="FJ28" t="s">
        <v>1122</v>
      </c>
      <c r="FK28" s="9" t="s">
        <v>1123</v>
      </c>
      <c r="FL28" t="s">
        <v>839</v>
      </c>
      <c r="FM28" t="s">
        <v>1124</v>
      </c>
      <c r="FN28" s="9" t="s">
        <v>1125</v>
      </c>
      <c r="FO28" t="s">
        <v>839</v>
      </c>
      <c r="FP28" t="s">
        <v>1126</v>
      </c>
      <c r="FQ28" s="9" t="s">
        <v>1127</v>
      </c>
      <c r="FR28" t="s">
        <v>1128</v>
      </c>
      <c r="FS28" t="s">
        <v>1129</v>
      </c>
      <c r="FU28">
        <v>0</v>
      </c>
      <c r="FV28" s="3">
        <f t="shared" si="9"/>
        <v>0</v>
      </c>
      <c r="FX28">
        <v>0</v>
      </c>
      <c r="FY28" s="3">
        <f t="shared" si="10"/>
        <v>0</v>
      </c>
      <c r="GA28">
        <v>0</v>
      </c>
      <c r="GB28" s="3">
        <f t="shared" si="11"/>
        <v>0</v>
      </c>
      <c r="GC28" t="s">
        <v>452</v>
      </c>
      <c r="GD28">
        <v>720</v>
      </c>
      <c r="GE28" s="3">
        <f t="shared" si="12"/>
        <v>4.8000000000000001E-2</v>
      </c>
      <c r="GF28" s="3">
        <f t="shared" si="13"/>
        <v>4.8000000000000001E-2</v>
      </c>
      <c r="GG28" s="3" t="str">
        <f t="shared" si="2"/>
        <v>ORDINARIO</v>
      </c>
      <c r="GH28" t="s">
        <v>1130</v>
      </c>
      <c r="GI28" t="s">
        <v>848</v>
      </c>
      <c r="GJ28" t="s">
        <v>1131</v>
      </c>
      <c r="GK28" t="s">
        <v>1132</v>
      </c>
      <c r="GL28" t="s">
        <v>907</v>
      </c>
      <c r="GM28" t="s">
        <v>1133</v>
      </c>
      <c r="GN28" s="6" t="s">
        <v>816</v>
      </c>
      <c r="GO28" s="6" t="s">
        <v>816</v>
      </c>
      <c r="GP28" s="6" t="s">
        <v>816</v>
      </c>
      <c r="GQ28" s="6" t="s">
        <v>816</v>
      </c>
      <c r="GR28" s="6" t="s">
        <v>816</v>
      </c>
      <c r="GS28" s="6" t="s">
        <v>816</v>
      </c>
      <c r="GT28" s="6" t="s">
        <v>816</v>
      </c>
      <c r="GU28" s="6" t="s">
        <v>816</v>
      </c>
      <c r="HH28" s="6" t="s">
        <v>816</v>
      </c>
      <c r="HI28" s="6" t="s">
        <v>816</v>
      </c>
      <c r="HL28" s="6" t="s">
        <v>816</v>
      </c>
      <c r="HM28" s="6" t="s">
        <v>816</v>
      </c>
      <c r="HN28" s="6" t="s">
        <v>816</v>
      </c>
      <c r="HO28" s="6" t="s">
        <v>816</v>
      </c>
      <c r="HQ28" s="6" t="s">
        <v>816</v>
      </c>
      <c r="HR28" s="6" t="s">
        <v>816</v>
      </c>
      <c r="HS28" s="6" t="s">
        <v>816</v>
      </c>
      <c r="HT28" s="6" t="s">
        <v>816</v>
      </c>
      <c r="HV28" s="6" t="s">
        <v>816</v>
      </c>
      <c r="HW28" s="6" t="s">
        <v>816</v>
      </c>
      <c r="HX28" s="6" t="s">
        <v>816</v>
      </c>
      <c r="HY28" s="6" t="s">
        <v>816</v>
      </c>
      <c r="IC28" s="6" t="s">
        <v>816</v>
      </c>
      <c r="ID28" s="6" t="s">
        <v>816</v>
      </c>
      <c r="IE28" s="6" t="s">
        <v>816</v>
      </c>
      <c r="IF28" s="6" t="s">
        <v>816</v>
      </c>
      <c r="IG28" s="6" t="s">
        <v>816</v>
      </c>
      <c r="IH28" s="6" t="s">
        <v>816</v>
      </c>
      <c r="II28" s="6" t="s">
        <v>816</v>
      </c>
      <c r="IJ28" s="6" t="s">
        <v>816</v>
      </c>
      <c r="IK28" s="6" t="s">
        <v>816</v>
      </c>
      <c r="IL28" s="6" t="s">
        <v>816</v>
      </c>
      <c r="IN28" s="6" t="s">
        <v>816</v>
      </c>
      <c r="IO28" s="6" t="s">
        <v>816</v>
      </c>
      <c r="IP28" s="6" t="s">
        <v>816</v>
      </c>
      <c r="IQ28" s="6" t="s">
        <v>816</v>
      </c>
      <c r="IU28" s="6" t="s">
        <v>816</v>
      </c>
      <c r="IW28" s="6" t="s">
        <v>816</v>
      </c>
      <c r="IX28" s="6" t="s">
        <v>816</v>
      </c>
      <c r="IY28" s="6" t="s">
        <v>816</v>
      </c>
      <c r="IZ28" s="6" t="s">
        <v>816</v>
      </c>
      <c r="JA28" s="6" t="s">
        <v>816</v>
      </c>
      <c r="JB28" s="6" t="s">
        <v>816</v>
      </c>
      <c r="JC28" s="6" t="s">
        <v>816</v>
      </c>
      <c r="JE28" s="6" t="s">
        <v>816</v>
      </c>
      <c r="JF28" s="6" t="s">
        <v>816</v>
      </c>
      <c r="JL28" s="6" t="s">
        <v>816</v>
      </c>
      <c r="JO28" s="6" t="s">
        <v>816</v>
      </c>
      <c r="JP28" s="6" t="s">
        <v>816</v>
      </c>
      <c r="JQ28" s="6" t="s">
        <v>816</v>
      </c>
      <c r="JR28" s="6" t="s">
        <v>816</v>
      </c>
      <c r="JS28" s="6" t="s">
        <v>816</v>
      </c>
      <c r="JT28" s="6" t="s">
        <v>816</v>
      </c>
      <c r="JW28" s="6" t="s">
        <v>816</v>
      </c>
      <c r="JX28" s="6" t="s">
        <v>816</v>
      </c>
      <c r="JY28" s="6" t="s">
        <v>816</v>
      </c>
      <c r="JZ28" s="6" t="s">
        <v>816</v>
      </c>
      <c r="KA28" s="6" t="s">
        <v>816</v>
      </c>
      <c r="KB28" s="6" t="s">
        <v>816</v>
      </c>
      <c r="KC28" s="6" t="s">
        <v>816</v>
      </c>
      <c r="KD28" s="6" t="s">
        <v>816</v>
      </c>
      <c r="KE28" s="6" t="s">
        <v>816</v>
      </c>
      <c r="KG28" s="6" t="s">
        <v>816</v>
      </c>
      <c r="KJ28" s="6" t="s">
        <v>816</v>
      </c>
      <c r="KL28" s="6" t="s">
        <v>816</v>
      </c>
      <c r="KM28" s="6" t="s">
        <v>816</v>
      </c>
    </row>
    <row r="29" spans="1:305" x14ac:dyDescent="0.3">
      <c r="A29">
        <v>28</v>
      </c>
      <c r="B29" t="s">
        <v>1201</v>
      </c>
      <c r="C29" t="s">
        <v>816</v>
      </c>
      <c r="D29" t="s">
        <v>917</v>
      </c>
      <c r="E29" t="s">
        <v>2632</v>
      </c>
      <c r="F29">
        <v>72560</v>
      </c>
      <c r="G29" t="s">
        <v>421</v>
      </c>
      <c r="H29" t="s">
        <v>421</v>
      </c>
      <c r="I29" t="s">
        <v>818</v>
      </c>
      <c r="J29" t="s">
        <v>819</v>
      </c>
      <c r="K29" t="s">
        <v>820</v>
      </c>
      <c r="L29">
        <v>2222333898</v>
      </c>
      <c r="M29" s="2" t="s">
        <v>1202</v>
      </c>
      <c r="N29" t="s">
        <v>524</v>
      </c>
      <c r="O29" t="s">
        <v>824</v>
      </c>
      <c r="P29">
        <v>1</v>
      </c>
      <c r="Q29">
        <v>29</v>
      </c>
      <c r="R29" t="s">
        <v>1726</v>
      </c>
      <c r="S29">
        <v>1</v>
      </c>
      <c r="T29" t="s">
        <v>1699</v>
      </c>
      <c r="U29">
        <v>1</v>
      </c>
      <c r="V29">
        <v>1</v>
      </c>
      <c r="W29">
        <v>1</v>
      </c>
      <c r="X29">
        <v>0</v>
      </c>
      <c r="Y29" t="s">
        <v>883</v>
      </c>
      <c r="Z29">
        <v>219.22</v>
      </c>
      <c r="AA29">
        <v>219.22</v>
      </c>
      <c r="AD29" t="s">
        <v>1714</v>
      </c>
      <c r="AE29" t="s">
        <v>1715</v>
      </c>
      <c r="AO29" t="s">
        <v>822</v>
      </c>
      <c r="AP29" t="s">
        <v>1203</v>
      </c>
      <c r="AQ29">
        <v>10</v>
      </c>
      <c r="AR29">
        <v>0</v>
      </c>
      <c r="AS29">
        <v>7</v>
      </c>
      <c r="AT29">
        <v>3</v>
      </c>
      <c r="AU29">
        <v>0</v>
      </c>
      <c r="AV29">
        <v>0</v>
      </c>
      <c r="AX29">
        <v>300</v>
      </c>
      <c r="AY29">
        <v>6</v>
      </c>
      <c r="BB29" s="3">
        <f t="shared" si="0"/>
        <v>26</v>
      </c>
      <c r="BC29">
        <v>1</v>
      </c>
      <c r="BD29" t="s">
        <v>987</v>
      </c>
      <c r="BE29">
        <v>6</v>
      </c>
      <c r="BF29" t="s">
        <v>826</v>
      </c>
      <c r="BG29">
        <v>5</v>
      </c>
      <c r="BH29">
        <v>1</v>
      </c>
      <c r="BO29">
        <v>2</v>
      </c>
      <c r="BP29" t="s">
        <v>827</v>
      </c>
      <c r="BR29">
        <v>2</v>
      </c>
      <c r="BS29" t="s">
        <v>828</v>
      </c>
      <c r="BT29">
        <v>8</v>
      </c>
      <c r="BU29">
        <v>4</v>
      </c>
      <c r="BV29">
        <v>12</v>
      </c>
      <c r="BW29" t="s">
        <v>829</v>
      </c>
      <c r="CN29">
        <v>8</v>
      </c>
      <c r="CP29">
        <v>2</v>
      </c>
      <c r="CQ29">
        <v>2</v>
      </c>
      <c r="CR29">
        <v>1</v>
      </c>
      <c r="CS29">
        <v>4</v>
      </c>
      <c r="CT29">
        <v>5</v>
      </c>
      <c r="CU29" s="3">
        <f t="shared" si="8"/>
        <v>3</v>
      </c>
      <c r="CV29">
        <v>1</v>
      </c>
      <c r="CW29">
        <v>1</v>
      </c>
      <c r="CY29">
        <v>1</v>
      </c>
      <c r="CZ29">
        <v>1</v>
      </c>
      <c r="DB29">
        <v>4</v>
      </c>
      <c r="DC29">
        <v>5</v>
      </c>
      <c r="DD29" t="s">
        <v>828</v>
      </c>
      <c r="DM29">
        <v>4</v>
      </c>
      <c r="DN29" t="s">
        <v>830</v>
      </c>
      <c r="DQ29">
        <v>2</v>
      </c>
      <c r="DR29" t="s">
        <v>831</v>
      </c>
      <c r="DY29" t="s">
        <v>1661</v>
      </c>
      <c r="DZ29" t="s">
        <v>1662</v>
      </c>
      <c r="EA29" t="s">
        <v>1663</v>
      </c>
      <c r="EB29" t="s">
        <v>1669</v>
      </c>
      <c r="EG29">
        <v>16</v>
      </c>
      <c r="EH29" t="s">
        <v>825</v>
      </c>
      <c r="EI29">
        <v>2024</v>
      </c>
      <c r="EJ29" t="s">
        <v>1333</v>
      </c>
      <c r="EK29" t="s">
        <v>1727</v>
      </c>
      <c r="EL29" t="s">
        <v>1710</v>
      </c>
      <c r="EM29" t="s">
        <v>1728</v>
      </c>
      <c r="EN29" t="s">
        <v>1729</v>
      </c>
      <c r="EO29" t="s">
        <v>1730</v>
      </c>
      <c r="EP29" t="s">
        <v>439</v>
      </c>
      <c r="EQ29" t="s">
        <v>440</v>
      </c>
      <c r="ER29" t="s">
        <v>1227</v>
      </c>
      <c r="ES29" s="9" t="s">
        <v>1204</v>
      </c>
      <c r="ET29" s="1" t="s">
        <v>855</v>
      </c>
      <c r="EU29" t="s">
        <v>1205</v>
      </c>
      <c r="EV29" s="9" t="s">
        <v>1206</v>
      </c>
      <c r="EW29" t="s">
        <v>842</v>
      </c>
      <c r="EX29" t="s">
        <v>1207</v>
      </c>
      <c r="EY29" s="9" t="s">
        <v>1208</v>
      </c>
      <c r="EZ29" t="s">
        <v>842</v>
      </c>
      <c r="FA29" t="s">
        <v>1209</v>
      </c>
      <c r="FB29" s="9" t="s">
        <v>1210</v>
      </c>
      <c r="FC29" t="s">
        <v>845</v>
      </c>
      <c r="FD29" t="s">
        <v>1211</v>
      </c>
      <c r="FE29" s="9" t="s">
        <v>1212</v>
      </c>
      <c r="FF29" t="s">
        <v>845</v>
      </c>
      <c r="FG29" t="s">
        <v>1213</v>
      </c>
      <c r="FH29" s="9" t="s">
        <v>1214</v>
      </c>
      <c r="FI29" t="s">
        <v>1215</v>
      </c>
      <c r="FJ29" t="s">
        <v>1216</v>
      </c>
      <c r="FK29" s="9" t="s">
        <v>1217</v>
      </c>
      <c r="FL29" t="s">
        <v>839</v>
      </c>
      <c r="FM29" t="s">
        <v>1218</v>
      </c>
      <c r="FN29" s="9" t="s">
        <v>1219</v>
      </c>
      <c r="FO29" t="s">
        <v>839</v>
      </c>
      <c r="FP29" t="s">
        <v>1220</v>
      </c>
      <c r="FQ29" s="9" t="s">
        <v>1221</v>
      </c>
      <c r="FR29" t="s">
        <v>839</v>
      </c>
      <c r="FS29" t="s">
        <v>1222</v>
      </c>
      <c r="FU29">
        <v>0</v>
      </c>
      <c r="FV29" s="3">
        <f t="shared" si="9"/>
        <v>0</v>
      </c>
      <c r="FX29">
        <v>0</v>
      </c>
      <c r="FY29" s="3">
        <f t="shared" si="10"/>
        <v>0</v>
      </c>
      <c r="GA29">
        <v>39</v>
      </c>
      <c r="GB29" s="3">
        <f t="shared" si="11"/>
        <v>1.95E-2</v>
      </c>
      <c r="GC29" t="s">
        <v>452</v>
      </c>
      <c r="GD29">
        <v>15000</v>
      </c>
      <c r="GE29" s="3">
        <f t="shared" si="12"/>
        <v>1</v>
      </c>
      <c r="GF29" s="3">
        <f t="shared" si="13"/>
        <v>1.0195000000000001</v>
      </c>
      <c r="GG29" s="3" t="str">
        <f t="shared" si="2"/>
        <v>ALTO</v>
      </c>
      <c r="GN29" s="6" t="s">
        <v>816</v>
      </c>
      <c r="GO29" s="6" t="s">
        <v>816</v>
      </c>
      <c r="GP29" s="6" t="s">
        <v>816</v>
      </c>
      <c r="GQ29" s="6" t="s">
        <v>816</v>
      </c>
      <c r="GR29" s="6" t="s">
        <v>816</v>
      </c>
      <c r="GS29" s="6" t="s">
        <v>816</v>
      </c>
      <c r="GT29" s="6" t="s">
        <v>816</v>
      </c>
      <c r="GU29" s="6" t="s">
        <v>816</v>
      </c>
      <c r="HH29" s="6" t="s">
        <v>816</v>
      </c>
      <c r="HL29" s="6" t="s">
        <v>816</v>
      </c>
      <c r="HM29" s="6" t="s">
        <v>816</v>
      </c>
      <c r="HN29" s="6" t="s">
        <v>816</v>
      </c>
      <c r="HO29" s="6" t="s">
        <v>816</v>
      </c>
      <c r="HQ29" s="6" t="s">
        <v>816</v>
      </c>
      <c r="HR29" s="6" t="s">
        <v>816</v>
      </c>
      <c r="HS29" s="6" t="s">
        <v>816</v>
      </c>
      <c r="HT29" s="6" t="s">
        <v>816</v>
      </c>
      <c r="HU29" s="6" t="s">
        <v>816</v>
      </c>
      <c r="HV29" s="6" t="s">
        <v>816</v>
      </c>
      <c r="HW29" s="6" t="s">
        <v>816</v>
      </c>
      <c r="HX29" s="6" t="s">
        <v>816</v>
      </c>
      <c r="HY29" s="6" t="s">
        <v>816</v>
      </c>
      <c r="IC29" s="6" t="s">
        <v>816</v>
      </c>
      <c r="ID29" s="6" t="s">
        <v>816</v>
      </c>
      <c r="IE29" s="6" t="s">
        <v>816</v>
      </c>
      <c r="IF29" s="6" t="s">
        <v>816</v>
      </c>
      <c r="IG29" s="6" t="s">
        <v>816</v>
      </c>
      <c r="IH29" s="6" t="s">
        <v>816</v>
      </c>
      <c r="II29" s="6" t="s">
        <v>816</v>
      </c>
      <c r="IJ29" s="6" t="s">
        <v>816</v>
      </c>
      <c r="IK29" s="6" t="s">
        <v>816</v>
      </c>
      <c r="IL29" s="6" t="s">
        <v>816</v>
      </c>
      <c r="IN29" s="6" t="s">
        <v>816</v>
      </c>
      <c r="IP29" s="6" t="s">
        <v>816</v>
      </c>
      <c r="IQ29" s="6" t="s">
        <v>816</v>
      </c>
      <c r="IU29" s="6" t="s">
        <v>816</v>
      </c>
      <c r="IW29" s="6" t="s">
        <v>816</v>
      </c>
      <c r="IX29" s="6" t="s">
        <v>816</v>
      </c>
      <c r="IY29" s="6" t="s">
        <v>816</v>
      </c>
      <c r="IZ29" s="6" t="s">
        <v>816</v>
      </c>
      <c r="JA29" s="6" t="s">
        <v>816</v>
      </c>
      <c r="JB29" s="6" t="s">
        <v>816</v>
      </c>
      <c r="JC29" s="6" t="s">
        <v>816</v>
      </c>
      <c r="JE29" s="6" t="s">
        <v>816</v>
      </c>
      <c r="JF29" s="6" t="s">
        <v>816</v>
      </c>
      <c r="JL29" s="6" t="s">
        <v>816</v>
      </c>
      <c r="JO29" s="6" t="s">
        <v>816</v>
      </c>
      <c r="JP29" s="6" t="s">
        <v>816</v>
      </c>
      <c r="JQ29" s="6" t="s">
        <v>816</v>
      </c>
      <c r="JR29" s="6" t="s">
        <v>816</v>
      </c>
      <c r="JS29" s="6" t="s">
        <v>816</v>
      </c>
      <c r="JT29" s="6" t="s">
        <v>816</v>
      </c>
      <c r="JW29" s="6" t="s">
        <v>816</v>
      </c>
      <c r="JX29" s="6" t="s">
        <v>816</v>
      </c>
      <c r="JY29" s="6" t="s">
        <v>816</v>
      </c>
      <c r="JZ29" s="6" t="s">
        <v>816</v>
      </c>
      <c r="KA29" s="6" t="s">
        <v>816</v>
      </c>
      <c r="KB29" s="6" t="s">
        <v>816</v>
      </c>
      <c r="KC29" s="6" t="s">
        <v>816</v>
      </c>
      <c r="KD29" s="6" t="s">
        <v>816</v>
      </c>
      <c r="KE29" s="6" t="s">
        <v>816</v>
      </c>
      <c r="KG29" s="6" t="s">
        <v>816</v>
      </c>
      <c r="KJ29" s="6" t="s">
        <v>816</v>
      </c>
      <c r="KL29" s="6" t="s">
        <v>816</v>
      </c>
      <c r="KM29" s="6" t="s">
        <v>816</v>
      </c>
    </row>
    <row r="30" spans="1:305" x14ac:dyDescent="0.3">
      <c r="A30">
        <v>29</v>
      </c>
      <c r="B30" t="s">
        <v>1302</v>
      </c>
      <c r="C30" t="s">
        <v>816</v>
      </c>
      <c r="D30" t="s">
        <v>917</v>
      </c>
      <c r="E30" t="s">
        <v>2633</v>
      </c>
      <c r="F30">
        <v>72589</v>
      </c>
      <c r="G30" t="s">
        <v>421</v>
      </c>
      <c r="H30" t="s">
        <v>421</v>
      </c>
      <c r="I30" t="s">
        <v>818</v>
      </c>
      <c r="J30" t="s">
        <v>819</v>
      </c>
      <c r="K30" t="s">
        <v>820</v>
      </c>
      <c r="L30">
        <v>2222454513</v>
      </c>
      <c r="M30" s="2" t="s">
        <v>1303</v>
      </c>
      <c r="N30" t="s">
        <v>524</v>
      </c>
      <c r="O30" t="s">
        <v>824</v>
      </c>
      <c r="P30">
        <v>1</v>
      </c>
      <c r="Q30">
        <v>8</v>
      </c>
      <c r="R30" t="s">
        <v>1731</v>
      </c>
      <c r="S30">
        <v>1</v>
      </c>
      <c r="T30" t="s">
        <v>1699</v>
      </c>
      <c r="U30">
        <v>1</v>
      </c>
      <c r="V30">
        <v>1</v>
      </c>
      <c r="W30">
        <v>0</v>
      </c>
      <c r="X30">
        <v>0</v>
      </c>
      <c r="Y30" t="s">
        <v>916</v>
      </c>
      <c r="Z30">
        <v>308.35000000000002</v>
      </c>
      <c r="AA30">
        <v>308.35000000000002</v>
      </c>
      <c r="AD30" t="s">
        <v>1714</v>
      </c>
      <c r="AE30" t="s">
        <v>1715</v>
      </c>
      <c r="AO30" t="s">
        <v>822</v>
      </c>
      <c r="AP30" t="s">
        <v>1304</v>
      </c>
      <c r="AQ30">
        <v>10</v>
      </c>
      <c r="AR30">
        <v>0</v>
      </c>
      <c r="AS30">
        <v>5</v>
      </c>
      <c r="AT30">
        <v>5</v>
      </c>
      <c r="AU30">
        <v>0</v>
      </c>
      <c r="AV30">
        <v>0</v>
      </c>
      <c r="AX30">
        <v>100</v>
      </c>
      <c r="AY30">
        <v>6</v>
      </c>
      <c r="BB30" s="3">
        <f t="shared" si="0"/>
        <v>18</v>
      </c>
      <c r="BC30">
        <v>1</v>
      </c>
      <c r="BD30" t="s">
        <v>987</v>
      </c>
      <c r="BE30">
        <v>7</v>
      </c>
      <c r="BF30" t="s">
        <v>826</v>
      </c>
      <c r="BG30">
        <v>6</v>
      </c>
      <c r="BH30">
        <v>1</v>
      </c>
      <c r="BO30">
        <v>1</v>
      </c>
      <c r="BP30" t="s">
        <v>827</v>
      </c>
      <c r="BR30">
        <v>1</v>
      </c>
      <c r="BS30" t="s">
        <v>828</v>
      </c>
      <c r="BT30">
        <v>9</v>
      </c>
      <c r="BU30">
        <v>5</v>
      </c>
      <c r="BV30">
        <v>14</v>
      </c>
      <c r="BW30" t="s">
        <v>829</v>
      </c>
      <c r="CN30">
        <v>3</v>
      </c>
      <c r="CP30">
        <v>2</v>
      </c>
      <c r="CR30">
        <v>1</v>
      </c>
      <c r="CS30">
        <v>3</v>
      </c>
      <c r="CT30">
        <v>1</v>
      </c>
      <c r="CU30" s="3">
        <f t="shared" si="8"/>
        <v>8</v>
      </c>
      <c r="CV30">
        <v>5</v>
      </c>
      <c r="CW30">
        <v>1</v>
      </c>
      <c r="CY30">
        <v>1</v>
      </c>
      <c r="CZ30">
        <v>2</v>
      </c>
      <c r="DB30">
        <v>2</v>
      </c>
      <c r="DC30">
        <v>11</v>
      </c>
      <c r="DD30" t="s">
        <v>828</v>
      </c>
      <c r="DM30">
        <v>4</v>
      </c>
      <c r="DN30" t="s">
        <v>830</v>
      </c>
      <c r="DQ30">
        <v>2</v>
      </c>
      <c r="DR30" t="s">
        <v>831</v>
      </c>
      <c r="DY30" t="s">
        <v>1661</v>
      </c>
      <c r="DZ30" t="s">
        <v>1662</v>
      </c>
      <c r="EA30" t="s">
        <v>1663</v>
      </c>
      <c r="EB30" t="s">
        <v>1669</v>
      </c>
      <c r="EG30">
        <v>22</v>
      </c>
      <c r="EH30" t="s">
        <v>825</v>
      </c>
      <c r="EI30">
        <v>2024</v>
      </c>
      <c r="EJ30" t="s">
        <v>1305</v>
      </c>
      <c r="EK30" t="s">
        <v>1732</v>
      </c>
      <c r="EL30" t="s">
        <v>437</v>
      </c>
      <c r="EM30" t="s">
        <v>1733</v>
      </c>
      <c r="EN30" t="s">
        <v>1734</v>
      </c>
      <c r="EO30" t="s">
        <v>1735</v>
      </c>
      <c r="EP30" t="s">
        <v>439</v>
      </c>
      <c r="EQ30" t="s">
        <v>440</v>
      </c>
      <c r="ER30" t="s">
        <v>1313</v>
      </c>
      <c r="ES30" s="9" t="s">
        <v>1314</v>
      </c>
      <c r="ET30" s="1" t="s">
        <v>855</v>
      </c>
      <c r="EU30" t="s">
        <v>1315</v>
      </c>
      <c r="EV30" s="9" t="s">
        <v>1316</v>
      </c>
      <c r="EW30" t="s">
        <v>845</v>
      </c>
      <c r="EX30" t="s">
        <v>1317</v>
      </c>
      <c r="EY30" s="9" t="s">
        <v>1318</v>
      </c>
      <c r="EZ30" t="s">
        <v>839</v>
      </c>
      <c r="FA30" t="s">
        <v>1319</v>
      </c>
      <c r="FB30" s="9" t="s">
        <v>1320</v>
      </c>
      <c r="FC30" t="s">
        <v>845</v>
      </c>
      <c r="FD30" t="s">
        <v>1321</v>
      </c>
      <c r="FE30" s="9" t="s">
        <v>1322</v>
      </c>
      <c r="FF30" t="s">
        <v>845</v>
      </c>
      <c r="FG30" t="s">
        <v>1323</v>
      </c>
      <c r="FH30" s="9" t="s">
        <v>1324</v>
      </c>
      <c r="FI30" t="s">
        <v>839</v>
      </c>
      <c r="FJ30" t="s">
        <v>1325</v>
      </c>
      <c r="FK30" s="9" t="s">
        <v>1326</v>
      </c>
      <c r="FL30" t="s">
        <v>1261</v>
      </c>
      <c r="FM30" t="s">
        <v>1327</v>
      </c>
      <c r="FN30" s="9" t="s">
        <v>1328</v>
      </c>
      <c r="FO30" t="s">
        <v>839</v>
      </c>
      <c r="FP30" t="s">
        <v>1329</v>
      </c>
      <c r="FQ30" s="9" t="s">
        <v>1314</v>
      </c>
      <c r="FR30" t="s">
        <v>855</v>
      </c>
      <c r="FS30" t="s">
        <v>1315</v>
      </c>
      <c r="FU30">
        <v>0</v>
      </c>
      <c r="FV30" s="3">
        <f t="shared" si="9"/>
        <v>0</v>
      </c>
      <c r="FX30">
        <v>0</v>
      </c>
      <c r="FY30" s="3">
        <f t="shared" si="10"/>
        <v>0</v>
      </c>
      <c r="GA30">
        <v>11</v>
      </c>
      <c r="GB30" s="3">
        <f t="shared" si="11"/>
        <v>5.4999999999999997E-3</v>
      </c>
      <c r="GC30" t="s">
        <v>452</v>
      </c>
      <c r="GD30">
        <v>15000</v>
      </c>
      <c r="GE30" s="3">
        <f t="shared" si="12"/>
        <v>1</v>
      </c>
      <c r="GF30" s="3">
        <f t="shared" si="13"/>
        <v>1.0055000000000001</v>
      </c>
      <c r="GG30" s="3" t="str">
        <f t="shared" si="2"/>
        <v>ALTO</v>
      </c>
      <c r="GN30" s="6" t="s">
        <v>816</v>
      </c>
      <c r="GO30" s="6" t="s">
        <v>816</v>
      </c>
      <c r="GP30" s="6" t="s">
        <v>816</v>
      </c>
      <c r="GQ30" s="6" t="s">
        <v>816</v>
      </c>
      <c r="GR30" s="6" t="s">
        <v>816</v>
      </c>
      <c r="GS30" s="6" t="s">
        <v>816</v>
      </c>
      <c r="GT30" s="6" t="s">
        <v>816</v>
      </c>
      <c r="GU30" s="6" t="s">
        <v>816</v>
      </c>
      <c r="HH30" s="6" t="s">
        <v>816</v>
      </c>
      <c r="HL30" s="6" t="s">
        <v>816</v>
      </c>
      <c r="HM30" s="6" t="s">
        <v>816</v>
      </c>
      <c r="HN30" s="6" t="s">
        <v>816</v>
      </c>
      <c r="HO30" s="6" t="s">
        <v>816</v>
      </c>
      <c r="HQ30" s="6" t="s">
        <v>816</v>
      </c>
      <c r="HR30" s="6" t="s">
        <v>816</v>
      </c>
      <c r="HS30" s="6" t="s">
        <v>816</v>
      </c>
      <c r="HT30" s="6" t="s">
        <v>816</v>
      </c>
      <c r="HV30" s="6" t="s">
        <v>816</v>
      </c>
      <c r="HW30" s="6" t="s">
        <v>816</v>
      </c>
      <c r="HX30" s="6" t="s">
        <v>816</v>
      </c>
      <c r="HY30" s="6" t="s">
        <v>816</v>
      </c>
      <c r="IC30" s="6" t="s">
        <v>816</v>
      </c>
      <c r="ID30" s="6" t="s">
        <v>816</v>
      </c>
      <c r="IE30" s="6" t="s">
        <v>816</v>
      </c>
      <c r="IF30" s="6" t="s">
        <v>816</v>
      </c>
      <c r="IG30" s="6" t="s">
        <v>816</v>
      </c>
      <c r="IH30" s="6" t="s">
        <v>816</v>
      </c>
      <c r="II30" s="6" t="s">
        <v>816</v>
      </c>
      <c r="IJ30" s="6" t="s">
        <v>816</v>
      </c>
      <c r="IK30" s="6" t="s">
        <v>816</v>
      </c>
      <c r="IL30" s="6" t="s">
        <v>816</v>
      </c>
      <c r="IN30" s="6" t="s">
        <v>816</v>
      </c>
      <c r="IP30" s="6" t="s">
        <v>816</v>
      </c>
      <c r="IQ30" s="6" t="s">
        <v>816</v>
      </c>
      <c r="IU30" s="6" t="s">
        <v>816</v>
      </c>
      <c r="IW30" s="6" t="s">
        <v>816</v>
      </c>
      <c r="IX30" s="6" t="s">
        <v>816</v>
      </c>
      <c r="IY30" s="6" t="s">
        <v>816</v>
      </c>
      <c r="IZ30" s="6" t="s">
        <v>816</v>
      </c>
      <c r="JA30" s="6" t="s">
        <v>816</v>
      </c>
      <c r="JB30" s="6" t="s">
        <v>816</v>
      </c>
      <c r="JC30" t="s">
        <v>816</v>
      </c>
      <c r="JE30" s="6" t="s">
        <v>816</v>
      </c>
      <c r="JF30" s="6" t="s">
        <v>816</v>
      </c>
      <c r="JL30" s="6" t="s">
        <v>816</v>
      </c>
      <c r="JO30" s="6" t="s">
        <v>816</v>
      </c>
      <c r="JP30" s="6" t="s">
        <v>816</v>
      </c>
      <c r="JQ30" s="6" t="s">
        <v>816</v>
      </c>
      <c r="JR30" s="6" t="s">
        <v>816</v>
      </c>
      <c r="JS30" s="6" t="s">
        <v>816</v>
      </c>
      <c r="JT30" s="6" t="s">
        <v>816</v>
      </c>
      <c r="JW30" s="6" t="s">
        <v>816</v>
      </c>
      <c r="JX30" s="6" t="s">
        <v>816</v>
      </c>
      <c r="JY30" s="6" t="s">
        <v>816</v>
      </c>
      <c r="JZ30" s="6" t="s">
        <v>816</v>
      </c>
      <c r="KA30" s="6" t="s">
        <v>816</v>
      </c>
      <c r="KB30" s="6" t="s">
        <v>816</v>
      </c>
      <c r="KC30" s="6" t="s">
        <v>816</v>
      </c>
      <c r="KD30" s="6" t="s">
        <v>816</v>
      </c>
      <c r="KE30" s="6" t="s">
        <v>816</v>
      </c>
      <c r="KG30" s="6" t="s">
        <v>816</v>
      </c>
      <c r="KJ30" s="6" t="s">
        <v>816</v>
      </c>
      <c r="KL30" s="6" t="s">
        <v>816</v>
      </c>
      <c r="KM30" s="6" t="s">
        <v>816</v>
      </c>
    </row>
    <row r="31" spans="1:305" x14ac:dyDescent="0.3">
      <c r="A31">
        <v>30</v>
      </c>
      <c r="B31" t="s">
        <v>1019</v>
      </c>
      <c r="C31" t="s">
        <v>816</v>
      </c>
      <c r="D31" t="s">
        <v>917</v>
      </c>
      <c r="E31" t="s">
        <v>2634</v>
      </c>
      <c r="F31">
        <v>72450</v>
      </c>
      <c r="G31" t="s">
        <v>421</v>
      </c>
      <c r="H31" t="s">
        <v>421</v>
      </c>
      <c r="I31" t="s">
        <v>818</v>
      </c>
      <c r="J31" t="s">
        <v>819</v>
      </c>
      <c r="K31" t="s">
        <v>820</v>
      </c>
      <c r="L31">
        <v>2222287246</v>
      </c>
      <c r="M31" s="2" t="s">
        <v>985</v>
      </c>
      <c r="N31" t="s">
        <v>524</v>
      </c>
      <c r="O31" t="s">
        <v>824</v>
      </c>
      <c r="P31">
        <v>1</v>
      </c>
      <c r="Q31">
        <v>26</v>
      </c>
      <c r="R31">
        <v>1998</v>
      </c>
      <c r="S31">
        <v>1</v>
      </c>
      <c r="T31" t="s">
        <v>1699</v>
      </c>
      <c r="U31">
        <v>1</v>
      </c>
      <c r="V31">
        <v>1</v>
      </c>
      <c r="W31">
        <v>0</v>
      </c>
      <c r="X31">
        <v>0</v>
      </c>
      <c r="Y31" t="s">
        <v>424</v>
      </c>
      <c r="Z31">
        <v>251.87</v>
      </c>
      <c r="AA31">
        <v>251.87</v>
      </c>
      <c r="AD31" t="s">
        <v>1714</v>
      </c>
      <c r="AE31" t="s">
        <v>1715</v>
      </c>
      <c r="AO31" t="s">
        <v>822</v>
      </c>
      <c r="AP31" t="s">
        <v>988</v>
      </c>
      <c r="AQ31">
        <v>12</v>
      </c>
      <c r="AR31">
        <v>0</v>
      </c>
      <c r="AS31">
        <v>9</v>
      </c>
      <c r="AT31">
        <v>3</v>
      </c>
      <c r="AU31">
        <v>0</v>
      </c>
      <c r="AV31">
        <v>0</v>
      </c>
      <c r="AX31">
        <v>48</v>
      </c>
      <c r="AY31">
        <v>6</v>
      </c>
      <c r="BB31" s="3">
        <f t="shared" si="0"/>
        <v>16</v>
      </c>
      <c r="BC31">
        <v>1</v>
      </c>
      <c r="BD31" t="s">
        <v>987</v>
      </c>
      <c r="BE31">
        <v>5</v>
      </c>
      <c r="BF31" t="s">
        <v>826</v>
      </c>
      <c r="BG31">
        <v>4</v>
      </c>
      <c r="BH31">
        <v>1</v>
      </c>
      <c r="BO31">
        <v>2</v>
      </c>
      <c r="BP31" t="s">
        <v>827</v>
      </c>
      <c r="BR31">
        <v>2</v>
      </c>
      <c r="BS31" t="s">
        <v>828</v>
      </c>
      <c r="BT31">
        <v>6</v>
      </c>
      <c r="BU31">
        <v>5</v>
      </c>
      <c r="BV31">
        <v>11</v>
      </c>
      <c r="BW31" t="s">
        <v>829</v>
      </c>
      <c r="CN31">
        <v>3</v>
      </c>
      <c r="CP31">
        <v>2</v>
      </c>
      <c r="CS31">
        <v>3</v>
      </c>
      <c r="CT31">
        <v>1</v>
      </c>
      <c r="CU31" s="3">
        <f t="shared" si="8"/>
        <v>14</v>
      </c>
      <c r="CV31">
        <v>6</v>
      </c>
      <c r="CW31">
        <v>1</v>
      </c>
      <c r="CY31">
        <v>4</v>
      </c>
      <c r="CZ31">
        <v>4</v>
      </c>
      <c r="DB31">
        <v>3</v>
      </c>
      <c r="DC31">
        <v>3</v>
      </c>
      <c r="DD31" t="s">
        <v>828</v>
      </c>
      <c r="DM31">
        <v>4</v>
      </c>
      <c r="DN31" t="s">
        <v>830</v>
      </c>
      <c r="DQ31">
        <v>2</v>
      </c>
      <c r="DR31" t="s">
        <v>831</v>
      </c>
      <c r="DY31" t="s">
        <v>1661</v>
      </c>
      <c r="DZ31" t="s">
        <v>1662</v>
      </c>
      <c r="EA31" t="s">
        <v>1663</v>
      </c>
      <c r="EB31" t="s">
        <v>1701</v>
      </c>
      <c r="EG31">
        <v>2</v>
      </c>
      <c r="EH31" t="s">
        <v>825</v>
      </c>
      <c r="EI31">
        <v>2024</v>
      </c>
      <c r="EJ31" t="s">
        <v>1307</v>
      </c>
      <c r="EK31" t="s">
        <v>1710</v>
      </c>
      <c r="EL31" t="s">
        <v>1736</v>
      </c>
      <c r="EM31" t="s">
        <v>1737</v>
      </c>
      <c r="EN31" t="s">
        <v>1738</v>
      </c>
      <c r="EO31" t="s">
        <v>1739</v>
      </c>
      <c r="EP31" t="s">
        <v>439</v>
      </c>
      <c r="EQ31" t="s">
        <v>440</v>
      </c>
      <c r="ER31" t="s">
        <v>989</v>
      </c>
      <c r="ES31" s="9" t="s">
        <v>990</v>
      </c>
      <c r="ET31" t="s">
        <v>1177</v>
      </c>
      <c r="EU31" t="s">
        <v>991</v>
      </c>
      <c r="EV31" s="9" t="s">
        <v>992</v>
      </c>
      <c r="EW31" t="s">
        <v>839</v>
      </c>
      <c r="EX31" t="s">
        <v>993</v>
      </c>
      <c r="EY31" s="9" t="s">
        <v>994</v>
      </c>
      <c r="EZ31" t="s">
        <v>839</v>
      </c>
      <c r="FA31" t="s">
        <v>995</v>
      </c>
      <c r="FB31" s="9" t="s">
        <v>996</v>
      </c>
      <c r="FC31" t="s">
        <v>845</v>
      </c>
      <c r="FD31" t="s">
        <v>997</v>
      </c>
      <c r="FE31" s="9" t="s">
        <v>998</v>
      </c>
      <c r="FF31" t="s">
        <v>839</v>
      </c>
      <c r="FG31" t="s">
        <v>999</v>
      </c>
      <c r="FH31" s="9" t="s">
        <v>1000</v>
      </c>
      <c r="FI31" t="s">
        <v>845</v>
      </c>
      <c r="FJ31" t="s">
        <v>1001</v>
      </c>
      <c r="FK31" s="9" t="s">
        <v>1002</v>
      </c>
      <c r="FL31" t="s">
        <v>845</v>
      </c>
      <c r="FM31" t="s">
        <v>1003</v>
      </c>
      <c r="FN31" s="9" t="s">
        <v>1004</v>
      </c>
      <c r="FO31" t="s">
        <v>839</v>
      </c>
      <c r="FP31" t="s">
        <v>1005</v>
      </c>
      <c r="FQ31" s="9" t="s">
        <v>1006</v>
      </c>
      <c r="FR31" t="s">
        <v>855</v>
      </c>
      <c r="FS31" t="s">
        <v>1007</v>
      </c>
      <c r="FU31">
        <v>0</v>
      </c>
      <c r="FV31" s="3">
        <f t="shared" si="9"/>
        <v>0</v>
      </c>
      <c r="FX31">
        <v>0</v>
      </c>
      <c r="FY31" s="3">
        <f t="shared" si="10"/>
        <v>0</v>
      </c>
      <c r="GA31">
        <v>0</v>
      </c>
      <c r="GB31" s="3">
        <f t="shared" si="11"/>
        <v>0</v>
      </c>
      <c r="GC31" t="s">
        <v>452</v>
      </c>
      <c r="GD31">
        <v>780</v>
      </c>
      <c r="GE31" s="3">
        <f t="shared" si="12"/>
        <v>5.1999999999999998E-2</v>
      </c>
      <c r="GF31" s="3">
        <f t="shared" si="13"/>
        <v>5.1999999999999998E-2</v>
      </c>
      <c r="GG31" s="3" t="str">
        <f t="shared" si="2"/>
        <v>ORDINARIO</v>
      </c>
      <c r="GH31" t="s">
        <v>1008</v>
      </c>
      <c r="GI31" t="s">
        <v>1009</v>
      </c>
      <c r="GJ31" t="s">
        <v>1010</v>
      </c>
      <c r="GK31" t="s">
        <v>1011</v>
      </c>
      <c r="GL31" t="s">
        <v>896</v>
      </c>
      <c r="GM31" t="s">
        <v>1012</v>
      </c>
      <c r="GN31" s="6" t="s">
        <v>816</v>
      </c>
      <c r="GO31" s="6" t="s">
        <v>816</v>
      </c>
      <c r="GP31" s="6" t="s">
        <v>816</v>
      </c>
      <c r="GQ31" s="6" t="s">
        <v>816</v>
      </c>
      <c r="GR31" s="6" t="s">
        <v>816</v>
      </c>
      <c r="GS31" s="6" t="s">
        <v>816</v>
      </c>
      <c r="GU31" s="6" t="s">
        <v>816</v>
      </c>
      <c r="HH31" s="6" t="s">
        <v>816</v>
      </c>
      <c r="HL31" s="6" t="s">
        <v>816</v>
      </c>
      <c r="HM31" s="6" t="s">
        <v>816</v>
      </c>
      <c r="HN31" s="6" t="s">
        <v>816</v>
      </c>
      <c r="HO31" s="6" t="s">
        <v>816</v>
      </c>
      <c r="HQ31" s="6" t="s">
        <v>816</v>
      </c>
      <c r="HR31" s="6" t="s">
        <v>816</v>
      </c>
      <c r="HS31" s="6" t="s">
        <v>816</v>
      </c>
      <c r="HT31" s="6" t="s">
        <v>816</v>
      </c>
      <c r="HV31" s="6" t="s">
        <v>816</v>
      </c>
      <c r="HW31" s="6" t="s">
        <v>816</v>
      </c>
      <c r="HX31" s="6" t="s">
        <v>816</v>
      </c>
      <c r="HY31" s="6" t="s">
        <v>816</v>
      </c>
      <c r="IC31" s="6" t="s">
        <v>816</v>
      </c>
      <c r="ID31" s="6" t="s">
        <v>816</v>
      </c>
      <c r="IE31" s="6" t="s">
        <v>816</v>
      </c>
      <c r="IF31" s="6" t="s">
        <v>816</v>
      </c>
      <c r="IG31" s="6" t="s">
        <v>816</v>
      </c>
      <c r="IH31" s="6" t="s">
        <v>816</v>
      </c>
      <c r="II31" s="6" t="s">
        <v>816</v>
      </c>
      <c r="IJ31" s="6" t="s">
        <v>816</v>
      </c>
      <c r="IK31" s="6" t="s">
        <v>816</v>
      </c>
      <c r="IL31" s="6" t="s">
        <v>816</v>
      </c>
      <c r="IN31" s="6" t="s">
        <v>816</v>
      </c>
      <c r="IQ31" s="6" t="s">
        <v>816</v>
      </c>
      <c r="IU31" s="6" t="s">
        <v>816</v>
      </c>
      <c r="IV31" s="6" t="s">
        <v>816</v>
      </c>
      <c r="IW31" s="6" t="s">
        <v>816</v>
      </c>
      <c r="IX31" s="6" t="s">
        <v>816</v>
      </c>
      <c r="IY31" s="6" t="s">
        <v>816</v>
      </c>
      <c r="IZ31" s="6" t="s">
        <v>816</v>
      </c>
      <c r="JA31" s="6" t="s">
        <v>816</v>
      </c>
      <c r="JB31" s="6" t="s">
        <v>816</v>
      </c>
      <c r="JC31" s="6" t="s">
        <v>816</v>
      </c>
      <c r="JE31" s="6" t="s">
        <v>816</v>
      </c>
      <c r="JF31" s="6" t="s">
        <v>816</v>
      </c>
      <c r="JL31" s="6" t="s">
        <v>816</v>
      </c>
      <c r="JO31" s="6" t="s">
        <v>816</v>
      </c>
      <c r="JP31" s="6" t="s">
        <v>816</v>
      </c>
      <c r="JQ31" s="6" t="s">
        <v>816</v>
      </c>
      <c r="JR31" s="6" t="s">
        <v>816</v>
      </c>
      <c r="JS31" s="6" t="s">
        <v>816</v>
      </c>
      <c r="JT31" s="6" t="s">
        <v>816</v>
      </c>
      <c r="JW31" s="6" t="s">
        <v>816</v>
      </c>
      <c r="JX31" s="6" t="s">
        <v>816</v>
      </c>
      <c r="JY31" s="6" t="s">
        <v>816</v>
      </c>
      <c r="JZ31" s="6" t="s">
        <v>816</v>
      </c>
      <c r="KA31" s="6" t="s">
        <v>816</v>
      </c>
      <c r="KB31" s="6" t="s">
        <v>816</v>
      </c>
      <c r="KC31" s="6" t="s">
        <v>816</v>
      </c>
      <c r="KD31" s="6" t="s">
        <v>816</v>
      </c>
      <c r="KE31" s="6" t="s">
        <v>816</v>
      </c>
      <c r="KG31" s="6" t="s">
        <v>816</v>
      </c>
      <c r="KJ31" s="6" t="s">
        <v>816</v>
      </c>
      <c r="KL31" s="6" t="s">
        <v>816</v>
      </c>
      <c r="KM31" s="6" t="s">
        <v>816</v>
      </c>
    </row>
    <row r="32" spans="1:305" x14ac:dyDescent="0.3">
      <c r="A32">
        <v>31</v>
      </c>
      <c r="B32" t="s">
        <v>1275</v>
      </c>
      <c r="C32" t="s">
        <v>816</v>
      </c>
      <c r="D32" t="s">
        <v>917</v>
      </c>
      <c r="E32" t="s">
        <v>2635</v>
      </c>
      <c r="F32">
        <v>72540</v>
      </c>
      <c r="G32" t="s">
        <v>421</v>
      </c>
      <c r="H32" t="s">
        <v>421</v>
      </c>
      <c r="I32" t="s">
        <v>818</v>
      </c>
      <c r="J32" t="s">
        <v>819</v>
      </c>
      <c r="K32" t="s">
        <v>820</v>
      </c>
      <c r="L32">
        <v>2222333265</v>
      </c>
      <c r="M32" s="2" t="s">
        <v>1277</v>
      </c>
      <c r="N32" t="s">
        <v>524</v>
      </c>
      <c r="O32" t="s">
        <v>824</v>
      </c>
      <c r="P32">
        <v>1</v>
      </c>
      <c r="Q32">
        <v>26</v>
      </c>
      <c r="R32">
        <v>1997</v>
      </c>
      <c r="S32">
        <v>1</v>
      </c>
      <c r="T32" t="s">
        <v>1699</v>
      </c>
      <c r="U32">
        <v>1</v>
      </c>
      <c r="V32">
        <v>1</v>
      </c>
      <c r="W32">
        <v>0</v>
      </c>
      <c r="X32">
        <v>0</v>
      </c>
      <c r="Y32" t="s">
        <v>883</v>
      </c>
      <c r="Z32">
        <v>337</v>
      </c>
      <c r="AA32">
        <v>337</v>
      </c>
      <c r="AD32" t="s">
        <v>1714</v>
      </c>
      <c r="AE32" t="s">
        <v>1715</v>
      </c>
      <c r="AO32" t="s">
        <v>822</v>
      </c>
      <c r="AP32" t="s">
        <v>1278</v>
      </c>
      <c r="AQ32">
        <v>9</v>
      </c>
      <c r="AR32">
        <v>0</v>
      </c>
      <c r="AS32">
        <v>1</v>
      </c>
      <c r="AT32">
        <v>8</v>
      </c>
      <c r="AU32">
        <v>0</v>
      </c>
      <c r="AV32">
        <v>0</v>
      </c>
      <c r="AX32">
        <v>150</v>
      </c>
      <c r="AY32">
        <v>6</v>
      </c>
      <c r="BB32" s="3">
        <f t="shared" si="0"/>
        <v>24</v>
      </c>
      <c r="BC32">
        <v>1</v>
      </c>
      <c r="BD32" t="s">
        <v>987</v>
      </c>
      <c r="BE32">
        <v>7</v>
      </c>
      <c r="BF32" t="s">
        <v>826</v>
      </c>
      <c r="BG32">
        <v>6</v>
      </c>
      <c r="BH32">
        <v>1</v>
      </c>
      <c r="BO32">
        <v>2</v>
      </c>
      <c r="BP32" t="s">
        <v>827</v>
      </c>
      <c r="BR32">
        <v>2</v>
      </c>
      <c r="BS32" t="s">
        <v>828</v>
      </c>
      <c r="BT32">
        <v>11</v>
      </c>
      <c r="BU32">
        <v>8</v>
      </c>
      <c r="BV32">
        <v>19</v>
      </c>
      <c r="BW32" t="s">
        <v>829</v>
      </c>
      <c r="CN32">
        <v>7</v>
      </c>
      <c r="CP32">
        <v>2</v>
      </c>
      <c r="CR32">
        <v>1</v>
      </c>
      <c r="CS32">
        <v>4</v>
      </c>
      <c r="CT32">
        <v>1</v>
      </c>
      <c r="CU32" s="3">
        <f t="shared" si="8"/>
        <v>7</v>
      </c>
      <c r="CV32">
        <v>5</v>
      </c>
      <c r="CW32">
        <v>1</v>
      </c>
      <c r="CY32">
        <v>1</v>
      </c>
      <c r="CZ32">
        <v>1</v>
      </c>
      <c r="DB32">
        <v>3</v>
      </c>
      <c r="DC32">
        <v>9</v>
      </c>
      <c r="DD32" t="s">
        <v>828</v>
      </c>
      <c r="DM32">
        <v>4</v>
      </c>
      <c r="DN32" t="s">
        <v>830</v>
      </c>
      <c r="DQ32">
        <v>2</v>
      </c>
      <c r="DR32" t="s">
        <v>831</v>
      </c>
      <c r="DY32" t="s">
        <v>1661</v>
      </c>
      <c r="DZ32" t="s">
        <v>1662</v>
      </c>
      <c r="EA32" t="s">
        <v>1663</v>
      </c>
      <c r="EB32" t="s">
        <v>1701</v>
      </c>
      <c r="EG32">
        <v>22</v>
      </c>
      <c r="EH32" t="s">
        <v>825</v>
      </c>
      <c r="EI32">
        <v>2024</v>
      </c>
      <c r="EJ32" t="s">
        <v>1279</v>
      </c>
      <c r="EK32" t="s">
        <v>1740</v>
      </c>
      <c r="EL32" t="s">
        <v>1741</v>
      </c>
      <c r="EM32" t="s">
        <v>1724</v>
      </c>
      <c r="EN32" t="s">
        <v>1742</v>
      </c>
      <c r="EO32" t="s">
        <v>1743</v>
      </c>
      <c r="EP32" t="s">
        <v>439</v>
      </c>
      <c r="EQ32" t="s">
        <v>440</v>
      </c>
      <c r="ER32" t="s">
        <v>1284</v>
      </c>
      <c r="ES32" s="9" t="s">
        <v>1285</v>
      </c>
      <c r="ET32" s="1" t="s">
        <v>855</v>
      </c>
      <c r="EU32" t="s">
        <v>1286</v>
      </c>
      <c r="EV32" s="9" t="s">
        <v>1287</v>
      </c>
      <c r="EW32" t="s">
        <v>845</v>
      </c>
      <c r="EX32" t="s">
        <v>1288</v>
      </c>
      <c r="EY32" s="9" t="s">
        <v>1289</v>
      </c>
      <c r="EZ32" t="s">
        <v>839</v>
      </c>
      <c r="FA32" t="s">
        <v>1290</v>
      </c>
      <c r="FB32" s="9" t="s">
        <v>1291</v>
      </c>
      <c r="FC32" t="s">
        <v>839</v>
      </c>
      <c r="FD32" t="s">
        <v>1293</v>
      </c>
      <c r="FE32" s="9" t="s">
        <v>1292</v>
      </c>
      <c r="FF32" t="s">
        <v>1095</v>
      </c>
      <c r="FG32" t="s">
        <v>1294</v>
      </c>
      <c r="FH32" s="9" t="s">
        <v>1295</v>
      </c>
      <c r="FI32" t="s">
        <v>839</v>
      </c>
      <c r="FJ32" t="s">
        <v>1296</v>
      </c>
      <c r="FK32" s="9" t="s">
        <v>1297</v>
      </c>
      <c r="FL32" t="s">
        <v>1247</v>
      </c>
      <c r="FM32" t="s">
        <v>1290</v>
      </c>
      <c r="FN32" s="9" t="s">
        <v>1298</v>
      </c>
      <c r="FO32" t="s">
        <v>839</v>
      </c>
      <c r="FP32" t="s">
        <v>1299</v>
      </c>
      <c r="FQ32" s="9" t="s">
        <v>1300</v>
      </c>
      <c r="FR32" t="s">
        <v>845</v>
      </c>
      <c r="FS32" t="s">
        <v>1301</v>
      </c>
      <c r="FU32">
        <v>0</v>
      </c>
      <c r="FV32" s="3">
        <f t="shared" si="9"/>
        <v>0</v>
      </c>
      <c r="FX32">
        <v>0</v>
      </c>
      <c r="FY32" s="3">
        <f t="shared" si="10"/>
        <v>0</v>
      </c>
      <c r="GA32">
        <v>0</v>
      </c>
      <c r="GB32" s="3">
        <f t="shared" si="11"/>
        <v>0</v>
      </c>
      <c r="GC32" t="s">
        <v>452</v>
      </c>
      <c r="GD32">
        <v>660</v>
      </c>
      <c r="GE32" s="3">
        <f t="shared" si="12"/>
        <v>4.3999999999999997E-2</v>
      </c>
      <c r="GF32" s="3">
        <f t="shared" si="13"/>
        <v>4.3999999999999997E-2</v>
      </c>
      <c r="GG32" s="3" t="str">
        <f t="shared" si="2"/>
        <v>ORDINARIO</v>
      </c>
      <c r="GN32" s="6" t="s">
        <v>816</v>
      </c>
      <c r="GO32" s="6" t="s">
        <v>816</v>
      </c>
      <c r="GP32" s="6" t="s">
        <v>816</v>
      </c>
      <c r="GQ32" s="6" t="s">
        <v>816</v>
      </c>
      <c r="GR32" s="6" t="s">
        <v>816</v>
      </c>
      <c r="GS32" s="6" t="s">
        <v>816</v>
      </c>
      <c r="GT32" s="6" t="s">
        <v>816</v>
      </c>
      <c r="GU32" s="6" t="s">
        <v>816</v>
      </c>
      <c r="HH32" s="6" t="s">
        <v>816</v>
      </c>
      <c r="HL32" s="6" t="s">
        <v>816</v>
      </c>
      <c r="HM32" s="6" t="s">
        <v>816</v>
      </c>
      <c r="HN32" s="6" t="s">
        <v>816</v>
      </c>
      <c r="HO32" s="6" t="s">
        <v>816</v>
      </c>
      <c r="HQ32" s="6" t="s">
        <v>816</v>
      </c>
      <c r="HR32" s="6" t="s">
        <v>816</v>
      </c>
      <c r="HS32" s="6" t="s">
        <v>816</v>
      </c>
      <c r="HT32" s="6" t="s">
        <v>816</v>
      </c>
      <c r="HV32" s="6" t="s">
        <v>816</v>
      </c>
      <c r="HW32" s="6" t="s">
        <v>816</v>
      </c>
      <c r="HX32" s="6" t="s">
        <v>816</v>
      </c>
      <c r="HY32" s="6" t="s">
        <v>816</v>
      </c>
      <c r="IC32" s="6" t="s">
        <v>816</v>
      </c>
      <c r="ID32" s="6" t="s">
        <v>816</v>
      </c>
      <c r="IE32" s="6" t="s">
        <v>816</v>
      </c>
      <c r="IF32" s="6" t="s">
        <v>816</v>
      </c>
      <c r="IG32" s="6" t="s">
        <v>816</v>
      </c>
      <c r="IH32" s="6" t="s">
        <v>816</v>
      </c>
      <c r="II32" s="6" t="s">
        <v>816</v>
      </c>
      <c r="IJ32" s="6" t="s">
        <v>816</v>
      </c>
      <c r="IK32" s="6" t="s">
        <v>816</v>
      </c>
      <c r="IL32" s="6" t="s">
        <v>816</v>
      </c>
      <c r="IN32" s="6" t="s">
        <v>816</v>
      </c>
      <c r="IP32" s="6" t="s">
        <v>816</v>
      </c>
      <c r="IQ32" s="6" t="s">
        <v>816</v>
      </c>
      <c r="IU32" s="6" t="s">
        <v>816</v>
      </c>
      <c r="IW32" s="6" t="s">
        <v>816</v>
      </c>
      <c r="IX32" s="6" t="s">
        <v>816</v>
      </c>
      <c r="IY32" s="6" t="s">
        <v>816</v>
      </c>
      <c r="IZ32" s="6" t="s">
        <v>816</v>
      </c>
      <c r="JA32" s="6" t="s">
        <v>816</v>
      </c>
      <c r="JB32" s="6" t="s">
        <v>816</v>
      </c>
      <c r="JC32" s="6" t="s">
        <v>816</v>
      </c>
      <c r="JE32" s="6" t="s">
        <v>816</v>
      </c>
      <c r="JF32" s="6" t="s">
        <v>816</v>
      </c>
      <c r="JL32" s="6" t="s">
        <v>816</v>
      </c>
      <c r="JO32" s="6" t="s">
        <v>816</v>
      </c>
      <c r="JP32" s="6" t="s">
        <v>816</v>
      </c>
      <c r="JQ32" s="6" t="s">
        <v>816</v>
      </c>
      <c r="JR32" s="6" t="s">
        <v>816</v>
      </c>
      <c r="JS32" s="6" t="s">
        <v>816</v>
      </c>
      <c r="JT32" s="6" t="s">
        <v>816</v>
      </c>
      <c r="JW32" s="6" t="s">
        <v>816</v>
      </c>
      <c r="JX32" s="6" t="s">
        <v>816</v>
      </c>
      <c r="JY32" s="6" t="s">
        <v>816</v>
      </c>
      <c r="JZ32" s="6" t="s">
        <v>816</v>
      </c>
      <c r="KA32" s="6" t="s">
        <v>816</v>
      </c>
      <c r="KB32" s="6" t="s">
        <v>816</v>
      </c>
      <c r="KC32" s="6" t="s">
        <v>816</v>
      </c>
      <c r="KD32" s="6" t="s">
        <v>816</v>
      </c>
      <c r="KE32" s="6" t="s">
        <v>816</v>
      </c>
      <c r="KG32" s="6" t="s">
        <v>816</v>
      </c>
      <c r="KJ32" s="6" t="s">
        <v>816</v>
      </c>
      <c r="KL32" s="6" t="s">
        <v>816</v>
      </c>
      <c r="KM32" s="6" t="s">
        <v>816</v>
      </c>
    </row>
    <row r="33" spans="1:332" x14ac:dyDescent="0.3">
      <c r="A33">
        <v>32</v>
      </c>
      <c r="B33" t="s">
        <v>817</v>
      </c>
      <c r="C33" t="s">
        <v>816</v>
      </c>
      <c r="D33" t="s">
        <v>917</v>
      </c>
      <c r="E33" t="s">
        <v>2636</v>
      </c>
      <c r="F33">
        <v>72000</v>
      </c>
      <c r="G33" t="s">
        <v>421</v>
      </c>
      <c r="H33" t="s">
        <v>421</v>
      </c>
      <c r="I33" t="s">
        <v>818</v>
      </c>
      <c r="J33" t="s">
        <v>819</v>
      </c>
      <c r="K33" t="s">
        <v>820</v>
      </c>
      <c r="L33">
        <v>2222320040</v>
      </c>
      <c r="N33" t="s">
        <v>524</v>
      </c>
      <c r="O33" t="s">
        <v>824</v>
      </c>
      <c r="P33">
        <v>1</v>
      </c>
      <c r="Q33">
        <v>90</v>
      </c>
      <c r="R33" t="s">
        <v>1744</v>
      </c>
      <c r="S33">
        <v>1</v>
      </c>
      <c r="T33" t="s">
        <v>1745</v>
      </c>
      <c r="U33">
        <v>1</v>
      </c>
      <c r="V33">
        <v>1</v>
      </c>
      <c r="W33">
        <v>1</v>
      </c>
      <c r="X33">
        <v>0</v>
      </c>
      <c r="Y33" t="s">
        <v>821</v>
      </c>
      <c r="Z33">
        <v>1398.08</v>
      </c>
      <c r="AA33">
        <v>1627.18</v>
      </c>
      <c r="AD33" t="s">
        <v>1714</v>
      </c>
      <c r="AE33" t="s">
        <v>1781</v>
      </c>
      <c r="AO33" t="s">
        <v>822</v>
      </c>
      <c r="AP33" t="s">
        <v>823</v>
      </c>
      <c r="AQ33">
        <v>23</v>
      </c>
      <c r="AR33">
        <v>0</v>
      </c>
      <c r="AS33">
        <v>6</v>
      </c>
      <c r="AT33">
        <v>17</v>
      </c>
      <c r="AU33">
        <v>0</v>
      </c>
      <c r="AV33">
        <v>0</v>
      </c>
      <c r="AX33">
        <v>400</v>
      </c>
      <c r="AY33">
        <v>6</v>
      </c>
      <c r="BB33" s="3">
        <f t="shared" si="0"/>
        <v>23</v>
      </c>
      <c r="BC33">
        <v>2</v>
      </c>
      <c r="BD33" t="s">
        <v>987</v>
      </c>
      <c r="BE33">
        <v>8</v>
      </c>
      <c r="BF33" t="s">
        <v>826</v>
      </c>
      <c r="BG33">
        <v>7</v>
      </c>
      <c r="BH33">
        <v>1</v>
      </c>
      <c r="BO33">
        <v>2</v>
      </c>
      <c r="BP33" t="s">
        <v>827</v>
      </c>
      <c r="BR33">
        <v>2</v>
      </c>
      <c r="BS33" t="s">
        <v>828</v>
      </c>
      <c r="BT33">
        <v>8</v>
      </c>
      <c r="BU33">
        <v>11</v>
      </c>
      <c r="BV33">
        <v>19</v>
      </c>
      <c r="BW33" t="s">
        <v>829</v>
      </c>
      <c r="CN33">
        <v>7</v>
      </c>
      <c r="CP33">
        <v>2</v>
      </c>
      <c r="CS33">
        <v>2</v>
      </c>
      <c r="CT33">
        <v>1</v>
      </c>
      <c r="CU33" s="3">
        <f t="shared" si="8"/>
        <v>6</v>
      </c>
      <c r="CV33">
        <v>4</v>
      </c>
      <c r="CW33">
        <v>1</v>
      </c>
      <c r="CY33">
        <v>1</v>
      </c>
      <c r="CZ33">
        <v>1</v>
      </c>
      <c r="DB33">
        <v>5</v>
      </c>
      <c r="DC33">
        <v>7</v>
      </c>
      <c r="DD33" t="s">
        <v>828</v>
      </c>
      <c r="DM33">
        <v>4</v>
      </c>
      <c r="DN33" t="s">
        <v>830</v>
      </c>
      <c r="DQ33">
        <v>2</v>
      </c>
      <c r="DR33" t="s">
        <v>831</v>
      </c>
      <c r="DY33" t="s">
        <v>1661</v>
      </c>
      <c r="DZ33" t="s">
        <v>1662</v>
      </c>
      <c r="EA33" t="s">
        <v>1663</v>
      </c>
      <c r="EB33" t="s">
        <v>1669</v>
      </c>
      <c r="EG33">
        <v>9</v>
      </c>
      <c r="EH33" t="s">
        <v>825</v>
      </c>
      <c r="EI33">
        <v>2024</v>
      </c>
      <c r="EJ33" t="s">
        <v>1280</v>
      </c>
      <c r="EK33" t="s">
        <v>1746</v>
      </c>
      <c r="EL33" t="s">
        <v>1747</v>
      </c>
      <c r="EM33" t="s">
        <v>1748</v>
      </c>
      <c r="EN33" t="s">
        <v>1748</v>
      </c>
      <c r="EO33" t="s">
        <v>1749</v>
      </c>
      <c r="EP33" t="s">
        <v>439</v>
      </c>
      <c r="EQ33" t="s">
        <v>440</v>
      </c>
      <c r="ER33" t="s">
        <v>832</v>
      </c>
      <c r="ES33" s="9" t="s">
        <v>833</v>
      </c>
      <c r="ET33" t="s">
        <v>1177</v>
      </c>
      <c r="EU33" t="s">
        <v>834</v>
      </c>
      <c r="EV33" s="9" t="s">
        <v>835</v>
      </c>
      <c r="EW33" t="s">
        <v>836</v>
      </c>
      <c r="EX33" t="s">
        <v>837</v>
      </c>
      <c r="EY33" s="9" t="s">
        <v>838</v>
      </c>
      <c r="EZ33" t="s">
        <v>839</v>
      </c>
      <c r="FA33" t="s">
        <v>840</v>
      </c>
      <c r="FB33" s="9" t="s">
        <v>841</v>
      </c>
      <c r="FC33" t="s">
        <v>842</v>
      </c>
      <c r="FD33" t="s">
        <v>843</v>
      </c>
      <c r="FE33" s="9" t="s">
        <v>844</v>
      </c>
      <c r="FF33" t="s">
        <v>845</v>
      </c>
      <c r="FG33" t="s">
        <v>846</v>
      </c>
      <c r="FH33" s="9" t="s">
        <v>847</v>
      </c>
      <c r="FI33" t="s">
        <v>848</v>
      </c>
      <c r="FJ33" t="s">
        <v>849</v>
      </c>
      <c r="FK33" s="9" t="s">
        <v>850</v>
      </c>
      <c r="FL33" t="s">
        <v>839</v>
      </c>
      <c r="FM33" t="s">
        <v>851</v>
      </c>
      <c r="FN33" s="9" t="s">
        <v>852</v>
      </c>
      <c r="FO33" t="s">
        <v>845</v>
      </c>
      <c r="FP33" t="s">
        <v>853</v>
      </c>
      <c r="FQ33" s="9" t="s">
        <v>854</v>
      </c>
      <c r="FR33" t="s">
        <v>855</v>
      </c>
      <c r="FS33" t="s">
        <v>856</v>
      </c>
      <c r="FU33">
        <v>0</v>
      </c>
      <c r="FV33" s="3">
        <f t="shared" si="9"/>
        <v>0</v>
      </c>
      <c r="FX33">
        <v>0</v>
      </c>
      <c r="FY33" s="3">
        <f t="shared" si="10"/>
        <v>0</v>
      </c>
      <c r="GA33">
        <v>0</v>
      </c>
      <c r="GB33" s="3">
        <f t="shared" si="11"/>
        <v>0</v>
      </c>
      <c r="GC33" t="s">
        <v>452</v>
      </c>
      <c r="GD33">
        <v>1620</v>
      </c>
      <c r="GE33" s="3">
        <f t="shared" si="12"/>
        <v>0.108</v>
      </c>
      <c r="GF33" s="3">
        <f t="shared" si="13"/>
        <v>0.108</v>
      </c>
      <c r="GG33" s="3" t="str">
        <f t="shared" si="2"/>
        <v>ORDINARIO</v>
      </c>
      <c r="GH33" t="s">
        <v>857</v>
      </c>
      <c r="GI33" t="s">
        <v>842</v>
      </c>
      <c r="GJ33" t="s">
        <v>858</v>
      </c>
      <c r="GK33" t="s">
        <v>859</v>
      </c>
      <c r="GL33" t="s">
        <v>848</v>
      </c>
      <c r="GM33" t="s">
        <v>860</v>
      </c>
      <c r="GN33" s="6" t="s">
        <v>816</v>
      </c>
      <c r="GO33" s="6" t="s">
        <v>816</v>
      </c>
      <c r="GP33" s="6" t="s">
        <v>816</v>
      </c>
      <c r="GQ33" s="6" t="s">
        <v>816</v>
      </c>
      <c r="GR33" s="6" t="s">
        <v>816</v>
      </c>
      <c r="GS33" s="6" t="s">
        <v>816</v>
      </c>
      <c r="GT33" s="6" t="s">
        <v>816</v>
      </c>
      <c r="GU33" s="6" t="s">
        <v>816</v>
      </c>
      <c r="HH33" s="6" t="s">
        <v>816</v>
      </c>
      <c r="HL33" s="6" t="s">
        <v>816</v>
      </c>
      <c r="HM33" s="6" t="s">
        <v>816</v>
      </c>
      <c r="HN33" s="6" t="s">
        <v>816</v>
      </c>
      <c r="HO33" s="6" t="s">
        <v>816</v>
      </c>
      <c r="HQ33" s="6" t="s">
        <v>816</v>
      </c>
      <c r="HR33" s="6" t="s">
        <v>816</v>
      </c>
      <c r="HS33" s="6" t="s">
        <v>816</v>
      </c>
      <c r="HT33" s="6" t="s">
        <v>816</v>
      </c>
      <c r="HU33" s="6" t="s">
        <v>816</v>
      </c>
      <c r="HV33" s="6" t="s">
        <v>816</v>
      </c>
      <c r="HW33" s="6" t="s">
        <v>816</v>
      </c>
      <c r="HX33" s="6" t="s">
        <v>816</v>
      </c>
      <c r="HY33" s="6" t="s">
        <v>816</v>
      </c>
      <c r="IC33" s="6" t="s">
        <v>816</v>
      </c>
      <c r="ID33" s="6" t="s">
        <v>816</v>
      </c>
      <c r="IE33" s="6" t="s">
        <v>816</v>
      </c>
      <c r="IF33" s="6" t="s">
        <v>816</v>
      </c>
      <c r="IG33" s="6" t="s">
        <v>816</v>
      </c>
      <c r="IH33" s="6" t="s">
        <v>816</v>
      </c>
      <c r="II33" s="6" t="s">
        <v>816</v>
      </c>
      <c r="IJ33" s="6" t="s">
        <v>816</v>
      </c>
      <c r="IK33" s="6" t="s">
        <v>816</v>
      </c>
      <c r="IL33" s="6" t="s">
        <v>816</v>
      </c>
      <c r="IN33" s="6" t="s">
        <v>816</v>
      </c>
      <c r="IP33" s="6" t="s">
        <v>816</v>
      </c>
      <c r="IQ33" s="6" t="s">
        <v>816</v>
      </c>
      <c r="IU33" s="6" t="s">
        <v>816</v>
      </c>
      <c r="IW33" s="6" t="s">
        <v>816</v>
      </c>
      <c r="IX33" s="6" t="s">
        <v>816</v>
      </c>
      <c r="IY33" s="6" t="s">
        <v>816</v>
      </c>
      <c r="IZ33" s="6" t="s">
        <v>816</v>
      </c>
      <c r="JA33" s="6" t="s">
        <v>816</v>
      </c>
      <c r="JB33" s="6" t="s">
        <v>816</v>
      </c>
      <c r="JC33" s="6" t="s">
        <v>816</v>
      </c>
      <c r="JE33" s="6" t="s">
        <v>816</v>
      </c>
      <c r="JF33" s="6" t="s">
        <v>816</v>
      </c>
      <c r="JL33" s="6" t="s">
        <v>816</v>
      </c>
      <c r="JO33" s="6" t="s">
        <v>816</v>
      </c>
      <c r="JP33" s="6" t="s">
        <v>816</v>
      </c>
      <c r="JQ33" s="6" t="s">
        <v>816</v>
      </c>
      <c r="JR33" s="6" t="s">
        <v>816</v>
      </c>
      <c r="JS33" s="6" t="s">
        <v>816</v>
      </c>
      <c r="JT33" s="6" t="s">
        <v>816</v>
      </c>
      <c r="JW33" s="6" t="s">
        <v>816</v>
      </c>
      <c r="JX33" s="6" t="s">
        <v>816</v>
      </c>
      <c r="JY33" s="6" t="s">
        <v>816</v>
      </c>
      <c r="JZ33" s="6" t="s">
        <v>816</v>
      </c>
      <c r="KA33" s="6" t="s">
        <v>816</v>
      </c>
      <c r="KB33" s="6" t="s">
        <v>816</v>
      </c>
      <c r="KC33" s="6" t="s">
        <v>816</v>
      </c>
      <c r="KD33" s="6" t="s">
        <v>816</v>
      </c>
      <c r="KE33" s="6" t="s">
        <v>816</v>
      </c>
      <c r="KG33" s="6" t="s">
        <v>816</v>
      </c>
      <c r="KJ33" s="6" t="s">
        <v>816</v>
      </c>
      <c r="KL33" s="6" t="s">
        <v>816</v>
      </c>
      <c r="KM33" s="6" t="s">
        <v>816</v>
      </c>
      <c r="KN33" t="s">
        <v>861</v>
      </c>
      <c r="KO33" t="s">
        <v>848</v>
      </c>
      <c r="KP33" t="s">
        <v>862</v>
      </c>
      <c r="KQ33" t="s">
        <v>863</v>
      </c>
      <c r="KR33" t="s">
        <v>848</v>
      </c>
      <c r="KS33" t="s">
        <v>864</v>
      </c>
      <c r="KT33" t="s">
        <v>865</v>
      </c>
      <c r="KU33" t="s">
        <v>836</v>
      </c>
      <c r="KV33" t="s">
        <v>866</v>
      </c>
      <c r="KW33" t="s">
        <v>867</v>
      </c>
      <c r="KX33" t="s">
        <v>839</v>
      </c>
      <c r="KY33" t="s">
        <v>868</v>
      </c>
      <c r="KZ33" t="s">
        <v>869</v>
      </c>
      <c r="LA33" t="s">
        <v>839</v>
      </c>
      <c r="LB33" t="s">
        <v>870</v>
      </c>
      <c r="LC33" t="s">
        <v>871</v>
      </c>
      <c r="LD33" t="s">
        <v>839</v>
      </c>
      <c r="LE33" t="s">
        <v>872</v>
      </c>
      <c r="LF33" t="s">
        <v>873</v>
      </c>
      <c r="LG33" t="s">
        <v>839</v>
      </c>
      <c r="LH33" t="s">
        <v>874</v>
      </c>
      <c r="LI33" t="s">
        <v>875</v>
      </c>
      <c r="LJ33" t="s">
        <v>839</v>
      </c>
      <c r="LK33" t="s">
        <v>876</v>
      </c>
      <c r="LL33" t="s">
        <v>877</v>
      </c>
      <c r="LM33" t="s">
        <v>839</v>
      </c>
      <c r="LN33" t="s">
        <v>878</v>
      </c>
      <c r="LO33" t="s">
        <v>879</v>
      </c>
      <c r="LP33" t="s">
        <v>845</v>
      </c>
      <c r="LQ33" t="s">
        <v>880</v>
      </c>
      <c r="LR33" t="s">
        <v>881</v>
      </c>
      <c r="LS33" t="s">
        <v>845</v>
      </c>
      <c r="LT33" t="s">
        <v>882</v>
      </c>
    </row>
    <row r="34" spans="1:332" x14ac:dyDescent="0.3">
      <c r="A34">
        <v>33</v>
      </c>
      <c r="B34" t="s">
        <v>1464</v>
      </c>
      <c r="C34" t="s">
        <v>816</v>
      </c>
      <c r="D34" t="s">
        <v>917</v>
      </c>
      <c r="E34" t="s">
        <v>2637</v>
      </c>
      <c r="F34">
        <v>72825</v>
      </c>
      <c r="G34" t="s">
        <v>1420</v>
      </c>
      <c r="H34" t="s">
        <v>421</v>
      </c>
      <c r="I34" t="s">
        <v>818</v>
      </c>
      <c r="J34" t="s">
        <v>819</v>
      </c>
      <c r="K34" t="s">
        <v>820</v>
      </c>
      <c r="L34">
        <v>2224323555</v>
      </c>
      <c r="M34" s="2" t="s">
        <v>1465</v>
      </c>
      <c r="N34" t="s">
        <v>524</v>
      </c>
      <c r="O34" t="s">
        <v>824</v>
      </c>
      <c r="P34">
        <v>1</v>
      </c>
      <c r="Q34">
        <v>2</v>
      </c>
      <c r="R34" t="s">
        <v>1750</v>
      </c>
      <c r="S34">
        <v>1</v>
      </c>
      <c r="T34" t="s">
        <v>1745</v>
      </c>
      <c r="U34">
        <v>1</v>
      </c>
      <c r="V34">
        <v>1</v>
      </c>
      <c r="W34">
        <v>0</v>
      </c>
      <c r="X34">
        <v>0</v>
      </c>
      <c r="Y34" t="s">
        <v>883</v>
      </c>
      <c r="Z34">
        <v>360</v>
      </c>
      <c r="AA34">
        <v>360</v>
      </c>
      <c r="AD34" t="s">
        <v>1714</v>
      </c>
      <c r="AE34" t="s">
        <v>1715</v>
      </c>
      <c r="AO34" t="s">
        <v>822</v>
      </c>
      <c r="AP34" t="s">
        <v>1467</v>
      </c>
      <c r="AQ34">
        <v>18</v>
      </c>
      <c r="AR34">
        <v>0</v>
      </c>
      <c r="AS34">
        <v>6</v>
      </c>
      <c r="AT34">
        <v>12</v>
      </c>
      <c r="AU34">
        <v>0</v>
      </c>
      <c r="AV34">
        <v>0</v>
      </c>
      <c r="AX34">
        <v>100</v>
      </c>
      <c r="AY34">
        <v>6</v>
      </c>
      <c r="BB34" s="3">
        <f t="shared" ref="BB34:BB65" si="14">+BC34+BE34+BO34+CN34+CO34+CP34+CQ34+CR34+CS34+DG34</f>
        <v>22</v>
      </c>
      <c r="BC34">
        <v>2</v>
      </c>
      <c r="BD34" t="s">
        <v>987</v>
      </c>
      <c r="BE34">
        <v>7</v>
      </c>
      <c r="BF34" t="s">
        <v>826</v>
      </c>
      <c r="BG34">
        <v>6</v>
      </c>
      <c r="BH34">
        <v>1</v>
      </c>
      <c r="BO34">
        <v>1</v>
      </c>
      <c r="BP34" t="s">
        <v>827</v>
      </c>
      <c r="BR34">
        <v>1</v>
      </c>
      <c r="BS34" t="s">
        <v>828</v>
      </c>
      <c r="BT34">
        <v>6</v>
      </c>
      <c r="BU34">
        <v>13</v>
      </c>
      <c r="BV34">
        <v>19</v>
      </c>
      <c r="BW34" t="s">
        <v>829</v>
      </c>
      <c r="CN34">
        <v>5</v>
      </c>
      <c r="CP34">
        <v>1</v>
      </c>
      <c r="CQ34">
        <v>2</v>
      </c>
      <c r="CR34">
        <v>1</v>
      </c>
      <c r="CS34">
        <v>3</v>
      </c>
      <c r="CT34">
        <v>4</v>
      </c>
      <c r="CU34" s="3">
        <f t="shared" si="8"/>
        <v>3</v>
      </c>
      <c r="CV34">
        <v>1</v>
      </c>
      <c r="CW34">
        <v>1</v>
      </c>
      <c r="CY34">
        <v>1</v>
      </c>
      <c r="CZ34">
        <v>1</v>
      </c>
      <c r="DB34">
        <v>2</v>
      </c>
      <c r="DC34">
        <v>3</v>
      </c>
      <c r="DD34" t="s">
        <v>828</v>
      </c>
      <c r="DM34">
        <v>4</v>
      </c>
      <c r="DN34" t="s">
        <v>830</v>
      </c>
      <c r="DQ34">
        <v>2</v>
      </c>
      <c r="DR34" t="s">
        <v>831</v>
      </c>
      <c r="DY34" t="s">
        <v>1661</v>
      </c>
      <c r="DZ34" t="s">
        <v>1662</v>
      </c>
      <c r="EA34" t="s">
        <v>1663</v>
      </c>
      <c r="EB34" t="s">
        <v>1669</v>
      </c>
      <c r="EG34">
        <v>29</v>
      </c>
      <c r="EH34" t="s">
        <v>825</v>
      </c>
      <c r="EI34">
        <v>2024</v>
      </c>
      <c r="EJ34" t="s">
        <v>1466</v>
      </c>
      <c r="EK34" t="s">
        <v>1751</v>
      </c>
      <c r="EL34" t="s">
        <v>1751</v>
      </c>
      <c r="EM34" t="s">
        <v>437</v>
      </c>
      <c r="EN34" t="s">
        <v>437</v>
      </c>
      <c r="EO34" t="s">
        <v>1752</v>
      </c>
      <c r="EP34" t="s">
        <v>439</v>
      </c>
      <c r="EQ34" t="s">
        <v>440</v>
      </c>
      <c r="ER34" t="s">
        <v>1468</v>
      </c>
      <c r="ES34" s="9" t="s">
        <v>1469</v>
      </c>
      <c r="ET34" s="1" t="s">
        <v>836</v>
      </c>
      <c r="EU34" t="s">
        <v>1470</v>
      </c>
      <c r="EV34" s="9" t="s">
        <v>1471</v>
      </c>
      <c r="EW34" t="s">
        <v>1261</v>
      </c>
      <c r="EX34" t="s">
        <v>1472</v>
      </c>
      <c r="EY34" s="9" t="s">
        <v>1473</v>
      </c>
      <c r="EZ34" t="s">
        <v>1261</v>
      </c>
      <c r="FA34" t="s">
        <v>1474</v>
      </c>
      <c r="FB34" s="9" t="s">
        <v>1481</v>
      </c>
      <c r="FC34" t="s">
        <v>845</v>
      </c>
      <c r="FD34" t="s">
        <v>1482</v>
      </c>
      <c r="FE34" s="9" t="s">
        <v>1475</v>
      </c>
      <c r="FF34" t="s">
        <v>845</v>
      </c>
      <c r="FG34" t="s">
        <v>1476</v>
      </c>
      <c r="FH34" s="9" t="s">
        <v>1477</v>
      </c>
      <c r="FI34" t="s">
        <v>845</v>
      </c>
      <c r="FJ34" t="s">
        <v>1478</v>
      </c>
      <c r="FK34" s="9" t="s">
        <v>1479</v>
      </c>
      <c r="FL34" t="s">
        <v>839</v>
      </c>
      <c r="FM34" t="s">
        <v>1480</v>
      </c>
      <c r="FN34" s="9" t="s">
        <v>1483</v>
      </c>
      <c r="FO34" t="s">
        <v>842</v>
      </c>
      <c r="FP34" t="s">
        <v>1484</v>
      </c>
      <c r="FQ34" s="9" t="s">
        <v>1485</v>
      </c>
      <c r="FR34" t="s">
        <v>839</v>
      </c>
      <c r="FS34" t="s">
        <v>1486</v>
      </c>
      <c r="FU34">
        <v>0</v>
      </c>
      <c r="FV34" s="3">
        <f t="shared" si="9"/>
        <v>0</v>
      </c>
      <c r="FX34">
        <v>0</v>
      </c>
      <c r="FY34" s="3">
        <f t="shared" si="10"/>
        <v>0</v>
      </c>
      <c r="GA34">
        <v>0</v>
      </c>
      <c r="GB34" s="3">
        <f t="shared" si="11"/>
        <v>0</v>
      </c>
      <c r="GC34" t="s">
        <v>452</v>
      </c>
      <c r="GD34">
        <v>1080</v>
      </c>
      <c r="GE34" s="3">
        <f t="shared" si="12"/>
        <v>7.1999999999999995E-2</v>
      </c>
      <c r="GF34" s="3">
        <f t="shared" si="13"/>
        <v>7.1999999999999995E-2</v>
      </c>
      <c r="GG34" s="3" t="str">
        <f t="shared" ref="GG34:GG65" si="15">IF(AA34&gt;=3000,"ALTO",IF(GF34&gt;=1,"ALTO","ORDINARIO"))</f>
        <v>ORDINARIO</v>
      </c>
      <c r="GH34" t="s">
        <v>1487</v>
      </c>
      <c r="GI34" t="s">
        <v>839</v>
      </c>
      <c r="GJ34" t="s">
        <v>1488</v>
      </c>
      <c r="GK34" t="s">
        <v>1489</v>
      </c>
      <c r="GL34" t="s">
        <v>839</v>
      </c>
      <c r="GM34" t="s">
        <v>1490</v>
      </c>
      <c r="GN34" s="6" t="s">
        <v>816</v>
      </c>
      <c r="GO34" s="6" t="s">
        <v>816</v>
      </c>
      <c r="GP34" s="6" t="s">
        <v>816</v>
      </c>
      <c r="GQ34" s="6" t="s">
        <v>816</v>
      </c>
      <c r="GR34" s="6" t="s">
        <v>816</v>
      </c>
      <c r="GS34" s="6" t="s">
        <v>816</v>
      </c>
      <c r="GT34" s="6" t="s">
        <v>816</v>
      </c>
      <c r="GU34" s="6" t="s">
        <v>816</v>
      </c>
      <c r="HH34" s="6" t="s">
        <v>816</v>
      </c>
      <c r="HL34" s="6" t="s">
        <v>816</v>
      </c>
      <c r="HM34" t="s">
        <v>816</v>
      </c>
      <c r="HN34" t="s">
        <v>816</v>
      </c>
      <c r="HO34" s="6" t="s">
        <v>816</v>
      </c>
      <c r="HQ34" s="6" t="s">
        <v>816</v>
      </c>
      <c r="HR34" s="6" t="s">
        <v>816</v>
      </c>
      <c r="HS34" s="6" t="s">
        <v>816</v>
      </c>
      <c r="HT34" s="6" t="s">
        <v>816</v>
      </c>
      <c r="HV34" t="s">
        <v>816</v>
      </c>
      <c r="HW34" s="6" t="s">
        <v>816</v>
      </c>
      <c r="HX34" s="6" t="s">
        <v>816</v>
      </c>
      <c r="HY34" s="6" t="s">
        <v>816</v>
      </c>
      <c r="IC34" s="6" t="s">
        <v>816</v>
      </c>
      <c r="ID34" s="6" t="s">
        <v>816</v>
      </c>
      <c r="IE34" s="6" t="s">
        <v>816</v>
      </c>
      <c r="IF34" s="6" t="s">
        <v>816</v>
      </c>
      <c r="IG34" s="6" t="s">
        <v>816</v>
      </c>
      <c r="IH34" s="6" t="s">
        <v>816</v>
      </c>
      <c r="II34" s="6" t="s">
        <v>816</v>
      </c>
      <c r="IJ34" s="6" t="s">
        <v>816</v>
      </c>
      <c r="IK34" s="6" t="s">
        <v>816</v>
      </c>
      <c r="IL34" s="6" t="s">
        <v>816</v>
      </c>
      <c r="IN34" s="6" t="s">
        <v>816</v>
      </c>
      <c r="IO34" t="s">
        <v>816</v>
      </c>
      <c r="IP34" s="6" t="s">
        <v>816</v>
      </c>
      <c r="IQ34" s="6" t="s">
        <v>816</v>
      </c>
      <c r="IU34" s="6" t="s">
        <v>816</v>
      </c>
      <c r="IW34" s="6" t="s">
        <v>816</v>
      </c>
      <c r="IX34" s="6" t="s">
        <v>816</v>
      </c>
      <c r="IY34" s="6" t="s">
        <v>816</v>
      </c>
      <c r="IZ34" s="6" t="s">
        <v>816</v>
      </c>
      <c r="JA34" s="6" t="s">
        <v>816</v>
      </c>
      <c r="JB34" s="6" t="s">
        <v>816</v>
      </c>
      <c r="JC34" s="6" t="s">
        <v>816</v>
      </c>
      <c r="JE34" s="6" t="s">
        <v>816</v>
      </c>
      <c r="JF34" t="s">
        <v>816</v>
      </c>
      <c r="JL34" s="6" t="s">
        <v>816</v>
      </c>
      <c r="JO34" s="6" t="s">
        <v>816</v>
      </c>
      <c r="JP34" s="6" t="s">
        <v>816</v>
      </c>
      <c r="JQ34" t="s">
        <v>816</v>
      </c>
      <c r="JR34" s="6" t="s">
        <v>816</v>
      </c>
      <c r="JS34" s="6" t="s">
        <v>816</v>
      </c>
      <c r="JT34" s="6" t="s">
        <v>816</v>
      </c>
      <c r="JW34" s="6" t="s">
        <v>816</v>
      </c>
      <c r="JX34" s="6" t="s">
        <v>816</v>
      </c>
      <c r="JY34" s="6" t="s">
        <v>816</v>
      </c>
      <c r="JZ34" s="6" t="s">
        <v>816</v>
      </c>
      <c r="KA34" s="6" t="s">
        <v>816</v>
      </c>
      <c r="KB34" s="6" t="s">
        <v>816</v>
      </c>
      <c r="KC34" s="6" t="s">
        <v>816</v>
      </c>
      <c r="KD34" s="6" t="s">
        <v>816</v>
      </c>
      <c r="KE34" s="6" t="s">
        <v>816</v>
      </c>
      <c r="KG34" s="6" t="s">
        <v>816</v>
      </c>
      <c r="KJ34" s="6" t="s">
        <v>816</v>
      </c>
      <c r="KL34" s="6" t="s">
        <v>816</v>
      </c>
      <c r="KM34" t="s">
        <v>816</v>
      </c>
      <c r="KN34" t="s">
        <v>1491</v>
      </c>
      <c r="KO34" t="s">
        <v>839</v>
      </c>
      <c r="KP34" t="s">
        <v>1492</v>
      </c>
      <c r="KQ34" t="s">
        <v>1493</v>
      </c>
      <c r="KR34" t="s">
        <v>839</v>
      </c>
      <c r="KS34" t="s">
        <v>1494</v>
      </c>
      <c r="KT34" t="s">
        <v>1495</v>
      </c>
      <c r="KU34" t="s">
        <v>855</v>
      </c>
      <c r="KV34" t="s">
        <v>1496</v>
      </c>
      <c r="KW34" t="s">
        <v>1497</v>
      </c>
      <c r="KX34" t="s">
        <v>839</v>
      </c>
      <c r="KY34" t="s">
        <v>1498</v>
      </c>
      <c r="KZ34" t="s">
        <v>1499</v>
      </c>
      <c r="LA34" t="s">
        <v>1177</v>
      </c>
      <c r="LB34" t="s">
        <v>1500</v>
      </c>
      <c r="LC34" t="s">
        <v>1501</v>
      </c>
      <c r="LD34" t="s">
        <v>839</v>
      </c>
      <c r="LE34" t="s">
        <v>1502</v>
      </c>
    </row>
    <row r="35" spans="1:332" x14ac:dyDescent="0.3">
      <c r="A35">
        <v>34</v>
      </c>
      <c r="B35" t="s">
        <v>1065</v>
      </c>
      <c r="C35" t="s">
        <v>816</v>
      </c>
      <c r="D35" t="s">
        <v>917</v>
      </c>
      <c r="E35" t="s">
        <v>2638</v>
      </c>
      <c r="F35" s="5">
        <v>72750</v>
      </c>
      <c r="G35" t="s">
        <v>789</v>
      </c>
      <c r="H35" t="s">
        <v>421</v>
      </c>
      <c r="I35" t="s">
        <v>818</v>
      </c>
      <c r="J35" t="s">
        <v>1066</v>
      </c>
      <c r="K35" t="s">
        <v>820</v>
      </c>
      <c r="L35">
        <v>2222289701</v>
      </c>
      <c r="M35" s="2" t="s">
        <v>1089</v>
      </c>
      <c r="N35" t="s">
        <v>524</v>
      </c>
      <c r="O35" t="s">
        <v>824</v>
      </c>
      <c r="P35">
        <v>1</v>
      </c>
      <c r="Q35">
        <v>12</v>
      </c>
      <c r="R35" t="s">
        <v>1753</v>
      </c>
      <c r="S35">
        <v>1</v>
      </c>
      <c r="T35" t="s">
        <v>1745</v>
      </c>
      <c r="U35">
        <v>1</v>
      </c>
      <c r="V35">
        <v>1</v>
      </c>
      <c r="W35">
        <v>0</v>
      </c>
      <c r="X35">
        <v>0</v>
      </c>
      <c r="Y35" t="s">
        <v>883</v>
      </c>
      <c r="Z35">
        <v>329.4</v>
      </c>
      <c r="AA35">
        <v>329.4</v>
      </c>
      <c r="AD35" t="s">
        <v>1707</v>
      </c>
      <c r="AE35" t="s">
        <v>1708</v>
      </c>
      <c r="AO35" t="s">
        <v>822</v>
      </c>
      <c r="AP35" t="s">
        <v>1067</v>
      </c>
      <c r="AQ35">
        <v>10</v>
      </c>
      <c r="AR35">
        <v>0</v>
      </c>
      <c r="AS35">
        <v>6</v>
      </c>
      <c r="AT35">
        <v>4</v>
      </c>
      <c r="AU35">
        <v>0</v>
      </c>
      <c r="AV35">
        <v>0</v>
      </c>
      <c r="AX35">
        <v>200</v>
      </c>
      <c r="AY35">
        <v>6</v>
      </c>
      <c r="BB35" s="3">
        <f t="shared" si="14"/>
        <v>20</v>
      </c>
      <c r="BC35">
        <v>1</v>
      </c>
      <c r="BD35" t="s">
        <v>987</v>
      </c>
      <c r="BE35">
        <v>5</v>
      </c>
      <c r="BF35" t="s">
        <v>826</v>
      </c>
      <c r="BG35">
        <v>4</v>
      </c>
      <c r="BH35">
        <v>1</v>
      </c>
      <c r="BO35">
        <v>1</v>
      </c>
      <c r="BP35" t="s">
        <v>827</v>
      </c>
      <c r="BR35">
        <v>1</v>
      </c>
      <c r="BS35" t="s">
        <v>828</v>
      </c>
      <c r="BT35">
        <v>4</v>
      </c>
      <c r="BU35">
        <v>5</v>
      </c>
      <c r="BV35">
        <v>9</v>
      </c>
      <c r="BW35" t="s">
        <v>829</v>
      </c>
      <c r="CN35">
        <v>7</v>
      </c>
      <c r="CP35">
        <v>2</v>
      </c>
      <c r="CR35">
        <v>1</v>
      </c>
      <c r="CS35">
        <v>3</v>
      </c>
      <c r="CT35">
        <v>1</v>
      </c>
      <c r="CU35" s="3">
        <f t="shared" si="8"/>
        <v>6</v>
      </c>
      <c r="CV35">
        <v>4</v>
      </c>
      <c r="CW35">
        <v>1</v>
      </c>
      <c r="CY35">
        <v>1</v>
      </c>
      <c r="CZ35">
        <v>1</v>
      </c>
      <c r="DB35">
        <v>2</v>
      </c>
      <c r="DC35">
        <v>4</v>
      </c>
      <c r="DD35" t="s">
        <v>828</v>
      </c>
      <c r="DM35">
        <v>4</v>
      </c>
      <c r="DN35" t="s">
        <v>830</v>
      </c>
      <c r="DQ35">
        <v>2</v>
      </c>
      <c r="DR35" t="s">
        <v>831</v>
      </c>
      <c r="DY35" t="s">
        <v>1661</v>
      </c>
      <c r="DZ35" t="s">
        <v>1662</v>
      </c>
      <c r="EA35" t="s">
        <v>1663</v>
      </c>
      <c r="EB35" t="s">
        <v>1701</v>
      </c>
      <c r="EG35">
        <v>26</v>
      </c>
      <c r="EH35" t="s">
        <v>825</v>
      </c>
      <c r="EI35">
        <v>2024</v>
      </c>
      <c r="EJ35" t="s">
        <v>1310</v>
      </c>
      <c r="EK35" t="s">
        <v>1754</v>
      </c>
      <c r="EL35" t="s">
        <v>1755</v>
      </c>
      <c r="EM35" t="s">
        <v>1756</v>
      </c>
      <c r="EN35" t="s">
        <v>1757</v>
      </c>
      <c r="EP35" t="s">
        <v>439</v>
      </c>
      <c r="EQ35" t="s">
        <v>440</v>
      </c>
      <c r="ER35" t="s">
        <v>1068</v>
      </c>
      <c r="ES35" s="9" t="s">
        <v>1069</v>
      </c>
      <c r="ET35" t="s">
        <v>1177</v>
      </c>
      <c r="EU35" t="s">
        <v>1070</v>
      </c>
      <c r="EV35" s="9" t="s">
        <v>1071</v>
      </c>
      <c r="EW35" t="s">
        <v>839</v>
      </c>
      <c r="EX35" t="s">
        <v>1072</v>
      </c>
      <c r="EY35" s="9" t="s">
        <v>1073</v>
      </c>
      <c r="EZ35" t="s">
        <v>839</v>
      </c>
      <c r="FA35" t="s">
        <v>1074</v>
      </c>
      <c r="FB35" s="9" t="s">
        <v>1075</v>
      </c>
      <c r="FC35" t="s">
        <v>855</v>
      </c>
      <c r="FD35" t="s">
        <v>1076</v>
      </c>
      <c r="FE35" s="9" t="s">
        <v>1077</v>
      </c>
      <c r="FF35" t="s">
        <v>845</v>
      </c>
      <c r="FG35" t="s">
        <v>1078</v>
      </c>
      <c r="FH35" s="9" t="s">
        <v>1079</v>
      </c>
      <c r="FI35" t="s">
        <v>842</v>
      </c>
      <c r="FJ35" t="s">
        <v>1080</v>
      </c>
      <c r="FK35" s="9" t="s">
        <v>1081</v>
      </c>
      <c r="FL35" t="s">
        <v>845</v>
      </c>
      <c r="FM35" t="s">
        <v>1082</v>
      </c>
      <c r="FN35" s="9" t="s">
        <v>1083</v>
      </c>
      <c r="FO35" t="s">
        <v>842</v>
      </c>
      <c r="FP35" t="s">
        <v>1084</v>
      </c>
      <c r="FQ35" s="9" t="s">
        <v>1085</v>
      </c>
      <c r="FR35" t="s">
        <v>845</v>
      </c>
      <c r="FS35" t="s">
        <v>1086</v>
      </c>
      <c r="FU35">
        <v>0</v>
      </c>
      <c r="FV35" s="3">
        <f t="shared" si="9"/>
        <v>0</v>
      </c>
      <c r="FX35">
        <v>0</v>
      </c>
      <c r="FY35" s="3">
        <f t="shared" si="10"/>
        <v>0</v>
      </c>
      <c r="GA35">
        <v>29</v>
      </c>
      <c r="GB35" s="3">
        <f t="shared" si="11"/>
        <v>1.4500000000000001E-2</v>
      </c>
      <c r="GC35" t="s">
        <v>452</v>
      </c>
      <c r="GD35">
        <v>10000</v>
      </c>
      <c r="GE35" s="3">
        <f t="shared" si="12"/>
        <v>0.66666666666666663</v>
      </c>
      <c r="GF35" s="3">
        <f t="shared" si="13"/>
        <v>0.68116666666666659</v>
      </c>
      <c r="GG35" s="3" t="str">
        <f t="shared" si="15"/>
        <v>ORDINARIO</v>
      </c>
      <c r="GN35" s="6" t="s">
        <v>816</v>
      </c>
      <c r="GO35" s="6" t="s">
        <v>816</v>
      </c>
      <c r="GP35" s="6" t="s">
        <v>816</v>
      </c>
      <c r="GQ35" s="6" t="s">
        <v>816</v>
      </c>
      <c r="GR35" t="s">
        <v>816</v>
      </c>
      <c r="GS35" s="6" t="s">
        <v>816</v>
      </c>
      <c r="GT35" s="6" t="s">
        <v>816</v>
      </c>
      <c r="GU35" s="6" t="s">
        <v>816</v>
      </c>
      <c r="HH35" s="6" t="s">
        <v>816</v>
      </c>
      <c r="HL35" s="6" t="s">
        <v>816</v>
      </c>
      <c r="HM35" t="s">
        <v>816</v>
      </c>
      <c r="HN35" t="s">
        <v>816</v>
      </c>
      <c r="HO35" s="6" t="s">
        <v>816</v>
      </c>
      <c r="HQ35" s="6" t="s">
        <v>816</v>
      </c>
      <c r="HR35" s="6" t="s">
        <v>816</v>
      </c>
      <c r="HS35" s="6" t="s">
        <v>816</v>
      </c>
      <c r="HT35" s="6" t="s">
        <v>816</v>
      </c>
      <c r="HV35" s="6" t="s">
        <v>816</v>
      </c>
      <c r="HW35" s="6" t="s">
        <v>816</v>
      </c>
      <c r="HX35" s="6" t="s">
        <v>816</v>
      </c>
      <c r="HY35" s="6" t="s">
        <v>816</v>
      </c>
      <c r="IC35" s="6" t="s">
        <v>816</v>
      </c>
      <c r="ID35" s="6" t="s">
        <v>816</v>
      </c>
      <c r="IE35" s="6" t="s">
        <v>816</v>
      </c>
      <c r="IF35" s="6" t="s">
        <v>816</v>
      </c>
      <c r="IG35" s="6" t="s">
        <v>816</v>
      </c>
      <c r="IH35" s="6" t="s">
        <v>816</v>
      </c>
      <c r="II35" s="6" t="s">
        <v>816</v>
      </c>
      <c r="IJ35" s="6" t="s">
        <v>816</v>
      </c>
      <c r="IK35" s="6" t="s">
        <v>816</v>
      </c>
      <c r="IL35" s="6" t="s">
        <v>816</v>
      </c>
      <c r="IN35" s="6" t="s">
        <v>816</v>
      </c>
      <c r="IP35" s="6" t="s">
        <v>816</v>
      </c>
      <c r="IQ35" s="6" t="s">
        <v>816</v>
      </c>
      <c r="IU35" s="6" t="s">
        <v>816</v>
      </c>
      <c r="IW35" s="6" t="s">
        <v>816</v>
      </c>
      <c r="IX35" s="6" t="s">
        <v>816</v>
      </c>
      <c r="IY35" s="6" t="s">
        <v>816</v>
      </c>
      <c r="IZ35" s="6" t="s">
        <v>816</v>
      </c>
      <c r="JA35" s="6" t="s">
        <v>816</v>
      </c>
      <c r="JB35" s="6" t="s">
        <v>816</v>
      </c>
      <c r="JC35" t="s">
        <v>816</v>
      </c>
      <c r="JE35" s="6" t="s">
        <v>816</v>
      </c>
      <c r="JF35" s="6" t="s">
        <v>816</v>
      </c>
      <c r="JL35" s="6" t="s">
        <v>816</v>
      </c>
      <c r="JO35" s="6" t="s">
        <v>816</v>
      </c>
      <c r="JP35" s="6" t="s">
        <v>816</v>
      </c>
      <c r="JQ35" t="s">
        <v>816</v>
      </c>
      <c r="JR35" s="6" t="s">
        <v>816</v>
      </c>
      <c r="JS35" s="6" t="s">
        <v>816</v>
      </c>
      <c r="JT35" s="6" t="s">
        <v>816</v>
      </c>
      <c r="JW35" s="6" t="s">
        <v>816</v>
      </c>
      <c r="JX35" s="6" t="s">
        <v>816</v>
      </c>
      <c r="JY35" s="6" t="s">
        <v>816</v>
      </c>
      <c r="JZ35" s="6" t="s">
        <v>816</v>
      </c>
      <c r="KA35" s="6" t="s">
        <v>816</v>
      </c>
      <c r="KB35" s="6" t="s">
        <v>816</v>
      </c>
      <c r="KC35" s="6" t="s">
        <v>816</v>
      </c>
      <c r="KD35" s="6" t="s">
        <v>816</v>
      </c>
      <c r="KE35" s="6" t="s">
        <v>816</v>
      </c>
      <c r="KG35" s="6" t="s">
        <v>816</v>
      </c>
      <c r="KJ35" s="6" t="s">
        <v>816</v>
      </c>
      <c r="KL35" s="6" t="s">
        <v>816</v>
      </c>
      <c r="KM35" s="6" t="s">
        <v>816</v>
      </c>
    </row>
    <row r="36" spans="1:332" x14ac:dyDescent="0.3">
      <c r="A36">
        <v>35</v>
      </c>
      <c r="B36" t="s">
        <v>1018</v>
      </c>
      <c r="C36" t="s">
        <v>816</v>
      </c>
      <c r="D36" t="s">
        <v>917</v>
      </c>
      <c r="E36" t="s">
        <v>2639</v>
      </c>
      <c r="F36">
        <v>72490</v>
      </c>
      <c r="G36" t="s">
        <v>421</v>
      </c>
      <c r="H36" t="s">
        <v>421</v>
      </c>
      <c r="I36" t="s">
        <v>818</v>
      </c>
      <c r="J36" t="s">
        <v>819</v>
      </c>
      <c r="K36" t="s">
        <v>820</v>
      </c>
      <c r="L36">
        <v>2223953433</v>
      </c>
      <c r="M36" s="2" t="s">
        <v>963</v>
      </c>
      <c r="N36" t="s">
        <v>524</v>
      </c>
      <c r="O36" t="s">
        <v>824</v>
      </c>
      <c r="P36">
        <v>1</v>
      </c>
      <c r="Q36">
        <v>7</v>
      </c>
      <c r="R36" t="s">
        <v>1758</v>
      </c>
      <c r="S36">
        <v>1</v>
      </c>
      <c r="T36" t="s">
        <v>1745</v>
      </c>
      <c r="U36">
        <v>1</v>
      </c>
      <c r="V36">
        <v>1</v>
      </c>
      <c r="W36">
        <v>0</v>
      </c>
      <c r="X36">
        <v>0</v>
      </c>
      <c r="Y36" t="s">
        <v>883</v>
      </c>
      <c r="Z36">
        <v>303</v>
      </c>
      <c r="AA36">
        <v>303</v>
      </c>
      <c r="AD36" t="s">
        <v>1714</v>
      </c>
      <c r="AE36" t="s">
        <v>1715</v>
      </c>
      <c r="AO36" t="s">
        <v>822</v>
      </c>
      <c r="AP36" t="s">
        <v>964</v>
      </c>
      <c r="AQ36">
        <v>10</v>
      </c>
      <c r="AR36">
        <v>0</v>
      </c>
      <c r="AS36">
        <v>5</v>
      </c>
      <c r="AT36">
        <v>5</v>
      </c>
      <c r="AU36">
        <v>0</v>
      </c>
      <c r="AV36">
        <v>0</v>
      </c>
      <c r="AX36">
        <v>200</v>
      </c>
      <c r="AY36">
        <v>6</v>
      </c>
      <c r="BB36" s="3">
        <f t="shared" si="14"/>
        <v>19</v>
      </c>
      <c r="BC36">
        <v>1</v>
      </c>
      <c r="BD36" t="s">
        <v>987</v>
      </c>
      <c r="BE36">
        <v>6</v>
      </c>
      <c r="BF36" t="s">
        <v>826</v>
      </c>
      <c r="BG36">
        <v>5</v>
      </c>
      <c r="BH36">
        <v>1</v>
      </c>
      <c r="BO36">
        <v>3</v>
      </c>
      <c r="BP36" t="s">
        <v>827</v>
      </c>
      <c r="BR36">
        <v>3</v>
      </c>
      <c r="BS36" t="s">
        <v>828</v>
      </c>
      <c r="BT36">
        <v>11</v>
      </c>
      <c r="BU36">
        <v>6</v>
      </c>
      <c r="BV36">
        <v>13</v>
      </c>
      <c r="BW36" t="s">
        <v>829</v>
      </c>
      <c r="CN36">
        <v>4</v>
      </c>
      <c r="CP36">
        <v>2</v>
      </c>
      <c r="CS36">
        <v>3</v>
      </c>
      <c r="CT36">
        <v>1</v>
      </c>
      <c r="CU36" s="3">
        <f t="shared" si="8"/>
        <v>5</v>
      </c>
      <c r="CV36">
        <v>3</v>
      </c>
      <c r="CW36">
        <v>1</v>
      </c>
      <c r="CY36">
        <v>1</v>
      </c>
      <c r="CZ36">
        <v>1</v>
      </c>
      <c r="DB36">
        <v>3</v>
      </c>
      <c r="DC36">
        <v>11</v>
      </c>
      <c r="DD36" t="s">
        <v>828</v>
      </c>
      <c r="DM36">
        <v>4</v>
      </c>
      <c r="DN36" t="s">
        <v>830</v>
      </c>
      <c r="DQ36">
        <v>2</v>
      </c>
      <c r="DR36" t="s">
        <v>831</v>
      </c>
      <c r="DY36" t="s">
        <v>1661</v>
      </c>
      <c r="DZ36" t="s">
        <v>1662</v>
      </c>
      <c r="EA36" t="s">
        <v>1663</v>
      </c>
      <c r="EB36" t="s">
        <v>1669</v>
      </c>
      <c r="EG36">
        <v>2</v>
      </c>
      <c r="EH36" t="s">
        <v>825</v>
      </c>
      <c r="EI36">
        <v>2024</v>
      </c>
      <c r="EJ36" t="s">
        <v>1306</v>
      </c>
      <c r="EK36" t="s">
        <v>1759</v>
      </c>
      <c r="EL36" t="s">
        <v>1760</v>
      </c>
      <c r="EM36" t="s">
        <v>1761</v>
      </c>
      <c r="EN36" t="s">
        <v>1762</v>
      </c>
      <c r="EO36" t="s">
        <v>1763</v>
      </c>
      <c r="EP36" t="s">
        <v>439</v>
      </c>
      <c r="EQ36" t="s">
        <v>440</v>
      </c>
      <c r="ER36" t="s">
        <v>966</v>
      </c>
      <c r="ES36" s="9" t="s">
        <v>967</v>
      </c>
      <c r="ET36" t="s">
        <v>1177</v>
      </c>
      <c r="EU36" t="s">
        <v>968</v>
      </c>
      <c r="EV36" s="9" t="s">
        <v>969</v>
      </c>
      <c r="EW36" t="s">
        <v>845</v>
      </c>
      <c r="EX36" t="s">
        <v>970</v>
      </c>
      <c r="EY36" s="9" t="s">
        <v>971</v>
      </c>
      <c r="EZ36" t="s">
        <v>845</v>
      </c>
      <c r="FA36" t="s">
        <v>972</v>
      </c>
      <c r="FB36" s="9" t="s">
        <v>973</v>
      </c>
      <c r="FC36" t="s">
        <v>896</v>
      </c>
      <c r="FD36" t="s">
        <v>974</v>
      </c>
      <c r="FE36" s="9" t="s">
        <v>975</v>
      </c>
      <c r="FF36" t="s">
        <v>896</v>
      </c>
      <c r="FG36" t="s">
        <v>976</v>
      </c>
      <c r="FH36" s="9" t="s">
        <v>977</v>
      </c>
      <c r="FI36" t="s">
        <v>855</v>
      </c>
      <c r="FJ36" t="s">
        <v>978</v>
      </c>
      <c r="FK36" s="9" t="s">
        <v>979</v>
      </c>
      <c r="FL36" t="s">
        <v>839</v>
      </c>
      <c r="FM36" t="s">
        <v>980</v>
      </c>
      <c r="FN36" s="9" t="s">
        <v>981</v>
      </c>
      <c r="FO36" t="s">
        <v>845</v>
      </c>
      <c r="FP36" t="s">
        <v>982</v>
      </c>
      <c r="FQ36" s="9" t="s">
        <v>983</v>
      </c>
      <c r="FR36" t="s">
        <v>839</v>
      </c>
      <c r="FS36" t="s">
        <v>984</v>
      </c>
      <c r="FU36">
        <v>0</v>
      </c>
      <c r="FV36" s="3">
        <f t="shared" si="9"/>
        <v>0</v>
      </c>
      <c r="FX36">
        <v>0</v>
      </c>
      <c r="FY36" s="3">
        <f t="shared" si="10"/>
        <v>0</v>
      </c>
      <c r="GA36">
        <v>0</v>
      </c>
      <c r="GB36" s="3">
        <f t="shared" si="11"/>
        <v>0</v>
      </c>
      <c r="GC36" t="s">
        <v>452</v>
      </c>
      <c r="GD36">
        <v>600</v>
      </c>
      <c r="GE36" s="3">
        <f t="shared" si="12"/>
        <v>0.04</v>
      </c>
      <c r="GF36" s="3">
        <f t="shared" si="13"/>
        <v>0.04</v>
      </c>
      <c r="GG36" s="3" t="str">
        <f t="shared" si="15"/>
        <v>ORDINARIO</v>
      </c>
      <c r="GN36" s="6" t="s">
        <v>816</v>
      </c>
      <c r="GO36" s="6" t="s">
        <v>816</v>
      </c>
      <c r="GP36" s="6" t="s">
        <v>816</v>
      </c>
      <c r="GQ36" s="6" t="s">
        <v>816</v>
      </c>
      <c r="GR36" s="6" t="s">
        <v>816</v>
      </c>
      <c r="GS36" s="6" t="s">
        <v>816</v>
      </c>
      <c r="GU36" s="6" t="s">
        <v>816</v>
      </c>
      <c r="HH36" s="6" t="s">
        <v>816</v>
      </c>
      <c r="HL36" s="6" t="s">
        <v>816</v>
      </c>
      <c r="HM36" s="6" t="s">
        <v>816</v>
      </c>
      <c r="HN36" s="6" t="s">
        <v>816</v>
      </c>
      <c r="HO36" s="6" t="s">
        <v>816</v>
      </c>
      <c r="HQ36" s="6" t="s">
        <v>816</v>
      </c>
      <c r="HR36" s="6" t="s">
        <v>816</v>
      </c>
      <c r="HS36" s="6" t="s">
        <v>816</v>
      </c>
      <c r="HT36" s="6" t="s">
        <v>816</v>
      </c>
      <c r="HV36" s="6" t="s">
        <v>816</v>
      </c>
      <c r="HW36" s="6" t="s">
        <v>816</v>
      </c>
      <c r="HX36" s="6" t="s">
        <v>816</v>
      </c>
      <c r="HY36" s="6" t="s">
        <v>816</v>
      </c>
      <c r="IC36" s="6" t="s">
        <v>816</v>
      </c>
      <c r="ID36" s="6" t="s">
        <v>816</v>
      </c>
      <c r="IE36" s="6" t="s">
        <v>816</v>
      </c>
      <c r="IF36" s="6" t="s">
        <v>816</v>
      </c>
      <c r="IG36" s="6" t="s">
        <v>816</v>
      </c>
      <c r="IH36" s="6" t="s">
        <v>816</v>
      </c>
      <c r="II36" s="6" t="s">
        <v>816</v>
      </c>
      <c r="IJ36" s="6" t="s">
        <v>816</v>
      </c>
      <c r="IK36" s="6" t="s">
        <v>816</v>
      </c>
      <c r="IL36" s="6" t="s">
        <v>816</v>
      </c>
      <c r="IN36" s="6" t="s">
        <v>816</v>
      </c>
      <c r="IQ36" s="6" t="s">
        <v>816</v>
      </c>
      <c r="IU36" s="6" t="s">
        <v>816</v>
      </c>
      <c r="IV36" s="6" t="s">
        <v>816</v>
      </c>
      <c r="IW36" s="6" t="s">
        <v>816</v>
      </c>
      <c r="IX36" s="6" t="s">
        <v>816</v>
      </c>
      <c r="IY36" s="6" t="s">
        <v>816</v>
      </c>
      <c r="IZ36" s="6" t="s">
        <v>816</v>
      </c>
      <c r="JA36" s="6" t="s">
        <v>816</v>
      </c>
      <c r="JB36" s="6" t="s">
        <v>816</v>
      </c>
      <c r="JC36" s="6" t="s">
        <v>816</v>
      </c>
      <c r="JE36" s="6" t="s">
        <v>816</v>
      </c>
      <c r="JF36" s="6" t="s">
        <v>816</v>
      </c>
      <c r="JL36" s="6" t="s">
        <v>816</v>
      </c>
      <c r="JO36" s="6" t="s">
        <v>816</v>
      </c>
      <c r="JP36" s="6" t="s">
        <v>816</v>
      </c>
      <c r="JQ36" s="6" t="s">
        <v>816</v>
      </c>
      <c r="JR36" s="6" t="s">
        <v>816</v>
      </c>
      <c r="JS36" s="6" t="s">
        <v>816</v>
      </c>
      <c r="JT36" s="6" t="s">
        <v>816</v>
      </c>
      <c r="JW36" s="6" t="s">
        <v>816</v>
      </c>
      <c r="JX36" s="6" t="s">
        <v>816</v>
      </c>
      <c r="JY36" s="6" t="s">
        <v>816</v>
      </c>
      <c r="JZ36" s="6" t="s">
        <v>816</v>
      </c>
      <c r="KA36" s="6" t="s">
        <v>816</v>
      </c>
      <c r="KB36" s="6" t="s">
        <v>816</v>
      </c>
      <c r="KC36" s="6" t="s">
        <v>816</v>
      </c>
      <c r="KD36" s="6" t="s">
        <v>816</v>
      </c>
      <c r="KE36" s="6" t="s">
        <v>816</v>
      </c>
      <c r="KG36" s="6" t="s">
        <v>816</v>
      </c>
      <c r="KJ36" s="6" t="s">
        <v>816</v>
      </c>
      <c r="KL36" s="6" t="s">
        <v>816</v>
      </c>
      <c r="KM36" s="6" t="s">
        <v>816</v>
      </c>
    </row>
    <row r="37" spans="1:332" x14ac:dyDescent="0.3">
      <c r="A37">
        <v>36</v>
      </c>
      <c r="B37" t="s">
        <v>1443</v>
      </c>
      <c r="C37" t="s">
        <v>816</v>
      </c>
      <c r="D37" t="s">
        <v>917</v>
      </c>
      <c r="E37" t="s">
        <v>2640</v>
      </c>
      <c r="F37">
        <v>72830</v>
      </c>
      <c r="G37" t="s">
        <v>1420</v>
      </c>
      <c r="H37" t="s">
        <v>421</v>
      </c>
      <c r="I37" t="s">
        <v>818</v>
      </c>
      <c r="J37" t="s">
        <v>819</v>
      </c>
      <c r="K37" t="s">
        <v>820</v>
      </c>
      <c r="L37">
        <v>2221054937</v>
      </c>
      <c r="M37" s="2" t="s">
        <v>1444</v>
      </c>
      <c r="N37" t="s">
        <v>524</v>
      </c>
      <c r="O37" t="s">
        <v>824</v>
      </c>
      <c r="P37">
        <v>1</v>
      </c>
      <c r="S37">
        <v>1</v>
      </c>
      <c r="T37" t="s">
        <v>1699</v>
      </c>
      <c r="U37">
        <v>1</v>
      </c>
      <c r="V37">
        <v>1</v>
      </c>
      <c r="W37">
        <v>1</v>
      </c>
      <c r="X37">
        <v>0</v>
      </c>
      <c r="Y37" t="s">
        <v>1182</v>
      </c>
      <c r="Z37">
        <v>344.75</v>
      </c>
      <c r="AA37">
        <v>344.75</v>
      </c>
      <c r="AD37" t="s">
        <v>1645</v>
      </c>
      <c r="AE37" t="s">
        <v>1646</v>
      </c>
      <c r="AO37" t="s">
        <v>822</v>
      </c>
      <c r="AP37" t="s">
        <v>1445</v>
      </c>
      <c r="AQ37">
        <v>9</v>
      </c>
      <c r="AR37">
        <v>0</v>
      </c>
      <c r="AS37">
        <v>1</v>
      </c>
      <c r="AT37">
        <v>8</v>
      </c>
      <c r="AU37">
        <v>0</v>
      </c>
      <c r="AV37">
        <v>0</v>
      </c>
      <c r="AX37">
        <v>200</v>
      </c>
      <c r="AY37">
        <v>6</v>
      </c>
      <c r="BB37" s="3">
        <f t="shared" si="14"/>
        <v>31</v>
      </c>
      <c r="BC37">
        <v>1</v>
      </c>
      <c r="BD37" t="s">
        <v>987</v>
      </c>
      <c r="BE37">
        <v>7</v>
      </c>
      <c r="BF37" t="s">
        <v>826</v>
      </c>
      <c r="BG37">
        <v>6</v>
      </c>
      <c r="BH37">
        <v>1</v>
      </c>
      <c r="BO37">
        <v>1</v>
      </c>
      <c r="BP37" t="s">
        <v>827</v>
      </c>
      <c r="BR37">
        <v>1</v>
      </c>
      <c r="BS37" t="s">
        <v>828</v>
      </c>
      <c r="BT37">
        <v>7</v>
      </c>
      <c r="BU37">
        <v>6</v>
      </c>
      <c r="BV37">
        <v>13</v>
      </c>
      <c r="BW37" t="s">
        <v>829</v>
      </c>
      <c r="CN37">
        <v>11</v>
      </c>
      <c r="CP37">
        <v>2</v>
      </c>
      <c r="CQ37">
        <v>5</v>
      </c>
      <c r="CR37">
        <v>1</v>
      </c>
      <c r="CS37">
        <v>3</v>
      </c>
      <c r="CT37">
        <v>1</v>
      </c>
      <c r="CU37" s="3">
        <f t="shared" si="8"/>
        <v>3</v>
      </c>
      <c r="CV37">
        <v>1</v>
      </c>
      <c r="CW37">
        <v>1</v>
      </c>
      <c r="CY37">
        <v>1</v>
      </c>
      <c r="CZ37">
        <v>1</v>
      </c>
      <c r="DB37">
        <v>7</v>
      </c>
      <c r="DC37">
        <v>7</v>
      </c>
      <c r="DD37" t="s">
        <v>828</v>
      </c>
      <c r="DM37">
        <v>4</v>
      </c>
      <c r="DN37" t="s">
        <v>830</v>
      </c>
      <c r="DQ37">
        <v>2</v>
      </c>
      <c r="DR37" t="s">
        <v>831</v>
      </c>
      <c r="DY37" t="s">
        <v>1661</v>
      </c>
      <c r="DZ37" t="s">
        <v>1662</v>
      </c>
      <c r="EA37" t="s">
        <v>1663</v>
      </c>
      <c r="EB37" t="s">
        <v>1669</v>
      </c>
      <c r="EG37">
        <v>29</v>
      </c>
      <c r="EH37" t="s">
        <v>825</v>
      </c>
      <c r="EI37">
        <v>2024</v>
      </c>
      <c r="EJ37" t="s">
        <v>1463</v>
      </c>
      <c r="EK37" t="s">
        <v>1764</v>
      </c>
      <c r="EL37" t="s">
        <v>1765</v>
      </c>
      <c r="EM37" t="s">
        <v>796</v>
      </c>
      <c r="EN37" t="s">
        <v>1766</v>
      </c>
      <c r="EO37" t="s">
        <v>1767</v>
      </c>
      <c r="EP37" t="s">
        <v>439</v>
      </c>
      <c r="EQ37" t="s">
        <v>440</v>
      </c>
      <c r="ER37" t="s">
        <v>1446</v>
      </c>
      <c r="ES37" s="9" t="s">
        <v>1447</v>
      </c>
      <c r="ET37" t="s">
        <v>1177</v>
      </c>
      <c r="EU37" t="s">
        <v>1448</v>
      </c>
      <c r="EV37" s="9" t="s">
        <v>1449</v>
      </c>
      <c r="EW37" t="s">
        <v>896</v>
      </c>
      <c r="EX37" t="s">
        <v>1450</v>
      </c>
      <c r="EY37" s="9" t="s">
        <v>1451</v>
      </c>
      <c r="EZ37" t="s">
        <v>855</v>
      </c>
      <c r="FA37" t="s">
        <v>1452</v>
      </c>
      <c r="FB37" s="9" t="s">
        <v>1453</v>
      </c>
      <c r="FC37" t="s">
        <v>839</v>
      </c>
      <c r="FD37" t="s">
        <v>1454</v>
      </c>
      <c r="FE37" s="9" t="s">
        <v>1455</v>
      </c>
      <c r="FF37" t="s">
        <v>845</v>
      </c>
      <c r="FG37" t="s">
        <v>1456</v>
      </c>
      <c r="FH37" s="9" t="s">
        <v>1457</v>
      </c>
      <c r="FI37" t="s">
        <v>839</v>
      </c>
      <c r="FJ37" t="s">
        <v>1458</v>
      </c>
      <c r="FK37" s="9" t="s">
        <v>1459</v>
      </c>
      <c r="FL37" t="s">
        <v>845</v>
      </c>
      <c r="FM37" t="s">
        <v>1460</v>
      </c>
      <c r="FN37" s="9" t="s">
        <v>1461</v>
      </c>
      <c r="FO37" t="s">
        <v>839</v>
      </c>
      <c r="FP37" t="s">
        <v>1462</v>
      </c>
      <c r="FU37">
        <v>0</v>
      </c>
      <c r="FV37" s="3">
        <f t="shared" si="9"/>
        <v>0</v>
      </c>
      <c r="FX37">
        <v>0</v>
      </c>
      <c r="FY37" s="3">
        <f t="shared" si="10"/>
        <v>0</v>
      </c>
      <c r="GA37">
        <v>0</v>
      </c>
      <c r="GB37" s="3">
        <f t="shared" si="11"/>
        <v>0</v>
      </c>
      <c r="GC37" t="s">
        <v>452</v>
      </c>
      <c r="GD37">
        <v>600</v>
      </c>
      <c r="GE37" s="3">
        <f t="shared" si="12"/>
        <v>0.04</v>
      </c>
      <c r="GF37" s="3">
        <f t="shared" si="13"/>
        <v>0.04</v>
      </c>
      <c r="GG37" s="3" t="str">
        <f t="shared" si="15"/>
        <v>ORDINARIO</v>
      </c>
      <c r="GN37" s="6" t="s">
        <v>816</v>
      </c>
      <c r="GO37" s="6" t="s">
        <v>816</v>
      </c>
      <c r="GP37" s="6" t="s">
        <v>816</v>
      </c>
      <c r="GQ37" s="6" t="s">
        <v>816</v>
      </c>
      <c r="GR37" s="6" t="s">
        <v>816</v>
      </c>
      <c r="GS37" s="6" t="s">
        <v>816</v>
      </c>
      <c r="GT37" s="6" t="s">
        <v>816</v>
      </c>
      <c r="GU37" s="6" t="s">
        <v>816</v>
      </c>
      <c r="HH37" s="6" t="s">
        <v>816</v>
      </c>
      <c r="HL37" s="6" t="s">
        <v>816</v>
      </c>
      <c r="HM37" s="6" t="s">
        <v>816</v>
      </c>
      <c r="HN37" s="6" t="s">
        <v>816</v>
      </c>
      <c r="HO37" s="6" t="s">
        <v>816</v>
      </c>
      <c r="HQ37" s="6" t="s">
        <v>816</v>
      </c>
      <c r="HR37" s="6" t="s">
        <v>816</v>
      </c>
      <c r="HS37" s="6" t="s">
        <v>816</v>
      </c>
      <c r="HT37" s="6" t="s">
        <v>816</v>
      </c>
      <c r="HU37" s="6" t="s">
        <v>816</v>
      </c>
      <c r="HV37" s="6" t="s">
        <v>816</v>
      </c>
      <c r="HW37" s="6" t="s">
        <v>816</v>
      </c>
      <c r="HX37" s="6" t="s">
        <v>816</v>
      </c>
      <c r="HY37" s="6" t="s">
        <v>816</v>
      </c>
      <c r="IC37" s="6" t="s">
        <v>816</v>
      </c>
      <c r="ID37" s="6" t="s">
        <v>816</v>
      </c>
      <c r="IE37" s="6" t="s">
        <v>816</v>
      </c>
      <c r="IF37" s="6" t="s">
        <v>816</v>
      </c>
      <c r="IG37" s="6" t="s">
        <v>816</v>
      </c>
      <c r="IH37" s="6" t="s">
        <v>816</v>
      </c>
      <c r="II37" s="6" t="s">
        <v>816</v>
      </c>
      <c r="IJ37" s="6" t="s">
        <v>816</v>
      </c>
      <c r="IK37" s="6" t="s">
        <v>816</v>
      </c>
      <c r="IL37" s="6" t="s">
        <v>816</v>
      </c>
      <c r="IN37" s="6" t="s">
        <v>816</v>
      </c>
      <c r="IP37" s="6" t="s">
        <v>816</v>
      </c>
      <c r="IQ37" s="6" t="s">
        <v>816</v>
      </c>
      <c r="IU37" s="6" t="s">
        <v>816</v>
      </c>
      <c r="IW37" s="6" t="s">
        <v>816</v>
      </c>
      <c r="IX37" s="6" t="s">
        <v>816</v>
      </c>
      <c r="IY37" s="6" t="s">
        <v>816</v>
      </c>
      <c r="IZ37" s="6" t="s">
        <v>816</v>
      </c>
      <c r="JA37" s="6" t="s">
        <v>816</v>
      </c>
      <c r="JB37" s="6" t="s">
        <v>816</v>
      </c>
      <c r="JC37" s="6" t="s">
        <v>816</v>
      </c>
      <c r="JE37" s="6" t="s">
        <v>816</v>
      </c>
      <c r="JF37" s="6" t="s">
        <v>816</v>
      </c>
      <c r="JL37" s="6" t="s">
        <v>816</v>
      </c>
      <c r="JO37" s="6" t="s">
        <v>816</v>
      </c>
      <c r="JP37" s="6" t="s">
        <v>816</v>
      </c>
      <c r="JQ37" t="s">
        <v>816</v>
      </c>
      <c r="JR37" s="6" t="s">
        <v>816</v>
      </c>
      <c r="JS37" s="6" t="s">
        <v>816</v>
      </c>
      <c r="JT37" s="6" t="s">
        <v>816</v>
      </c>
      <c r="JW37" s="6" t="s">
        <v>816</v>
      </c>
      <c r="JX37" s="6" t="s">
        <v>816</v>
      </c>
      <c r="JY37" s="6" t="s">
        <v>816</v>
      </c>
      <c r="JZ37" s="6" t="s">
        <v>816</v>
      </c>
      <c r="KA37" s="6" t="s">
        <v>816</v>
      </c>
      <c r="KB37" s="6" t="s">
        <v>816</v>
      </c>
      <c r="KC37" s="6" t="s">
        <v>816</v>
      </c>
      <c r="KD37" s="6" t="s">
        <v>816</v>
      </c>
      <c r="KE37" s="6" t="s">
        <v>816</v>
      </c>
      <c r="KG37" s="6" t="s">
        <v>816</v>
      </c>
      <c r="KJ37" s="6" t="s">
        <v>816</v>
      </c>
      <c r="KL37" s="6" t="s">
        <v>816</v>
      </c>
      <c r="KM37" s="6" t="s">
        <v>816</v>
      </c>
    </row>
    <row r="38" spans="1:332" x14ac:dyDescent="0.3">
      <c r="A38">
        <v>37</v>
      </c>
      <c r="B38" t="s">
        <v>1156</v>
      </c>
      <c r="C38" t="s">
        <v>816</v>
      </c>
      <c r="D38" t="s">
        <v>917</v>
      </c>
      <c r="E38" t="s">
        <v>2641</v>
      </c>
      <c r="F38">
        <v>72590</v>
      </c>
      <c r="G38" t="s">
        <v>421</v>
      </c>
      <c r="H38" t="s">
        <v>421</v>
      </c>
      <c r="I38" t="s">
        <v>818</v>
      </c>
      <c r="J38" t="s">
        <v>819</v>
      </c>
      <c r="K38" t="s">
        <v>820</v>
      </c>
      <c r="L38">
        <v>2222450490</v>
      </c>
      <c r="M38" s="2" t="s">
        <v>1157</v>
      </c>
      <c r="N38" t="s">
        <v>524</v>
      </c>
      <c r="O38" t="s">
        <v>824</v>
      </c>
      <c r="P38">
        <v>1</v>
      </c>
      <c r="Q38">
        <v>19</v>
      </c>
      <c r="R38" t="s">
        <v>1768</v>
      </c>
      <c r="S38">
        <v>1</v>
      </c>
      <c r="T38" t="s">
        <v>1699</v>
      </c>
      <c r="U38">
        <v>1</v>
      </c>
      <c r="V38">
        <v>1</v>
      </c>
      <c r="W38">
        <v>0</v>
      </c>
      <c r="X38">
        <v>0</v>
      </c>
      <c r="Y38" t="s">
        <v>883</v>
      </c>
      <c r="Z38">
        <v>262.45</v>
      </c>
      <c r="AA38">
        <v>262.45</v>
      </c>
      <c r="AD38" t="s">
        <v>1714</v>
      </c>
      <c r="AE38" t="s">
        <v>1715</v>
      </c>
      <c r="AO38" t="s">
        <v>822</v>
      </c>
      <c r="AP38" t="s">
        <v>1158</v>
      </c>
      <c r="AQ38">
        <v>10</v>
      </c>
      <c r="AR38">
        <v>0</v>
      </c>
      <c r="AS38">
        <v>6</v>
      </c>
      <c r="AT38">
        <v>4</v>
      </c>
      <c r="AU38">
        <v>0</v>
      </c>
      <c r="AV38">
        <v>0</v>
      </c>
      <c r="AX38">
        <v>300</v>
      </c>
      <c r="AY38">
        <v>6</v>
      </c>
      <c r="BB38" s="3">
        <f t="shared" si="14"/>
        <v>22</v>
      </c>
      <c r="BC38">
        <v>1</v>
      </c>
      <c r="BD38" t="s">
        <v>987</v>
      </c>
      <c r="BE38">
        <v>7</v>
      </c>
      <c r="BF38" t="s">
        <v>826</v>
      </c>
      <c r="BG38">
        <v>6</v>
      </c>
      <c r="BH38">
        <v>1</v>
      </c>
      <c r="BO38">
        <v>2</v>
      </c>
      <c r="BP38" t="s">
        <v>827</v>
      </c>
      <c r="BR38">
        <v>2</v>
      </c>
      <c r="BS38" t="s">
        <v>828</v>
      </c>
      <c r="BT38">
        <v>8</v>
      </c>
      <c r="BU38">
        <v>7</v>
      </c>
      <c r="BV38">
        <v>15</v>
      </c>
      <c r="BW38" t="s">
        <v>829</v>
      </c>
      <c r="CN38">
        <v>7</v>
      </c>
      <c r="CP38">
        <v>1</v>
      </c>
      <c r="CR38">
        <v>1</v>
      </c>
      <c r="CS38">
        <v>3</v>
      </c>
      <c r="CT38">
        <v>1</v>
      </c>
      <c r="CU38" s="3">
        <f t="shared" si="8"/>
        <v>7</v>
      </c>
      <c r="CV38">
        <v>4</v>
      </c>
      <c r="CW38">
        <v>1</v>
      </c>
      <c r="CY38">
        <v>1</v>
      </c>
      <c r="CZ38">
        <v>2</v>
      </c>
      <c r="DB38">
        <v>7</v>
      </c>
      <c r="DC38">
        <v>6</v>
      </c>
      <c r="DD38" t="s">
        <v>828</v>
      </c>
      <c r="DM38">
        <v>4</v>
      </c>
      <c r="DN38" t="s">
        <v>830</v>
      </c>
      <c r="DQ38">
        <v>2</v>
      </c>
      <c r="DR38" t="s">
        <v>831</v>
      </c>
      <c r="DY38" t="s">
        <v>1661</v>
      </c>
      <c r="DZ38" t="s">
        <v>1701</v>
      </c>
      <c r="EA38" t="s">
        <v>1663</v>
      </c>
      <c r="EB38" t="s">
        <v>1769</v>
      </c>
      <c r="EG38">
        <v>16</v>
      </c>
      <c r="EH38" t="s">
        <v>825</v>
      </c>
      <c r="EI38">
        <v>2024</v>
      </c>
      <c r="EJ38" t="s">
        <v>1331</v>
      </c>
      <c r="EK38" t="s">
        <v>1770</v>
      </c>
      <c r="EL38" t="s">
        <v>1771</v>
      </c>
      <c r="EM38" t="s">
        <v>1772</v>
      </c>
      <c r="EN38" t="s">
        <v>1773</v>
      </c>
      <c r="EO38" t="s">
        <v>1774</v>
      </c>
      <c r="EP38" t="s">
        <v>439</v>
      </c>
      <c r="EQ38" t="s">
        <v>440</v>
      </c>
      <c r="ER38" t="s">
        <v>1160</v>
      </c>
      <c r="ES38" s="9" t="s">
        <v>1161</v>
      </c>
      <c r="ET38" s="1" t="s">
        <v>855</v>
      </c>
      <c r="EU38" t="s">
        <v>1162</v>
      </c>
      <c r="EV38" s="9" t="s">
        <v>1163</v>
      </c>
      <c r="EW38" t="s">
        <v>1009</v>
      </c>
      <c r="EX38" t="s">
        <v>1164</v>
      </c>
      <c r="EY38" s="9" t="s">
        <v>1165</v>
      </c>
      <c r="EZ38" t="s">
        <v>845</v>
      </c>
      <c r="FA38" t="s">
        <v>1166</v>
      </c>
      <c r="FB38" s="9" t="s">
        <v>1167</v>
      </c>
      <c r="FC38" t="s">
        <v>839</v>
      </c>
      <c r="FD38" t="s">
        <v>1168</v>
      </c>
      <c r="FE38" s="9" t="s">
        <v>1169</v>
      </c>
      <c r="FF38" t="s">
        <v>839</v>
      </c>
      <c r="FG38" t="s">
        <v>1170</v>
      </c>
      <c r="FH38" s="9" t="s">
        <v>1171</v>
      </c>
      <c r="FI38" t="s">
        <v>845</v>
      </c>
      <c r="FJ38" t="s">
        <v>1172</v>
      </c>
      <c r="FK38" s="9" t="s">
        <v>1173</v>
      </c>
      <c r="FL38" t="s">
        <v>845</v>
      </c>
      <c r="FM38" t="s">
        <v>1174</v>
      </c>
      <c r="FN38" s="9" t="s">
        <v>1175</v>
      </c>
      <c r="FO38" t="s">
        <v>848</v>
      </c>
      <c r="FQ38" s="9" t="s">
        <v>1176</v>
      </c>
      <c r="FR38" t="s">
        <v>1177</v>
      </c>
      <c r="FS38" t="s">
        <v>1178</v>
      </c>
      <c r="FU38">
        <v>0</v>
      </c>
      <c r="FV38" s="3">
        <f t="shared" si="9"/>
        <v>0</v>
      </c>
      <c r="FX38">
        <v>0</v>
      </c>
      <c r="FY38" s="3">
        <f t="shared" si="10"/>
        <v>0</v>
      </c>
      <c r="GA38">
        <v>19</v>
      </c>
      <c r="GB38" s="3">
        <f t="shared" si="11"/>
        <v>9.4999999999999998E-3</v>
      </c>
      <c r="GC38" t="s">
        <v>452</v>
      </c>
      <c r="GD38">
        <v>15000</v>
      </c>
      <c r="GE38" s="3">
        <f t="shared" si="12"/>
        <v>1</v>
      </c>
      <c r="GF38" s="3">
        <f t="shared" si="13"/>
        <v>1.0095000000000001</v>
      </c>
      <c r="GG38" s="3" t="str">
        <f t="shared" si="15"/>
        <v>ALTO</v>
      </c>
      <c r="GN38" s="6" t="s">
        <v>816</v>
      </c>
      <c r="GO38" s="6" t="s">
        <v>816</v>
      </c>
      <c r="GP38" s="6" t="s">
        <v>816</v>
      </c>
      <c r="GQ38" s="6" t="s">
        <v>816</v>
      </c>
      <c r="GR38" s="6" t="s">
        <v>816</v>
      </c>
      <c r="GS38" s="6" t="s">
        <v>816</v>
      </c>
      <c r="GT38" s="6" t="s">
        <v>816</v>
      </c>
      <c r="GU38" s="6" t="s">
        <v>816</v>
      </c>
      <c r="HH38" s="6" t="s">
        <v>816</v>
      </c>
      <c r="HL38" s="6" t="s">
        <v>816</v>
      </c>
      <c r="HM38" s="6" t="s">
        <v>816</v>
      </c>
      <c r="HN38" s="6" t="s">
        <v>816</v>
      </c>
      <c r="HO38" s="6" t="s">
        <v>816</v>
      </c>
      <c r="HQ38" s="6" t="s">
        <v>816</v>
      </c>
      <c r="HR38" s="6" t="s">
        <v>816</v>
      </c>
      <c r="HS38" s="6" t="s">
        <v>816</v>
      </c>
      <c r="HT38" s="6" t="s">
        <v>816</v>
      </c>
      <c r="HV38" s="6" t="s">
        <v>816</v>
      </c>
      <c r="HW38" s="6" t="s">
        <v>816</v>
      </c>
      <c r="HX38" s="6" t="s">
        <v>816</v>
      </c>
      <c r="HY38" s="6" t="s">
        <v>816</v>
      </c>
      <c r="IC38" s="6" t="s">
        <v>816</v>
      </c>
      <c r="ID38" s="6" t="s">
        <v>816</v>
      </c>
      <c r="IE38" s="6" t="s">
        <v>816</v>
      </c>
      <c r="IF38" s="6" t="s">
        <v>816</v>
      </c>
      <c r="IG38" s="6" t="s">
        <v>816</v>
      </c>
      <c r="IH38" s="6" t="s">
        <v>816</v>
      </c>
      <c r="II38" s="6" t="s">
        <v>816</v>
      </c>
      <c r="IJ38" s="6" t="s">
        <v>816</v>
      </c>
      <c r="IK38" s="6" t="s">
        <v>816</v>
      </c>
      <c r="IL38" s="6" t="s">
        <v>816</v>
      </c>
      <c r="IN38" s="6" t="s">
        <v>816</v>
      </c>
      <c r="IP38" s="6" t="s">
        <v>816</v>
      </c>
      <c r="IQ38" s="6" t="s">
        <v>816</v>
      </c>
      <c r="IU38" s="6" t="s">
        <v>816</v>
      </c>
      <c r="IW38" s="6" t="s">
        <v>816</v>
      </c>
      <c r="IX38" s="6" t="s">
        <v>816</v>
      </c>
      <c r="IY38" s="6" t="s">
        <v>816</v>
      </c>
      <c r="IZ38" s="6" t="s">
        <v>816</v>
      </c>
      <c r="JA38" s="6" t="s">
        <v>816</v>
      </c>
      <c r="JB38" s="6" t="s">
        <v>816</v>
      </c>
      <c r="JC38" s="6" t="s">
        <v>816</v>
      </c>
      <c r="JE38" s="6" t="s">
        <v>816</v>
      </c>
      <c r="JF38" s="6" t="s">
        <v>816</v>
      </c>
      <c r="JL38" s="6" t="s">
        <v>816</v>
      </c>
      <c r="JO38" s="6" t="s">
        <v>816</v>
      </c>
      <c r="JP38" s="6" t="s">
        <v>816</v>
      </c>
      <c r="JQ38" s="6" t="s">
        <v>816</v>
      </c>
      <c r="JR38" s="6" t="s">
        <v>816</v>
      </c>
      <c r="JS38" s="6" t="s">
        <v>816</v>
      </c>
      <c r="JT38" s="6" t="s">
        <v>816</v>
      </c>
      <c r="JW38" s="6" t="s">
        <v>816</v>
      </c>
      <c r="JX38" s="6" t="s">
        <v>816</v>
      </c>
      <c r="JY38" s="6" t="s">
        <v>816</v>
      </c>
      <c r="JZ38" s="6" t="s">
        <v>816</v>
      </c>
      <c r="KA38" s="6" t="s">
        <v>816</v>
      </c>
      <c r="KB38" s="6" t="s">
        <v>816</v>
      </c>
      <c r="KC38" s="6" t="s">
        <v>816</v>
      </c>
      <c r="KD38" s="6" t="s">
        <v>816</v>
      </c>
      <c r="KE38" s="6" t="s">
        <v>816</v>
      </c>
      <c r="KG38" s="6" t="s">
        <v>816</v>
      </c>
      <c r="KJ38" s="6" t="s">
        <v>816</v>
      </c>
      <c r="KL38" s="6" t="s">
        <v>816</v>
      </c>
      <c r="KM38" s="6" t="s">
        <v>816</v>
      </c>
    </row>
    <row r="39" spans="1:332" x14ac:dyDescent="0.3">
      <c r="A39">
        <v>38</v>
      </c>
      <c r="B39" t="s">
        <v>1134</v>
      </c>
      <c r="C39" t="s">
        <v>816</v>
      </c>
      <c r="D39" t="s">
        <v>917</v>
      </c>
      <c r="E39" t="s">
        <v>2642</v>
      </c>
      <c r="F39">
        <v>72700</v>
      </c>
      <c r="G39" t="s">
        <v>732</v>
      </c>
      <c r="H39" t="s">
        <v>421</v>
      </c>
      <c r="I39" t="s">
        <v>818</v>
      </c>
      <c r="J39" t="s">
        <v>1135</v>
      </c>
      <c r="K39" t="s">
        <v>820</v>
      </c>
      <c r="L39">
        <v>2222268633</v>
      </c>
      <c r="N39" t="s">
        <v>524</v>
      </c>
      <c r="O39" t="s">
        <v>824</v>
      </c>
      <c r="P39">
        <v>1</v>
      </c>
      <c r="Q39">
        <v>13</v>
      </c>
      <c r="R39" t="s">
        <v>1136</v>
      </c>
      <c r="S39">
        <v>1</v>
      </c>
      <c r="T39" t="s">
        <v>1699</v>
      </c>
      <c r="U39">
        <v>1</v>
      </c>
      <c r="V39">
        <v>1</v>
      </c>
      <c r="W39">
        <v>0</v>
      </c>
      <c r="X39">
        <v>0</v>
      </c>
      <c r="Y39" t="s">
        <v>883</v>
      </c>
      <c r="Z39">
        <v>266</v>
      </c>
      <c r="AA39">
        <v>266</v>
      </c>
      <c r="AD39" t="s">
        <v>1645</v>
      </c>
      <c r="AE39" t="s">
        <v>1778</v>
      </c>
      <c r="AO39" t="s">
        <v>822</v>
      </c>
      <c r="AP39" t="s">
        <v>1137</v>
      </c>
      <c r="AQ39">
        <v>10</v>
      </c>
      <c r="AR39">
        <v>0</v>
      </c>
      <c r="AS39">
        <v>5</v>
      </c>
      <c r="AT39">
        <v>5</v>
      </c>
      <c r="AU39">
        <v>0</v>
      </c>
      <c r="AV39">
        <v>0</v>
      </c>
      <c r="AX39">
        <v>200</v>
      </c>
      <c r="AY39">
        <v>6</v>
      </c>
      <c r="BB39" s="3">
        <f t="shared" si="14"/>
        <v>16</v>
      </c>
      <c r="BC39">
        <v>1</v>
      </c>
      <c r="BD39" t="s">
        <v>987</v>
      </c>
      <c r="BE39">
        <v>6</v>
      </c>
      <c r="BF39" t="s">
        <v>826</v>
      </c>
      <c r="BG39">
        <v>5</v>
      </c>
      <c r="BH39">
        <v>1</v>
      </c>
      <c r="BO39">
        <v>1</v>
      </c>
      <c r="BP39" t="s">
        <v>827</v>
      </c>
      <c r="BQ39">
        <v>1</v>
      </c>
      <c r="BS39" t="s">
        <v>828</v>
      </c>
      <c r="BT39">
        <v>7</v>
      </c>
      <c r="BU39">
        <v>4</v>
      </c>
      <c r="BV39">
        <v>11</v>
      </c>
      <c r="BW39" t="s">
        <v>829</v>
      </c>
      <c r="CN39">
        <v>3</v>
      </c>
      <c r="CP39">
        <v>2</v>
      </c>
      <c r="CR39">
        <v>1</v>
      </c>
      <c r="CS39">
        <v>2</v>
      </c>
      <c r="CT39">
        <v>7</v>
      </c>
      <c r="CU39" s="3">
        <f t="shared" si="8"/>
        <v>6</v>
      </c>
      <c r="CV39">
        <v>4</v>
      </c>
      <c r="CW39">
        <v>1</v>
      </c>
      <c r="CY39">
        <v>1</v>
      </c>
      <c r="CZ39">
        <v>1</v>
      </c>
      <c r="DB39">
        <v>1</v>
      </c>
      <c r="DC39">
        <v>4</v>
      </c>
      <c r="DD39" t="s">
        <v>828</v>
      </c>
      <c r="DM39">
        <v>4</v>
      </c>
      <c r="DN39" t="s">
        <v>830</v>
      </c>
      <c r="DQ39">
        <v>2</v>
      </c>
      <c r="DR39" t="s">
        <v>831</v>
      </c>
      <c r="DY39" t="s">
        <v>1661</v>
      </c>
      <c r="DZ39" t="s">
        <v>1662</v>
      </c>
      <c r="EA39" t="s">
        <v>1663</v>
      </c>
      <c r="EB39" t="s">
        <v>1701</v>
      </c>
      <c r="EG39">
        <v>26</v>
      </c>
      <c r="EH39" t="s">
        <v>825</v>
      </c>
      <c r="EI39">
        <v>2024</v>
      </c>
      <c r="EJ39" t="s">
        <v>1330</v>
      </c>
      <c r="EK39" t="s">
        <v>1776</v>
      </c>
      <c r="EL39" t="s">
        <v>1740</v>
      </c>
      <c r="EM39" t="s">
        <v>1777</v>
      </c>
      <c r="EN39" t="s">
        <v>1775</v>
      </c>
      <c r="EO39" t="s">
        <v>1782</v>
      </c>
      <c r="EP39" t="s">
        <v>439</v>
      </c>
      <c r="EQ39" t="s">
        <v>440</v>
      </c>
      <c r="ER39" t="s">
        <v>1139</v>
      </c>
      <c r="ES39" s="9" t="s">
        <v>1138</v>
      </c>
      <c r="ET39" t="s">
        <v>1177</v>
      </c>
      <c r="EU39" t="s">
        <v>1140</v>
      </c>
      <c r="EV39" s="9" t="s">
        <v>1141</v>
      </c>
      <c r="EW39" t="s">
        <v>839</v>
      </c>
      <c r="EX39" t="s">
        <v>1142</v>
      </c>
      <c r="EY39" s="9" t="s">
        <v>1143</v>
      </c>
      <c r="EZ39" t="s">
        <v>845</v>
      </c>
      <c r="FA39" t="s">
        <v>1144</v>
      </c>
      <c r="FB39" s="9" t="s">
        <v>1145</v>
      </c>
      <c r="FC39" t="s">
        <v>845</v>
      </c>
      <c r="FD39" t="s">
        <v>1146</v>
      </c>
      <c r="FE39" s="9" t="s">
        <v>1147</v>
      </c>
      <c r="FF39" t="s">
        <v>845</v>
      </c>
      <c r="FG39" t="s">
        <v>1148</v>
      </c>
      <c r="FH39" s="9" t="s">
        <v>1149</v>
      </c>
      <c r="FI39" t="s">
        <v>842</v>
      </c>
      <c r="FJ39" t="s">
        <v>1150</v>
      </c>
      <c r="FK39" s="9" t="s">
        <v>1151</v>
      </c>
      <c r="FL39" t="s">
        <v>855</v>
      </c>
      <c r="FM39" t="s">
        <v>1152</v>
      </c>
      <c r="FN39" s="9" t="s">
        <v>1153</v>
      </c>
      <c r="FQ39" s="9" t="s">
        <v>1154</v>
      </c>
      <c r="FR39" t="s">
        <v>839</v>
      </c>
      <c r="FS39" t="s">
        <v>1155</v>
      </c>
      <c r="FU39">
        <v>0</v>
      </c>
      <c r="FV39" s="3">
        <f t="shared" si="9"/>
        <v>0</v>
      </c>
      <c r="FX39">
        <v>0</v>
      </c>
      <c r="FY39" s="3">
        <f t="shared" si="10"/>
        <v>0</v>
      </c>
      <c r="GA39">
        <v>0</v>
      </c>
      <c r="GB39" s="3">
        <f t="shared" si="11"/>
        <v>0</v>
      </c>
      <c r="GC39" t="s">
        <v>452</v>
      </c>
      <c r="GD39">
        <v>600</v>
      </c>
      <c r="GE39" s="3">
        <f t="shared" si="12"/>
        <v>0.04</v>
      </c>
      <c r="GF39" s="3">
        <f t="shared" si="13"/>
        <v>0.04</v>
      </c>
      <c r="GG39" s="3" t="str">
        <f t="shared" si="15"/>
        <v>ORDINARIO</v>
      </c>
      <c r="GN39" s="6" t="s">
        <v>816</v>
      </c>
      <c r="GO39" s="6" t="s">
        <v>816</v>
      </c>
      <c r="GP39" s="6" t="s">
        <v>816</v>
      </c>
      <c r="GQ39" s="6" t="s">
        <v>816</v>
      </c>
      <c r="GR39" s="6" t="s">
        <v>816</v>
      </c>
      <c r="GS39" s="6" t="s">
        <v>816</v>
      </c>
      <c r="GT39" s="6" t="s">
        <v>816</v>
      </c>
      <c r="GU39" s="6" t="s">
        <v>816</v>
      </c>
      <c r="HH39" s="6" t="s">
        <v>816</v>
      </c>
      <c r="HL39" s="6" t="s">
        <v>816</v>
      </c>
      <c r="HM39" t="s">
        <v>816</v>
      </c>
      <c r="HN39" t="s">
        <v>816</v>
      </c>
      <c r="HO39" s="6" t="s">
        <v>816</v>
      </c>
      <c r="HQ39" s="6" t="s">
        <v>816</v>
      </c>
      <c r="HR39" s="6" t="s">
        <v>816</v>
      </c>
      <c r="HS39" s="6" t="s">
        <v>816</v>
      </c>
      <c r="HT39" s="6" t="s">
        <v>816</v>
      </c>
      <c r="HV39" s="6" t="s">
        <v>816</v>
      </c>
      <c r="HW39" s="6" t="s">
        <v>816</v>
      </c>
      <c r="HX39" s="6" t="s">
        <v>816</v>
      </c>
      <c r="HY39" s="6" t="s">
        <v>816</v>
      </c>
      <c r="IC39" s="6" t="s">
        <v>816</v>
      </c>
      <c r="ID39" s="6" t="s">
        <v>816</v>
      </c>
      <c r="IE39" s="6" t="s">
        <v>816</v>
      </c>
      <c r="IG39" s="6" t="s">
        <v>816</v>
      </c>
      <c r="IH39" s="6" t="s">
        <v>816</v>
      </c>
      <c r="II39" s="6" t="s">
        <v>816</v>
      </c>
      <c r="IJ39" s="6" t="s">
        <v>816</v>
      </c>
      <c r="IK39" s="6" t="s">
        <v>816</v>
      </c>
      <c r="IL39" s="6" t="s">
        <v>816</v>
      </c>
      <c r="IN39" s="6" t="s">
        <v>816</v>
      </c>
      <c r="IP39" s="6" t="s">
        <v>816</v>
      </c>
      <c r="IQ39" s="6" t="s">
        <v>816</v>
      </c>
      <c r="IU39" s="6" t="s">
        <v>816</v>
      </c>
      <c r="IW39" s="6" t="s">
        <v>816</v>
      </c>
      <c r="IX39" s="6" t="s">
        <v>816</v>
      </c>
      <c r="IY39" s="6" t="s">
        <v>816</v>
      </c>
      <c r="IZ39" s="6" t="s">
        <v>816</v>
      </c>
      <c r="JA39" s="6" t="s">
        <v>816</v>
      </c>
      <c r="JB39" s="6" t="s">
        <v>816</v>
      </c>
      <c r="JC39" s="6" t="s">
        <v>816</v>
      </c>
      <c r="JE39" s="6" t="s">
        <v>816</v>
      </c>
      <c r="JF39" s="6" t="s">
        <v>816</v>
      </c>
      <c r="JL39" s="6" t="s">
        <v>816</v>
      </c>
      <c r="JO39" s="6" t="s">
        <v>816</v>
      </c>
      <c r="JP39" s="6" t="s">
        <v>816</v>
      </c>
      <c r="JQ39" t="s">
        <v>816</v>
      </c>
      <c r="JR39" s="6" t="s">
        <v>816</v>
      </c>
      <c r="JS39" s="6" t="s">
        <v>816</v>
      </c>
      <c r="JT39" s="6" t="s">
        <v>816</v>
      </c>
      <c r="JW39" s="6" t="s">
        <v>816</v>
      </c>
      <c r="JX39" s="6" t="s">
        <v>816</v>
      </c>
      <c r="JY39" s="6" t="s">
        <v>816</v>
      </c>
      <c r="JZ39" s="6" t="s">
        <v>816</v>
      </c>
      <c r="KA39" s="6" t="s">
        <v>816</v>
      </c>
      <c r="KB39" s="6" t="s">
        <v>816</v>
      </c>
      <c r="KC39" s="6" t="s">
        <v>816</v>
      </c>
      <c r="KD39" s="6" t="s">
        <v>816</v>
      </c>
      <c r="KE39" s="6" t="s">
        <v>816</v>
      </c>
      <c r="KG39" s="6" t="s">
        <v>816</v>
      </c>
      <c r="KJ39" s="6" t="s">
        <v>816</v>
      </c>
      <c r="KL39" s="6" t="s">
        <v>816</v>
      </c>
      <c r="KM39" s="6" t="s">
        <v>816</v>
      </c>
    </row>
    <row r="40" spans="1:332" x14ac:dyDescent="0.3">
      <c r="A40">
        <v>39</v>
      </c>
      <c r="B40" t="s">
        <v>1335</v>
      </c>
      <c r="C40" t="s">
        <v>816</v>
      </c>
      <c r="D40" t="s">
        <v>917</v>
      </c>
      <c r="E40" t="s">
        <v>2643</v>
      </c>
      <c r="F40">
        <v>74270</v>
      </c>
      <c r="G40" t="s">
        <v>1337</v>
      </c>
      <c r="H40" t="s">
        <v>421</v>
      </c>
      <c r="I40" t="s">
        <v>818</v>
      </c>
      <c r="J40" t="s">
        <v>1336</v>
      </c>
      <c r="K40" t="s">
        <v>820</v>
      </c>
      <c r="L40">
        <v>2444438152</v>
      </c>
      <c r="N40" t="s">
        <v>524</v>
      </c>
      <c r="O40" t="s">
        <v>824</v>
      </c>
      <c r="P40">
        <v>1</v>
      </c>
      <c r="S40">
        <v>1</v>
      </c>
      <c r="T40" t="s">
        <v>1699</v>
      </c>
      <c r="U40">
        <v>1</v>
      </c>
      <c r="V40">
        <v>1</v>
      </c>
      <c r="W40">
        <v>1</v>
      </c>
      <c r="X40">
        <v>0</v>
      </c>
      <c r="Y40" t="s">
        <v>883</v>
      </c>
      <c r="Z40">
        <v>390</v>
      </c>
      <c r="AA40">
        <v>390</v>
      </c>
      <c r="AD40" t="s">
        <v>1707</v>
      </c>
      <c r="AE40" t="s">
        <v>1708</v>
      </c>
      <c r="AO40" t="s">
        <v>822</v>
      </c>
      <c r="AP40" t="s">
        <v>1338</v>
      </c>
      <c r="AQ40">
        <v>8</v>
      </c>
      <c r="AR40">
        <v>0</v>
      </c>
      <c r="AS40">
        <v>3</v>
      </c>
      <c r="AT40">
        <v>5</v>
      </c>
      <c r="AU40">
        <v>0</v>
      </c>
      <c r="AV40">
        <v>0</v>
      </c>
      <c r="AX40">
        <v>300</v>
      </c>
      <c r="AY40">
        <v>6</v>
      </c>
      <c r="BB40" s="3">
        <f t="shared" si="14"/>
        <v>23</v>
      </c>
      <c r="BC40">
        <v>1</v>
      </c>
      <c r="BD40" t="s">
        <v>987</v>
      </c>
      <c r="BE40">
        <v>6</v>
      </c>
      <c r="BF40" t="s">
        <v>826</v>
      </c>
      <c r="BG40">
        <v>5</v>
      </c>
      <c r="BH40">
        <v>1</v>
      </c>
      <c r="BO40">
        <v>2</v>
      </c>
      <c r="BP40" t="s">
        <v>827</v>
      </c>
      <c r="BR40">
        <v>2</v>
      </c>
      <c r="BS40" t="s">
        <v>828</v>
      </c>
      <c r="BT40">
        <v>9</v>
      </c>
      <c r="BU40">
        <v>7</v>
      </c>
      <c r="BV40">
        <v>16</v>
      </c>
      <c r="BW40" t="s">
        <v>829</v>
      </c>
      <c r="CN40">
        <v>4</v>
      </c>
      <c r="CP40">
        <v>1</v>
      </c>
      <c r="CQ40">
        <v>3</v>
      </c>
      <c r="CR40">
        <v>1</v>
      </c>
      <c r="CS40">
        <v>5</v>
      </c>
      <c r="CT40">
        <v>4</v>
      </c>
      <c r="CU40" s="3">
        <f t="shared" si="8"/>
        <v>5</v>
      </c>
      <c r="CV40">
        <v>3</v>
      </c>
      <c r="CW40">
        <v>1</v>
      </c>
      <c r="CY40">
        <v>1</v>
      </c>
      <c r="CZ40">
        <v>1</v>
      </c>
      <c r="DB40">
        <v>2</v>
      </c>
      <c r="DC40">
        <v>5</v>
      </c>
      <c r="DD40" t="s">
        <v>828</v>
      </c>
      <c r="DM40">
        <v>4</v>
      </c>
      <c r="DN40" t="s">
        <v>830</v>
      </c>
      <c r="DQ40">
        <v>2</v>
      </c>
      <c r="DR40" t="s">
        <v>831</v>
      </c>
      <c r="DY40" t="s">
        <v>1661</v>
      </c>
      <c r="DZ40" t="s">
        <v>1662</v>
      </c>
      <c r="EA40" t="s">
        <v>1663</v>
      </c>
      <c r="EB40" t="s">
        <v>1701</v>
      </c>
      <c r="EG40">
        <v>24</v>
      </c>
      <c r="EH40" t="s">
        <v>433</v>
      </c>
      <c r="EI40">
        <v>2024</v>
      </c>
      <c r="EJ40" t="s">
        <v>1423</v>
      </c>
      <c r="EK40" t="s">
        <v>1736</v>
      </c>
      <c r="EL40" t="s">
        <v>1802</v>
      </c>
      <c r="EM40" t="s">
        <v>1803</v>
      </c>
      <c r="EN40" t="s">
        <v>1804</v>
      </c>
      <c r="EO40" t="s">
        <v>1805</v>
      </c>
      <c r="EP40" t="s">
        <v>439</v>
      </c>
      <c r="EQ40" t="s">
        <v>440</v>
      </c>
      <c r="ER40" t="s">
        <v>1339</v>
      </c>
      <c r="ES40" s="9" t="s">
        <v>1340</v>
      </c>
      <c r="ET40" t="s">
        <v>1177</v>
      </c>
      <c r="EU40" t="s">
        <v>1341</v>
      </c>
      <c r="EV40" s="9" t="s">
        <v>1342</v>
      </c>
      <c r="EW40" t="s">
        <v>839</v>
      </c>
      <c r="EX40" t="s">
        <v>1343</v>
      </c>
      <c r="EY40" s="9" t="s">
        <v>1344</v>
      </c>
      <c r="EZ40" t="s">
        <v>855</v>
      </c>
      <c r="FA40" t="s">
        <v>1345</v>
      </c>
      <c r="FB40" s="9" t="s">
        <v>1346</v>
      </c>
      <c r="FC40" t="s">
        <v>839</v>
      </c>
      <c r="FD40" t="s">
        <v>1347</v>
      </c>
      <c r="FE40" s="9" t="s">
        <v>1348</v>
      </c>
      <c r="FF40" t="s">
        <v>845</v>
      </c>
      <c r="FG40" t="s">
        <v>1349</v>
      </c>
      <c r="FH40" s="9" t="s">
        <v>1350</v>
      </c>
      <c r="FI40" t="s">
        <v>839</v>
      </c>
      <c r="FJ40" t="s">
        <v>1351</v>
      </c>
      <c r="FK40" s="9" t="s">
        <v>1352</v>
      </c>
      <c r="FL40" t="s">
        <v>848</v>
      </c>
      <c r="FM40" t="s">
        <v>1353</v>
      </c>
      <c r="FU40">
        <v>0</v>
      </c>
      <c r="FV40" s="3">
        <f t="shared" si="9"/>
        <v>0</v>
      </c>
      <c r="FX40">
        <v>0</v>
      </c>
      <c r="FY40" s="3">
        <f t="shared" si="10"/>
        <v>0</v>
      </c>
      <c r="GA40">
        <v>0</v>
      </c>
      <c r="GB40" s="3">
        <f t="shared" si="11"/>
        <v>0</v>
      </c>
      <c r="GC40" t="s">
        <v>452</v>
      </c>
      <c r="GD40">
        <v>540</v>
      </c>
      <c r="GE40" s="3">
        <f t="shared" si="12"/>
        <v>3.5999999999999997E-2</v>
      </c>
      <c r="GF40" s="3">
        <f t="shared" si="13"/>
        <v>3.5999999999999997E-2</v>
      </c>
      <c r="GG40" s="3" t="str">
        <f t="shared" si="15"/>
        <v>ORDINARIO</v>
      </c>
      <c r="GN40" s="6" t="s">
        <v>816</v>
      </c>
      <c r="GO40" s="6" t="s">
        <v>816</v>
      </c>
      <c r="GP40" s="6" t="s">
        <v>816</v>
      </c>
      <c r="GQ40" s="6" t="s">
        <v>816</v>
      </c>
      <c r="GR40" t="s">
        <v>816</v>
      </c>
      <c r="GS40" s="6" t="s">
        <v>816</v>
      </c>
      <c r="GT40" s="6" t="s">
        <v>816</v>
      </c>
      <c r="GU40" s="6" t="s">
        <v>816</v>
      </c>
      <c r="HH40" s="6" t="s">
        <v>816</v>
      </c>
      <c r="HL40" s="6" t="s">
        <v>816</v>
      </c>
      <c r="HM40" t="s">
        <v>816</v>
      </c>
      <c r="HN40" t="s">
        <v>816</v>
      </c>
      <c r="HO40" s="6" t="s">
        <v>816</v>
      </c>
      <c r="HQ40" s="6" t="s">
        <v>816</v>
      </c>
      <c r="HR40" s="6" t="s">
        <v>816</v>
      </c>
      <c r="HS40" s="6" t="s">
        <v>816</v>
      </c>
      <c r="HT40" s="6" t="s">
        <v>816</v>
      </c>
      <c r="HU40" s="6" t="s">
        <v>816</v>
      </c>
      <c r="HV40" s="6" t="s">
        <v>816</v>
      </c>
      <c r="HW40" s="6" t="s">
        <v>816</v>
      </c>
      <c r="HX40" s="6" t="s">
        <v>816</v>
      </c>
      <c r="HY40" s="6" t="s">
        <v>816</v>
      </c>
      <c r="IC40" s="6" t="s">
        <v>816</v>
      </c>
      <c r="ID40" s="6" t="s">
        <v>816</v>
      </c>
      <c r="IE40" s="6" t="s">
        <v>816</v>
      </c>
      <c r="IF40" s="6" t="s">
        <v>816</v>
      </c>
      <c r="IG40" s="6" t="s">
        <v>816</v>
      </c>
      <c r="IH40" s="6" t="s">
        <v>816</v>
      </c>
      <c r="II40" s="6" t="s">
        <v>816</v>
      </c>
      <c r="IJ40" s="6" t="s">
        <v>816</v>
      </c>
      <c r="IK40" s="6" t="s">
        <v>816</v>
      </c>
      <c r="IL40" s="6" t="s">
        <v>816</v>
      </c>
      <c r="IN40" s="6" t="s">
        <v>816</v>
      </c>
      <c r="IP40" s="6" t="s">
        <v>816</v>
      </c>
      <c r="IQ40" s="6" t="s">
        <v>816</v>
      </c>
      <c r="IU40" s="6" t="s">
        <v>816</v>
      </c>
      <c r="IW40" s="6" t="s">
        <v>816</v>
      </c>
      <c r="IX40" s="6" t="s">
        <v>816</v>
      </c>
      <c r="IY40" s="6" t="s">
        <v>816</v>
      </c>
      <c r="IZ40" s="6" t="s">
        <v>816</v>
      </c>
      <c r="JA40" s="6" t="s">
        <v>816</v>
      </c>
      <c r="JB40" s="6" t="s">
        <v>816</v>
      </c>
      <c r="JC40" s="6" t="s">
        <v>816</v>
      </c>
      <c r="JE40" s="6" t="s">
        <v>816</v>
      </c>
      <c r="JF40" s="6" t="s">
        <v>816</v>
      </c>
      <c r="JL40" s="6" t="s">
        <v>816</v>
      </c>
      <c r="JO40" s="6" t="s">
        <v>816</v>
      </c>
      <c r="JP40" s="6" t="s">
        <v>816</v>
      </c>
      <c r="JQ40" t="s">
        <v>816</v>
      </c>
      <c r="JR40" s="6" t="s">
        <v>816</v>
      </c>
      <c r="JS40" s="6" t="s">
        <v>816</v>
      </c>
      <c r="JT40" s="6" t="s">
        <v>816</v>
      </c>
      <c r="JW40" s="6" t="s">
        <v>816</v>
      </c>
      <c r="JX40" s="6" t="s">
        <v>816</v>
      </c>
      <c r="JY40" s="6" t="s">
        <v>816</v>
      </c>
      <c r="JZ40" s="6" t="s">
        <v>816</v>
      </c>
      <c r="KA40" s="6" t="s">
        <v>816</v>
      </c>
      <c r="KB40" s="6" t="s">
        <v>816</v>
      </c>
      <c r="KC40" s="6" t="s">
        <v>816</v>
      </c>
      <c r="KD40" s="6" t="s">
        <v>816</v>
      </c>
      <c r="KE40" s="6" t="s">
        <v>816</v>
      </c>
      <c r="KG40" s="6" t="s">
        <v>816</v>
      </c>
      <c r="KJ40" s="6" t="s">
        <v>816</v>
      </c>
      <c r="KL40" s="6" t="s">
        <v>816</v>
      </c>
      <c r="KM40" s="6" t="s">
        <v>816</v>
      </c>
    </row>
    <row r="41" spans="1:332" x14ac:dyDescent="0.3">
      <c r="A41">
        <v>40</v>
      </c>
      <c r="B41" t="s">
        <v>1418</v>
      </c>
      <c r="C41" t="s">
        <v>816</v>
      </c>
      <c r="D41" t="s">
        <v>917</v>
      </c>
      <c r="E41" t="s">
        <v>2644</v>
      </c>
      <c r="F41">
        <v>72810</v>
      </c>
      <c r="G41" t="s">
        <v>1420</v>
      </c>
      <c r="H41" t="s">
        <v>421</v>
      </c>
      <c r="I41" t="s">
        <v>818</v>
      </c>
      <c r="J41" t="s">
        <v>819</v>
      </c>
      <c r="K41" t="s">
        <v>820</v>
      </c>
      <c r="L41">
        <v>2222616451</v>
      </c>
      <c r="M41" s="2" t="s">
        <v>1421</v>
      </c>
      <c r="N41" t="s">
        <v>524</v>
      </c>
      <c r="O41" t="s">
        <v>824</v>
      </c>
      <c r="P41">
        <v>1</v>
      </c>
      <c r="S41">
        <v>1</v>
      </c>
      <c r="T41" t="s">
        <v>1699</v>
      </c>
      <c r="U41">
        <v>1</v>
      </c>
      <c r="V41">
        <v>1</v>
      </c>
      <c r="W41">
        <v>0</v>
      </c>
      <c r="X41">
        <v>0</v>
      </c>
      <c r="Y41" t="s">
        <v>883</v>
      </c>
      <c r="Z41">
        <v>240.35</v>
      </c>
      <c r="AA41">
        <v>240.35</v>
      </c>
      <c r="AD41" t="s">
        <v>1645</v>
      </c>
      <c r="AE41" t="s">
        <v>1646</v>
      </c>
      <c r="AO41" t="s">
        <v>822</v>
      </c>
      <c r="AP41" t="s">
        <v>1422</v>
      </c>
      <c r="AQ41">
        <v>9</v>
      </c>
      <c r="AR41">
        <v>0</v>
      </c>
      <c r="AS41">
        <v>2</v>
      </c>
      <c r="AT41">
        <v>7</v>
      </c>
      <c r="AU41">
        <v>0</v>
      </c>
      <c r="AV41">
        <v>0</v>
      </c>
      <c r="AX41">
        <v>150</v>
      </c>
      <c r="AY41">
        <v>6</v>
      </c>
      <c r="BB41" s="3">
        <f t="shared" si="14"/>
        <v>21</v>
      </c>
      <c r="BC41">
        <v>1</v>
      </c>
      <c r="BD41" t="s">
        <v>987</v>
      </c>
      <c r="BE41">
        <v>7</v>
      </c>
      <c r="BF41" t="s">
        <v>826</v>
      </c>
      <c r="BG41">
        <v>6</v>
      </c>
      <c r="BH41">
        <v>1</v>
      </c>
      <c r="BO41">
        <v>1</v>
      </c>
      <c r="BP41" t="s">
        <v>827</v>
      </c>
      <c r="BR41">
        <v>1</v>
      </c>
      <c r="BS41" t="s">
        <v>828</v>
      </c>
      <c r="BT41">
        <v>5</v>
      </c>
      <c r="BU41">
        <v>8</v>
      </c>
      <c r="BV41">
        <v>13</v>
      </c>
      <c r="BW41" t="s">
        <v>829</v>
      </c>
      <c r="CN41">
        <v>6</v>
      </c>
      <c r="CP41">
        <v>2</v>
      </c>
      <c r="CR41">
        <v>1</v>
      </c>
      <c r="CS41">
        <v>3</v>
      </c>
      <c r="CT41">
        <v>1</v>
      </c>
      <c r="CU41" s="3">
        <f t="shared" si="8"/>
        <v>6</v>
      </c>
      <c r="CV41">
        <v>4</v>
      </c>
      <c r="CW41">
        <v>1</v>
      </c>
      <c r="CY41">
        <v>1</v>
      </c>
      <c r="CZ41">
        <v>1</v>
      </c>
      <c r="DB41">
        <v>1</v>
      </c>
      <c r="DC41">
        <v>8</v>
      </c>
      <c r="DD41" t="s">
        <v>828</v>
      </c>
      <c r="DM41">
        <v>4</v>
      </c>
      <c r="DN41" t="s">
        <v>830</v>
      </c>
      <c r="DQ41">
        <v>2</v>
      </c>
      <c r="DR41" t="s">
        <v>831</v>
      </c>
      <c r="DY41" t="s">
        <v>1661</v>
      </c>
      <c r="DZ41" t="s">
        <v>1662</v>
      </c>
      <c r="EA41" t="s">
        <v>1663</v>
      </c>
      <c r="EB41" t="s">
        <v>1669</v>
      </c>
      <c r="EG41">
        <v>28</v>
      </c>
      <c r="EH41" t="s">
        <v>825</v>
      </c>
      <c r="EI41">
        <v>2024</v>
      </c>
      <c r="EJ41" t="s">
        <v>1430</v>
      </c>
      <c r="EK41" t="s">
        <v>1783</v>
      </c>
      <c r="EL41" t="s">
        <v>1724</v>
      </c>
      <c r="EM41" t="s">
        <v>1710</v>
      </c>
      <c r="EN41" t="s">
        <v>437</v>
      </c>
      <c r="EO41" t="s">
        <v>1784</v>
      </c>
      <c r="EP41" t="s">
        <v>439</v>
      </c>
      <c r="EQ41" t="s">
        <v>440</v>
      </c>
      <c r="ER41" t="s">
        <v>1424</v>
      </c>
      <c r="ES41" s="9" t="s">
        <v>1425</v>
      </c>
      <c r="ET41" s="1" t="s">
        <v>855</v>
      </c>
      <c r="EU41" t="s">
        <v>1426</v>
      </c>
      <c r="EV41" s="9" t="s">
        <v>1427</v>
      </c>
      <c r="EW41" t="s">
        <v>845</v>
      </c>
      <c r="EX41" t="s">
        <v>1428</v>
      </c>
      <c r="EY41" s="9" t="s">
        <v>1429</v>
      </c>
      <c r="EZ41" t="s">
        <v>845</v>
      </c>
      <c r="FA41" t="s">
        <v>1431</v>
      </c>
      <c r="FB41" s="9" t="s">
        <v>1439</v>
      </c>
      <c r="FC41" t="s">
        <v>842</v>
      </c>
      <c r="FD41" t="s">
        <v>1440</v>
      </c>
      <c r="FE41" s="9" t="s">
        <v>1432</v>
      </c>
      <c r="FF41" t="s">
        <v>842</v>
      </c>
      <c r="FG41" t="s">
        <v>1433</v>
      </c>
      <c r="FH41" s="9" t="s">
        <v>1434</v>
      </c>
      <c r="FI41" t="s">
        <v>839</v>
      </c>
      <c r="FJ41" t="s">
        <v>1435</v>
      </c>
      <c r="FK41" s="9" t="s">
        <v>1436</v>
      </c>
      <c r="FL41" t="s">
        <v>839</v>
      </c>
      <c r="FM41" t="s">
        <v>1437</v>
      </c>
      <c r="FN41" s="9" t="s">
        <v>1438</v>
      </c>
      <c r="FQ41" s="9" t="s">
        <v>1441</v>
      </c>
      <c r="FR41" t="s">
        <v>1177</v>
      </c>
      <c r="FS41" t="s">
        <v>1442</v>
      </c>
      <c r="FU41">
        <v>0</v>
      </c>
      <c r="FV41" s="3">
        <f t="shared" si="9"/>
        <v>0</v>
      </c>
      <c r="FX41">
        <v>0</v>
      </c>
      <c r="FY41" s="3">
        <f t="shared" si="10"/>
        <v>0</v>
      </c>
      <c r="GA41">
        <v>0</v>
      </c>
      <c r="GB41" s="3">
        <f t="shared" si="11"/>
        <v>0</v>
      </c>
      <c r="GC41" t="s">
        <v>452</v>
      </c>
      <c r="GD41">
        <v>660</v>
      </c>
      <c r="GE41" s="3">
        <f t="shared" si="12"/>
        <v>4.3999999999999997E-2</v>
      </c>
      <c r="GF41" s="3">
        <f t="shared" si="13"/>
        <v>4.3999999999999997E-2</v>
      </c>
      <c r="GG41" s="3" t="str">
        <f t="shared" si="15"/>
        <v>ORDINARIO</v>
      </c>
      <c r="GN41" s="6" t="s">
        <v>816</v>
      </c>
      <c r="GO41" s="6" t="s">
        <v>816</v>
      </c>
      <c r="GP41" s="6" t="s">
        <v>816</v>
      </c>
      <c r="GQ41" s="6" t="s">
        <v>816</v>
      </c>
      <c r="GR41" s="6" t="s">
        <v>816</v>
      </c>
      <c r="GS41" s="6" t="s">
        <v>816</v>
      </c>
      <c r="GT41" s="6" t="s">
        <v>816</v>
      </c>
      <c r="GU41" s="6" t="s">
        <v>816</v>
      </c>
      <c r="HH41" s="6" t="s">
        <v>816</v>
      </c>
      <c r="HL41" s="6" t="s">
        <v>816</v>
      </c>
      <c r="HM41" t="s">
        <v>816</v>
      </c>
      <c r="HN41" t="s">
        <v>816</v>
      </c>
      <c r="HO41" s="6" t="s">
        <v>816</v>
      </c>
      <c r="HQ41" s="6" t="s">
        <v>816</v>
      </c>
      <c r="HR41" s="6" t="s">
        <v>816</v>
      </c>
      <c r="HS41" s="6" t="s">
        <v>816</v>
      </c>
      <c r="HT41" s="6" t="s">
        <v>816</v>
      </c>
      <c r="HV41" s="6" t="s">
        <v>816</v>
      </c>
      <c r="HW41" s="6" t="s">
        <v>816</v>
      </c>
      <c r="HX41" s="6" t="s">
        <v>816</v>
      </c>
      <c r="HY41" s="6" t="s">
        <v>816</v>
      </c>
      <c r="IC41" s="6" t="s">
        <v>816</v>
      </c>
      <c r="ID41" s="6" t="s">
        <v>816</v>
      </c>
      <c r="IE41" s="6" t="s">
        <v>816</v>
      </c>
      <c r="IF41" s="6" t="s">
        <v>816</v>
      </c>
      <c r="IG41" s="6" t="s">
        <v>816</v>
      </c>
      <c r="IH41" s="6" t="s">
        <v>816</v>
      </c>
      <c r="II41" s="6" t="s">
        <v>816</v>
      </c>
      <c r="IJ41" s="6" t="s">
        <v>816</v>
      </c>
      <c r="IK41" s="6" t="s">
        <v>816</v>
      </c>
      <c r="IL41" s="6" t="s">
        <v>816</v>
      </c>
      <c r="IN41" s="6" t="s">
        <v>816</v>
      </c>
      <c r="IP41" s="6" t="s">
        <v>816</v>
      </c>
      <c r="IQ41" s="6" t="s">
        <v>816</v>
      </c>
      <c r="IU41" s="6" t="s">
        <v>816</v>
      </c>
      <c r="IW41" s="6" t="s">
        <v>816</v>
      </c>
      <c r="IX41" s="6" t="s">
        <v>816</v>
      </c>
      <c r="IY41" s="6" t="s">
        <v>816</v>
      </c>
      <c r="IZ41" s="6" t="s">
        <v>816</v>
      </c>
      <c r="JA41" s="6" t="s">
        <v>816</v>
      </c>
      <c r="JB41" s="6" t="s">
        <v>816</v>
      </c>
      <c r="JC41" s="6" t="s">
        <v>816</v>
      </c>
      <c r="JE41" s="6" t="s">
        <v>816</v>
      </c>
      <c r="JF41" s="6" t="s">
        <v>816</v>
      </c>
      <c r="JL41" s="6" t="s">
        <v>816</v>
      </c>
      <c r="JO41" s="6" t="s">
        <v>816</v>
      </c>
      <c r="JP41" s="6" t="s">
        <v>816</v>
      </c>
      <c r="JQ41" t="s">
        <v>816</v>
      </c>
      <c r="JR41" s="6" t="s">
        <v>816</v>
      </c>
      <c r="JS41" s="6" t="s">
        <v>816</v>
      </c>
      <c r="JT41" s="6" t="s">
        <v>816</v>
      </c>
      <c r="JW41" s="6" t="s">
        <v>816</v>
      </c>
      <c r="JX41" s="6" t="s">
        <v>816</v>
      </c>
      <c r="JY41" s="6" t="s">
        <v>816</v>
      </c>
      <c r="JZ41" s="6" t="s">
        <v>816</v>
      </c>
      <c r="KA41" s="6" t="s">
        <v>816</v>
      </c>
      <c r="KB41" s="6" t="s">
        <v>816</v>
      </c>
      <c r="KC41" s="6" t="s">
        <v>816</v>
      </c>
      <c r="KD41" s="6" t="s">
        <v>816</v>
      </c>
      <c r="KE41" s="6" t="s">
        <v>816</v>
      </c>
      <c r="KG41" s="6" t="s">
        <v>816</v>
      </c>
      <c r="KJ41" s="6" t="s">
        <v>816</v>
      </c>
      <c r="KL41" s="6" t="s">
        <v>816</v>
      </c>
      <c r="KM41" s="6" t="s">
        <v>816</v>
      </c>
    </row>
    <row r="42" spans="1:332" x14ac:dyDescent="0.3">
      <c r="A42">
        <v>41</v>
      </c>
      <c r="B42" t="s">
        <v>1223</v>
      </c>
      <c r="C42" t="s">
        <v>816</v>
      </c>
      <c r="D42" t="s">
        <v>917</v>
      </c>
      <c r="E42" t="s">
        <v>2645</v>
      </c>
      <c r="F42">
        <v>75200</v>
      </c>
      <c r="G42" t="s">
        <v>519</v>
      </c>
      <c r="H42" t="s">
        <v>421</v>
      </c>
      <c r="I42" t="s">
        <v>818</v>
      </c>
      <c r="J42" t="s">
        <v>819</v>
      </c>
      <c r="K42" t="s">
        <v>820</v>
      </c>
      <c r="L42">
        <v>2232752273</v>
      </c>
      <c r="M42" s="2" t="s">
        <v>1224</v>
      </c>
      <c r="N42" t="s">
        <v>524</v>
      </c>
      <c r="O42" t="s">
        <v>824</v>
      </c>
      <c r="P42">
        <v>1</v>
      </c>
      <c r="Q42">
        <v>1</v>
      </c>
      <c r="R42" t="s">
        <v>1254</v>
      </c>
      <c r="S42">
        <v>1</v>
      </c>
      <c r="T42" t="s">
        <v>1699</v>
      </c>
      <c r="U42">
        <v>1</v>
      </c>
      <c r="V42">
        <v>1</v>
      </c>
      <c r="W42">
        <v>0</v>
      </c>
      <c r="X42">
        <v>0</v>
      </c>
      <c r="Y42" t="s">
        <v>916</v>
      </c>
      <c r="Z42">
        <v>230</v>
      </c>
      <c r="AA42">
        <v>230</v>
      </c>
      <c r="AD42" t="s">
        <v>1707</v>
      </c>
      <c r="AE42" t="s">
        <v>1708</v>
      </c>
      <c r="AO42" t="s">
        <v>822</v>
      </c>
      <c r="AP42" t="s">
        <v>1225</v>
      </c>
      <c r="AQ42">
        <v>14</v>
      </c>
      <c r="AR42">
        <v>0</v>
      </c>
      <c r="AS42">
        <v>7</v>
      </c>
      <c r="AT42">
        <v>7</v>
      </c>
      <c r="AU42">
        <v>0</v>
      </c>
      <c r="AV42">
        <v>0</v>
      </c>
      <c r="AX42">
        <v>300</v>
      </c>
      <c r="AY42">
        <v>6</v>
      </c>
      <c r="BB42" s="3">
        <f t="shared" si="14"/>
        <v>28</v>
      </c>
      <c r="BC42">
        <v>1</v>
      </c>
      <c r="BD42" t="s">
        <v>987</v>
      </c>
      <c r="BE42">
        <v>7</v>
      </c>
      <c r="BF42" t="s">
        <v>826</v>
      </c>
      <c r="BG42">
        <v>6</v>
      </c>
      <c r="BH42">
        <v>1</v>
      </c>
      <c r="BO42">
        <v>2</v>
      </c>
      <c r="BP42" t="s">
        <v>827</v>
      </c>
      <c r="BR42">
        <v>2</v>
      </c>
      <c r="BS42" t="s">
        <v>828</v>
      </c>
      <c r="BT42">
        <v>5</v>
      </c>
      <c r="BU42">
        <v>11</v>
      </c>
      <c r="BV42">
        <v>16</v>
      </c>
      <c r="BW42" t="s">
        <v>829</v>
      </c>
      <c r="CN42">
        <v>8</v>
      </c>
      <c r="CP42">
        <v>2</v>
      </c>
      <c r="CQ42">
        <v>3</v>
      </c>
      <c r="CS42">
        <v>5</v>
      </c>
      <c r="CT42">
        <v>5</v>
      </c>
      <c r="CU42" s="3">
        <f t="shared" si="8"/>
        <v>10</v>
      </c>
      <c r="CV42">
        <v>6</v>
      </c>
      <c r="CW42">
        <v>1</v>
      </c>
      <c r="CY42">
        <v>2</v>
      </c>
      <c r="CZ42">
        <v>2</v>
      </c>
      <c r="DB42">
        <v>4</v>
      </c>
      <c r="DC42">
        <v>4</v>
      </c>
      <c r="DD42" t="s">
        <v>828</v>
      </c>
      <c r="DM42">
        <v>4</v>
      </c>
      <c r="DN42" t="s">
        <v>830</v>
      </c>
      <c r="DQ42">
        <v>2</v>
      </c>
      <c r="DR42" t="s">
        <v>831</v>
      </c>
      <c r="DY42" t="s">
        <v>1661</v>
      </c>
      <c r="DZ42" t="s">
        <v>1662</v>
      </c>
      <c r="EA42" t="s">
        <v>1663</v>
      </c>
      <c r="EB42" t="s">
        <v>1669</v>
      </c>
      <c r="EG42">
        <v>22</v>
      </c>
      <c r="EH42" t="s">
        <v>825</v>
      </c>
      <c r="EI42">
        <v>2024</v>
      </c>
      <c r="EJ42" t="s">
        <v>1334</v>
      </c>
      <c r="EK42" t="s">
        <v>1785</v>
      </c>
      <c r="EL42" t="s">
        <v>1786</v>
      </c>
      <c r="EM42" t="s">
        <v>1787</v>
      </c>
      <c r="EN42" t="s">
        <v>1788</v>
      </c>
      <c r="EO42" t="s">
        <v>1787</v>
      </c>
      <c r="EP42" t="s">
        <v>439</v>
      </c>
      <c r="EQ42" t="s">
        <v>440</v>
      </c>
      <c r="ER42" t="s">
        <v>1226</v>
      </c>
      <c r="ES42" s="9" t="s">
        <v>1228</v>
      </c>
      <c r="ET42" t="s">
        <v>1177</v>
      </c>
      <c r="EU42" t="s">
        <v>1229</v>
      </c>
      <c r="EV42" s="9" t="s">
        <v>1230</v>
      </c>
      <c r="EW42" t="s">
        <v>839</v>
      </c>
      <c r="EX42" t="s">
        <v>1231</v>
      </c>
      <c r="EY42" s="9" t="s">
        <v>1232</v>
      </c>
      <c r="EZ42" t="s">
        <v>839</v>
      </c>
      <c r="FA42" t="s">
        <v>1233</v>
      </c>
      <c r="FB42" s="9" t="s">
        <v>1234</v>
      </c>
      <c r="FC42" t="s">
        <v>839</v>
      </c>
      <c r="FD42" t="s">
        <v>1235</v>
      </c>
      <c r="FE42" s="9" t="s">
        <v>1236</v>
      </c>
      <c r="FF42" t="s">
        <v>845</v>
      </c>
      <c r="FG42" t="s">
        <v>1237</v>
      </c>
      <c r="FH42" s="9" t="s">
        <v>1238</v>
      </c>
      <c r="FI42" t="s">
        <v>839</v>
      </c>
      <c r="FJ42" t="s">
        <v>1239</v>
      </c>
      <c r="FK42" s="9" t="s">
        <v>1240</v>
      </c>
      <c r="FL42" t="s">
        <v>842</v>
      </c>
      <c r="FM42" t="s">
        <v>1241</v>
      </c>
      <c r="FN42" s="9" t="s">
        <v>1242</v>
      </c>
      <c r="FO42" t="s">
        <v>839</v>
      </c>
      <c r="FP42" t="s">
        <v>1243</v>
      </c>
      <c r="FQ42" s="9" t="s">
        <v>1244</v>
      </c>
      <c r="FR42" t="s">
        <v>842</v>
      </c>
      <c r="FS42" t="s">
        <v>1245</v>
      </c>
      <c r="FU42">
        <v>0</v>
      </c>
      <c r="FV42" s="3">
        <f t="shared" si="9"/>
        <v>0</v>
      </c>
      <c r="FX42">
        <v>0</v>
      </c>
      <c r="FY42" s="3">
        <f t="shared" si="10"/>
        <v>0</v>
      </c>
      <c r="GA42">
        <v>0</v>
      </c>
      <c r="GB42" s="3">
        <f t="shared" si="11"/>
        <v>0</v>
      </c>
      <c r="GC42" t="s">
        <v>452</v>
      </c>
      <c r="GD42">
        <v>720</v>
      </c>
      <c r="GE42" s="3">
        <f t="shared" si="12"/>
        <v>4.8000000000000001E-2</v>
      </c>
      <c r="GF42" s="3">
        <f t="shared" si="13"/>
        <v>4.8000000000000001E-2</v>
      </c>
      <c r="GG42" s="3" t="str">
        <f t="shared" si="15"/>
        <v>ORDINARIO</v>
      </c>
      <c r="GH42" t="s">
        <v>1246</v>
      </c>
      <c r="GI42" t="s">
        <v>1247</v>
      </c>
      <c r="GJ42" t="s">
        <v>1248</v>
      </c>
      <c r="GK42" t="s">
        <v>1249</v>
      </c>
      <c r="GL42" t="s">
        <v>836</v>
      </c>
      <c r="GM42" t="s">
        <v>1250</v>
      </c>
      <c r="GN42" s="6" t="s">
        <v>816</v>
      </c>
      <c r="GO42" s="6" t="s">
        <v>816</v>
      </c>
      <c r="GP42" s="6" t="s">
        <v>816</v>
      </c>
      <c r="GQ42" s="6" t="s">
        <v>816</v>
      </c>
      <c r="GR42" s="6" t="s">
        <v>816</v>
      </c>
      <c r="GS42" s="6" t="s">
        <v>816</v>
      </c>
      <c r="GT42" s="6" t="s">
        <v>816</v>
      </c>
      <c r="GU42" s="6" t="s">
        <v>816</v>
      </c>
      <c r="HH42" s="6" t="s">
        <v>816</v>
      </c>
      <c r="HL42" s="6" t="s">
        <v>816</v>
      </c>
      <c r="HM42" t="s">
        <v>816</v>
      </c>
      <c r="HN42" t="s">
        <v>816</v>
      </c>
      <c r="HO42" s="6" t="s">
        <v>816</v>
      </c>
      <c r="HQ42" s="6" t="s">
        <v>816</v>
      </c>
      <c r="HR42" s="6" t="s">
        <v>816</v>
      </c>
      <c r="HS42" s="6" t="s">
        <v>816</v>
      </c>
      <c r="HT42" s="6" t="s">
        <v>816</v>
      </c>
      <c r="HV42" s="6" t="s">
        <v>816</v>
      </c>
      <c r="HW42" s="6" t="s">
        <v>816</v>
      </c>
      <c r="HX42" s="6" t="s">
        <v>816</v>
      </c>
      <c r="HY42" s="6" t="s">
        <v>816</v>
      </c>
      <c r="IC42" s="6" t="s">
        <v>816</v>
      </c>
      <c r="ID42" s="6" t="s">
        <v>816</v>
      </c>
      <c r="IE42" s="6" t="s">
        <v>816</v>
      </c>
      <c r="IF42" s="6" t="s">
        <v>816</v>
      </c>
      <c r="IG42" s="6" t="s">
        <v>816</v>
      </c>
      <c r="IH42" s="6" t="s">
        <v>816</v>
      </c>
      <c r="II42" s="6" t="s">
        <v>816</v>
      </c>
      <c r="IJ42" s="6" t="s">
        <v>816</v>
      </c>
      <c r="IK42" s="6" t="s">
        <v>816</v>
      </c>
      <c r="IL42" s="6" t="s">
        <v>816</v>
      </c>
      <c r="IN42" s="6" t="s">
        <v>816</v>
      </c>
      <c r="IP42" s="6" t="s">
        <v>816</v>
      </c>
      <c r="IQ42" s="6" t="s">
        <v>816</v>
      </c>
      <c r="IU42" s="6" t="s">
        <v>816</v>
      </c>
      <c r="IW42" s="6" t="s">
        <v>816</v>
      </c>
      <c r="IX42" s="6" t="s">
        <v>816</v>
      </c>
      <c r="IY42" s="6" t="s">
        <v>816</v>
      </c>
      <c r="IZ42" s="6" t="s">
        <v>816</v>
      </c>
      <c r="JA42" s="6" t="s">
        <v>816</v>
      </c>
      <c r="JB42" s="6" t="s">
        <v>816</v>
      </c>
      <c r="JC42" t="s">
        <v>816</v>
      </c>
      <c r="JE42" s="6" t="s">
        <v>816</v>
      </c>
      <c r="JF42" t="s">
        <v>816</v>
      </c>
      <c r="JL42" s="6" t="s">
        <v>816</v>
      </c>
      <c r="JO42" t="s">
        <v>816</v>
      </c>
      <c r="JP42" s="6" t="s">
        <v>816</v>
      </c>
      <c r="JQ42" t="s">
        <v>816</v>
      </c>
      <c r="JR42" s="6" t="s">
        <v>816</v>
      </c>
      <c r="JS42" s="6" t="s">
        <v>816</v>
      </c>
      <c r="JT42" s="6" t="s">
        <v>816</v>
      </c>
      <c r="JW42" s="6" t="s">
        <v>816</v>
      </c>
      <c r="JX42" s="6" t="s">
        <v>816</v>
      </c>
      <c r="JY42" s="6" t="s">
        <v>816</v>
      </c>
      <c r="JZ42" s="6" t="s">
        <v>816</v>
      </c>
      <c r="KA42" s="6" t="s">
        <v>816</v>
      </c>
      <c r="KB42" s="6" t="s">
        <v>816</v>
      </c>
      <c r="KC42" s="6" t="s">
        <v>816</v>
      </c>
      <c r="KD42" s="6" t="s">
        <v>816</v>
      </c>
      <c r="KE42" s="6" t="s">
        <v>816</v>
      </c>
      <c r="KG42" s="6" t="s">
        <v>816</v>
      </c>
      <c r="KJ42" s="6" t="s">
        <v>816</v>
      </c>
      <c r="KL42" s="6" t="s">
        <v>816</v>
      </c>
      <c r="KM42" t="s">
        <v>816</v>
      </c>
      <c r="KN42" t="s">
        <v>1251</v>
      </c>
      <c r="KO42" t="s">
        <v>845</v>
      </c>
      <c r="KQ42" t="s">
        <v>1252</v>
      </c>
      <c r="KR42" t="s">
        <v>845</v>
      </c>
      <c r="KS42" t="s">
        <v>1253</v>
      </c>
    </row>
    <row r="43" spans="1:332" x14ac:dyDescent="0.3">
      <c r="A43">
        <v>42</v>
      </c>
      <c r="B43" t="s">
        <v>1813</v>
      </c>
      <c r="C43" t="s">
        <v>541</v>
      </c>
      <c r="D43" t="s">
        <v>1835</v>
      </c>
      <c r="E43" t="s">
        <v>2646</v>
      </c>
      <c r="F43">
        <v>72590</v>
      </c>
      <c r="G43" t="s">
        <v>421</v>
      </c>
      <c r="H43" t="s">
        <v>421</v>
      </c>
      <c r="I43" t="s">
        <v>1814</v>
      </c>
      <c r="J43" t="s">
        <v>1815</v>
      </c>
      <c r="K43" t="s">
        <v>1816</v>
      </c>
      <c r="L43" t="s">
        <v>1818</v>
      </c>
      <c r="M43" s="2" t="s">
        <v>1819</v>
      </c>
      <c r="N43" t="s">
        <v>1822</v>
      </c>
      <c r="O43" t="s">
        <v>1823</v>
      </c>
      <c r="P43">
        <v>1</v>
      </c>
      <c r="Q43">
        <v>10</v>
      </c>
      <c r="R43" t="s">
        <v>1820</v>
      </c>
      <c r="S43">
        <v>1</v>
      </c>
      <c r="T43">
        <v>1</v>
      </c>
      <c r="U43">
        <v>1</v>
      </c>
      <c r="V43">
        <v>1</v>
      </c>
      <c r="W43">
        <v>0</v>
      </c>
      <c r="X43">
        <v>0</v>
      </c>
      <c r="Y43" t="s">
        <v>1821</v>
      </c>
      <c r="Z43">
        <v>259</v>
      </c>
      <c r="AA43">
        <v>259</v>
      </c>
      <c r="AO43" t="s">
        <v>1835</v>
      </c>
      <c r="AP43" t="s">
        <v>1835</v>
      </c>
      <c r="AQ43">
        <v>5</v>
      </c>
      <c r="AR43">
        <v>0</v>
      </c>
      <c r="AS43">
        <v>3</v>
      </c>
      <c r="AT43">
        <v>2</v>
      </c>
      <c r="AU43">
        <v>0</v>
      </c>
      <c r="AV43">
        <v>0</v>
      </c>
      <c r="AX43">
        <v>7</v>
      </c>
      <c r="AY43">
        <v>4</v>
      </c>
      <c r="BB43" s="3">
        <f t="shared" si="14"/>
        <v>10</v>
      </c>
      <c r="BC43">
        <v>1</v>
      </c>
      <c r="BD43" t="s">
        <v>1824</v>
      </c>
      <c r="BE43">
        <v>2</v>
      </c>
      <c r="BF43" t="s">
        <v>1825</v>
      </c>
      <c r="BG43">
        <v>2</v>
      </c>
      <c r="BO43">
        <v>1</v>
      </c>
      <c r="BP43" t="s">
        <v>1826</v>
      </c>
      <c r="BQ43">
        <v>1</v>
      </c>
      <c r="BS43" t="s">
        <v>1824</v>
      </c>
      <c r="CN43">
        <v>3</v>
      </c>
      <c r="CP43">
        <v>1</v>
      </c>
      <c r="CR43">
        <v>1</v>
      </c>
      <c r="CS43">
        <v>1</v>
      </c>
      <c r="CT43">
        <v>1</v>
      </c>
      <c r="CU43" s="3">
        <f t="shared" si="8"/>
        <v>1</v>
      </c>
      <c r="CV43">
        <v>1</v>
      </c>
      <c r="EG43">
        <v>10</v>
      </c>
      <c r="EH43" t="s">
        <v>1827</v>
      </c>
      <c r="EI43">
        <v>2024</v>
      </c>
      <c r="EJ43" t="s">
        <v>1828</v>
      </c>
      <c r="EK43" t="s">
        <v>435</v>
      </c>
      <c r="EL43" t="s">
        <v>1817</v>
      </c>
      <c r="EM43" t="s">
        <v>1829</v>
      </c>
      <c r="EN43" t="s">
        <v>544</v>
      </c>
      <c r="EP43" t="s">
        <v>439</v>
      </c>
      <c r="EQ43" t="s">
        <v>440</v>
      </c>
      <c r="ES43" s="9" t="s">
        <v>1830</v>
      </c>
      <c r="EV43" s="9" t="s">
        <v>1831</v>
      </c>
      <c r="FB43" s="9" t="s">
        <v>1832</v>
      </c>
      <c r="FH43" s="9" t="s">
        <v>1833</v>
      </c>
      <c r="FU43">
        <v>0</v>
      </c>
      <c r="FV43" s="3">
        <f t="shared" si="9"/>
        <v>0</v>
      </c>
      <c r="FX43">
        <v>0</v>
      </c>
      <c r="FY43" s="3">
        <f t="shared" si="10"/>
        <v>0</v>
      </c>
      <c r="GA43">
        <v>0</v>
      </c>
      <c r="GB43" s="3">
        <f t="shared" si="11"/>
        <v>0</v>
      </c>
      <c r="GC43" t="s">
        <v>1834</v>
      </c>
      <c r="GD43">
        <v>1000</v>
      </c>
      <c r="GE43" s="3">
        <f t="shared" si="12"/>
        <v>6.6666666666666666E-2</v>
      </c>
      <c r="GF43" s="3">
        <f t="shared" si="13"/>
        <v>6.6666666666666666E-2</v>
      </c>
      <c r="GG43" s="3" t="str">
        <f t="shared" si="15"/>
        <v>ORDINARIO</v>
      </c>
    </row>
    <row r="44" spans="1:332" x14ac:dyDescent="0.3">
      <c r="A44">
        <v>43</v>
      </c>
      <c r="B44" t="s">
        <v>1837</v>
      </c>
      <c r="C44" t="s">
        <v>541</v>
      </c>
      <c r="D44" t="s">
        <v>1836</v>
      </c>
      <c r="E44" t="s">
        <v>2647</v>
      </c>
      <c r="F44">
        <v>75200</v>
      </c>
      <c r="G44" t="s">
        <v>1842</v>
      </c>
      <c r="H44" t="s">
        <v>421</v>
      </c>
      <c r="I44" t="s">
        <v>1838</v>
      </c>
      <c r="J44" t="s">
        <v>1839</v>
      </c>
      <c r="K44" t="s">
        <v>1840</v>
      </c>
      <c r="L44">
        <v>2231080462</v>
      </c>
      <c r="M44" s="2" t="s">
        <v>1843</v>
      </c>
      <c r="N44" t="s">
        <v>1822</v>
      </c>
      <c r="O44" t="s">
        <v>1847</v>
      </c>
      <c r="P44">
        <v>1</v>
      </c>
      <c r="Q44">
        <v>45</v>
      </c>
      <c r="R44" t="s">
        <v>1844</v>
      </c>
      <c r="S44">
        <v>2</v>
      </c>
      <c r="T44">
        <v>2</v>
      </c>
      <c r="U44">
        <v>1</v>
      </c>
      <c r="V44">
        <v>1</v>
      </c>
      <c r="W44">
        <v>3</v>
      </c>
      <c r="X44">
        <v>0</v>
      </c>
      <c r="Y44" t="s">
        <v>1845</v>
      </c>
      <c r="Z44">
        <v>933</v>
      </c>
      <c r="AA44">
        <v>933</v>
      </c>
      <c r="AO44" t="s">
        <v>1846</v>
      </c>
      <c r="AP44" t="s">
        <v>1846</v>
      </c>
      <c r="AQ44">
        <v>6</v>
      </c>
      <c r="AR44">
        <v>0</v>
      </c>
      <c r="AS44">
        <v>4</v>
      </c>
      <c r="AT44">
        <v>2</v>
      </c>
      <c r="AU44">
        <v>0</v>
      </c>
      <c r="AV44">
        <v>0</v>
      </c>
      <c r="AX44">
        <v>20</v>
      </c>
      <c r="AY44">
        <v>3</v>
      </c>
      <c r="BB44" s="3">
        <f t="shared" si="14"/>
        <v>18</v>
      </c>
      <c r="BE44">
        <v>4</v>
      </c>
      <c r="BF44" t="s">
        <v>1848</v>
      </c>
      <c r="BG44">
        <v>4</v>
      </c>
      <c r="BO44">
        <v>1</v>
      </c>
      <c r="BP44" t="s">
        <v>738</v>
      </c>
      <c r="BS44" t="s">
        <v>739</v>
      </c>
      <c r="CN44">
        <v>10</v>
      </c>
      <c r="CP44">
        <v>1</v>
      </c>
      <c r="CR44">
        <v>1</v>
      </c>
      <c r="CS44">
        <v>1</v>
      </c>
      <c r="CT44">
        <v>3</v>
      </c>
      <c r="CU44" s="3">
        <f t="shared" si="8"/>
        <v>1</v>
      </c>
      <c r="CV44">
        <v>1</v>
      </c>
      <c r="EG44">
        <v>8</v>
      </c>
      <c r="EH44" t="s">
        <v>1827</v>
      </c>
      <c r="EI44">
        <v>2024</v>
      </c>
      <c r="EJ44" t="s">
        <v>1849</v>
      </c>
      <c r="EK44" t="s">
        <v>435</v>
      </c>
      <c r="EL44" t="s">
        <v>1841</v>
      </c>
      <c r="EM44" t="s">
        <v>796</v>
      </c>
      <c r="EN44" t="s">
        <v>796</v>
      </c>
      <c r="EP44" t="s">
        <v>439</v>
      </c>
      <c r="EQ44" t="s">
        <v>440</v>
      </c>
      <c r="ES44" s="9" t="s">
        <v>1850</v>
      </c>
      <c r="EV44" s="9" t="s">
        <v>1852</v>
      </c>
      <c r="FB44" s="9" t="s">
        <v>1853</v>
      </c>
      <c r="FH44" s="9" t="s">
        <v>1851</v>
      </c>
      <c r="FN44" s="9" t="s">
        <v>1854</v>
      </c>
      <c r="FT44" t="s">
        <v>1855</v>
      </c>
      <c r="FU44">
        <v>30</v>
      </c>
      <c r="FV44" s="3">
        <f t="shared" si="9"/>
        <v>0.01</v>
      </c>
      <c r="FX44">
        <v>0</v>
      </c>
      <c r="FY44" s="3">
        <f t="shared" si="10"/>
        <v>0</v>
      </c>
      <c r="GA44">
        <v>0</v>
      </c>
      <c r="GB44" s="3">
        <f t="shared" si="11"/>
        <v>0</v>
      </c>
      <c r="GC44" t="s">
        <v>452</v>
      </c>
      <c r="GD44">
        <v>7000</v>
      </c>
      <c r="GE44" s="3">
        <f t="shared" si="12"/>
        <v>0.46666666666666667</v>
      </c>
      <c r="GF44" s="3">
        <f t="shared" si="13"/>
        <v>0.47666666666666668</v>
      </c>
      <c r="GG44" s="3" t="str">
        <f t="shared" si="15"/>
        <v>ORDINARIO</v>
      </c>
    </row>
    <row r="45" spans="1:332" x14ac:dyDescent="0.3">
      <c r="A45">
        <v>44</v>
      </c>
      <c r="B45" t="s">
        <v>1857</v>
      </c>
      <c r="C45" t="s">
        <v>541</v>
      </c>
      <c r="D45" t="s">
        <v>1856</v>
      </c>
      <c r="E45" t="s">
        <v>2648</v>
      </c>
      <c r="F45">
        <v>75700</v>
      </c>
      <c r="G45" t="s">
        <v>1842</v>
      </c>
      <c r="H45" t="s">
        <v>421</v>
      </c>
      <c r="I45" t="s">
        <v>1858</v>
      </c>
      <c r="J45" t="s">
        <v>1859</v>
      </c>
      <c r="K45" t="s">
        <v>1879</v>
      </c>
      <c r="L45">
        <v>2223718725</v>
      </c>
      <c r="M45" s="2" t="s">
        <v>1860</v>
      </c>
      <c r="N45" t="s">
        <v>427</v>
      </c>
      <c r="O45" t="s">
        <v>1880</v>
      </c>
      <c r="P45">
        <v>2</v>
      </c>
      <c r="Q45">
        <v>31</v>
      </c>
      <c r="R45" t="s">
        <v>1861</v>
      </c>
      <c r="S45">
        <v>1</v>
      </c>
      <c r="T45">
        <v>2</v>
      </c>
      <c r="U45">
        <v>1</v>
      </c>
      <c r="V45">
        <v>1</v>
      </c>
      <c r="W45">
        <v>1</v>
      </c>
      <c r="X45">
        <v>0</v>
      </c>
      <c r="Y45" t="s">
        <v>821</v>
      </c>
      <c r="Z45">
        <v>231.96</v>
      </c>
      <c r="AA45">
        <v>231.96</v>
      </c>
      <c r="AO45" t="s">
        <v>1862</v>
      </c>
      <c r="AP45" t="s">
        <v>1863</v>
      </c>
      <c r="AQ45">
        <v>8</v>
      </c>
      <c r="AR45">
        <v>0</v>
      </c>
      <c r="AS45">
        <v>2</v>
      </c>
      <c r="AT45">
        <v>6</v>
      </c>
      <c r="AU45">
        <v>0</v>
      </c>
      <c r="AV45">
        <v>0</v>
      </c>
      <c r="AX45">
        <v>200</v>
      </c>
      <c r="AY45">
        <v>4</v>
      </c>
      <c r="BB45" s="3">
        <f t="shared" si="14"/>
        <v>13</v>
      </c>
      <c r="BC45">
        <v>1</v>
      </c>
      <c r="BD45" t="s">
        <v>1865</v>
      </c>
      <c r="BE45">
        <v>2</v>
      </c>
      <c r="BF45" t="s">
        <v>1864</v>
      </c>
      <c r="BG45">
        <v>2</v>
      </c>
      <c r="BV45">
        <v>5</v>
      </c>
      <c r="BW45" t="s">
        <v>1866</v>
      </c>
      <c r="CN45">
        <v>6</v>
      </c>
      <c r="CP45">
        <v>1</v>
      </c>
      <c r="CQ45">
        <v>1</v>
      </c>
      <c r="CS45">
        <v>2</v>
      </c>
      <c r="CT45">
        <v>1</v>
      </c>
      <c r="CU45" s="3">
        <f t="shared" ref="CU45:CU76" si="16">+CV45+CX45+CY45+CZ45+DA45</f>
        <v>2</v>
      </c>
      <c r="CV45">
        <v>2</v>
      </c>
      <c r="EG45">
        <v>21</v>
      </c>
      <c r="EH45" t="s">
        <v>531</v>
      </c>
      <c r="EI45">
        <v>2024</v>
      </c>
      <c r="EJ45" t="s">
        <v>1867</v>
      </c>
      <c r="EK45" t="s">
        <v>1841</v>
      </c>
      <c r="EL45" t="s">
        <v>1868</v>
      </c>
      <c r="EM45" t="s">
        <v>1869</v>
      </c>
      <c r="EN45" t="s">
        <v>1870</v>
      </c>
      <c r="EP45" t="s">
        <v>439</v>
      </c>
      <c r="EQ45" t="s">
        <v>440</v>
      </c>
      <c r="ES45" s="9" t="s">
        <v>1871</v>
      </c>
      <c r="EV45" s="9" t="s">
        <v>1872</v>
      </c>
      <c r="EY45" s="9" t="s">
        <v>1873</v>
      </c>
      <c r="FB45" s="9" t="s">
        <v>1874</v>
      </c>
      <c r="FE45" t="s">
        <v>1875</v>
      </c>
      <c r="FH45" t="s">
        <v>1876</v>
      </c>
      <c r="FK45" t="s">
        <v>1877</v>
      </c>
      <c r="FU45">
        <v>0</v>
      </c>
      <c r="FV45" s="3">
        <f t="shared" ref="FV45:FV76" si="17">+FU45/3000</f>
        <v>0</v>
      </c>
      <c r="FW45" t="s">
        <v>1878</v>
      </c>
      <c r="FX45">
        <v>272</v>
      </c>
      <c r="FY45" s="3">
        <f t="shared" ref="FY45:FY76" si="18">+FX45/1400</f>
        <v>0.19428571428571428</v>
      </c>
      <c r="GA45">
        <v>0</v>
      </c>
      <c r="GB45" s="3">
        <f t="shared" ref="GB45:GB76" si="19">+GA45/2000</f>
        <v>0</v>
      </c>
      <c r="GC45" t="s">
        <v>452</v>
      </c>
      <c r="GD45">
        <v>500</v>
      </c>
      <c r="GE45" s="3">
        <f t="shared" ref="GE45:GE76" si="20">+GD45/15000</f>
        <v>3.3333333333333333E-2</v>
      </c>
      <c r="GF45" s="3">
        <f t="shared" ref="GF45:GF76" si="21">+FV45+FY45+GB45+GE45</f>
        <v>0.22761904761904761</v>
      </c>
      <c r="GG45" s="3" t="str">
        <f t="shared" si="15"/>
        <v>ORDINARIO</v>
      </c>
    </row>
    <row r="46" spans="1:332" x14ac:dyDescent="0.3">
      <c r="A46">
        <v>45</v>
      </c>
      <c r="B46" t="s">
        <v>1882</v>
      </c>
      <c r="C46" t="s">
        <v>1804</v>
      </c>
      <c r="D46" t="s">
        <v>1881</v>
      </c>
      <c r="E46" t="s">
        <v>2649</v>
      </c>
      <c r="F46">
        <v>70600</v>
      </c>
      <c r="G46" t="s">
        <v>1885</v>
      </c>
      <c r="H46" t="s">
        <v>1886</v>
      </c>
      <c r="I46" t="s">
        <v>1883</v>
      </c>
      <c r="J46" t="s">
        <v>1884</v>
      </c>
      <c r="L46" t="s">
        <v>1887</v>
      </c>
      <c r="O46" t="s">
        <v>1890</v>
      </c>
      <c r="Q46">
        <v>33</v>
      </c>
      <c r="R46" s="10">
        <v>39264</v>
      </c>
      <c r="T46">
        <v>2</v>
      </c>
      <c r="Z46">
        <v>612.16999999999996</v>
      </c>
      <c r="AA46">
        <v>194.03</v>
      </c>
      <c r="AO46" t="s">
        <v>1888</v>
      </c>
      <c r="AP46" t="s">
        <v>1889</v>
      </c>
      <c r="AQ46">
        <v>28</v>
      </c>
      <c r="AX46">
        <v>20</v>
      </c>
      <c r="BB46" s="3">
        <f t="shared" si="14"/>
        <v>0</v>
      </c>
      <c r="CU46" s="3">
        <f t="shared" si="16"/>
        <v>0</v>
      </c>
      <c r="EC46" t="s">
        <v>1891</v>
      </c>
      <c r="EG46">
        <v>19</v>
      </c>
      <c r="EH46" t="s">
        <v>1827</v>
      </c>
      <c r="EI46">
        <v>2024</v>
      </c>
      <c r="EJ46" t="s">
        <v>1892</v>
      </c>
      <c r="EK46" t="s">
        <v>1893</v>
      </c>
      <c r="EL46" t="s">
        <v>1894</v>
      </c>
      <c r="EM46" t="s">
        <v>1895</v>
      </c>
      <c r="EN46" t="s">
        <v>1896</v>
      </c>
      <c r="EO46" t="s">
        <v>1897</v>
      </c>
      <c r="FV46" s="3">
        <f t="shared" si="17"/>
        <v>0</v>
      </c>
      <c r="FY46" s="3">
        <f t="shared" si="18"/>
        <v>0</v>
      </c>
      <c r="GB46" s="3">
        <f t="shared" si="19"/>
        <v>0</v>
      </c>
      <c r="GE46" s="3">
        <f t="shared" si="20"/>
        <v>0</v>
      </c>
      <c r="GF46" s="3">
        <f t="shared" si="21"/>
        <v>0</v>
      </c>
      <c r="GG46" s="3" t="str">
        <f t="shared" si="15"/>
        <v>ORDINARIO</v>
      </c>
    </row>
    <row r="47" spans="1:332" x14ac:dyDescent="0.3">
      <c r="A47">
        <v>46</v>
      </c>
      <c r="B47" t="s">
        <v>1898</v>
      </c>
      <c r="C47" t="s">
        <v>1804</v>
      </c>
      <c r="D47" t="s">
        <v>1881</v>
      </c>
      <c r="E47" t="s">
        <v>2650</v>
      </c>
      <c r="F47">
        <v>70760</v>
      </c>
      <c r="G47" t="s">
        <v>1899</v>
      </c>
      <c r="H47" t="s">
        <v>1886</v>
      </c>
      <c r="I47" t="s">
        <v>1883</v>
      </c>
      <c r="J47" t="s">
        <v>1884</v>
      </c>
      <c r="AQ47">
        <v>25</v>
      </c>
      <c r="AX47">
        <v>15</v>
      </c>
      <c r="BB47" s="3">
        <f t="shared" si="14"/>
        <v>0</v>
      </c>
      <c r="CU47" s="3">
        <f t="shared" si="16"/>
        <v>0</v>
      </c>
      <c r="EG47">
        <v>18</v>
      </c>
      <c r="EH47" t="s">
        <v>1827</v>
      </c>
      <c r="EI47">
        <v>2024</v>
      </c>
      <c r="FV47" s="3">
        <f t="shared" si="17"/>
        <v>0</v>
      </c>
      <c r="FY47" s="3">
        <f t="shared" si="18"/>
        <v>0</v>
      </c>
      <c r="GB47" s="3">
        <f t="shared" si="19"/>
        <v>0</v>
      </c>
      <c r="GE47" s="3">
        <f t="shared" si="20"/>
        <v>0</v>
      </c>
      <c r="GF47" s="3">
        <f t="shared" si="21"/>
        <v>0</v>
      </c>
      <c r="GG47" s="3" t="str">
        <f t="shared" si="15"/>
        <v>ORDINARIO</v>
      </c>
    </row>
    <row r="48" spans="1:332" x14ac:dyDescent="0.3">
      <c r="A48">
        <v>47</v>
      </c>
      <c r="B48" t="s">
        <v>1900</v>
      </c>
      <c r="C48" t="s">
        <v>1804</v>
      </c>
      <c r="D48" t="s">
        <v>1881</v>
      </c>
      <c r="E48" t="s">
        <v>2651</v>
      </c>
      <c r="F48">
        <v>70000</v>
      </c>
      <c r="G48" t="s">
        <v>1901</v>
      </c>
      <c r="H48" t="s">
        <v>1886</v>
      </c>
      <c r="I48" t="s">
        <v>1883</v>
      </c>
      <c r="J48" t="s">
        <v>1884</v>
      </c>
      <c r="AQ48">
        <v>27</v>
      </c>
      <c r="AX48">
        <v>100</v>
      </c>
      <c r="BB48" s="3">
        <f t="shared" si="14"/>
        <v>0</v>
      </c>
      <c r="CU48" s="3">
        <f t="shared" si="16"/>
        <v>0</v>
      </c>
      <c r="EG48">
        <v>17</v>
      </c>
      <c r="EH48" t="s">
        <v>1827</v>
      </c>
      <c r="EI48">
        <v>2024</v>
      </c>
      <c r="FV48" s="3">
        <f t="shared" si="17"/>
        <v>0</v>
      </c>
      <c r="FY48" s="3">
        <f t="shared" si="18"/>
        <v>0</v>
      </c>
      <c r="GB48" s="3">
        <f t="shared" si="19"/>
        <v>0</v>
      </c>
      <c r="GE48" s="3">
        <f t="shared" si="20"/>
        <v>0</v>
      </c>
      <c r="GF48" s="3">
        <f t="shared" si="21"/>
        <v>0</v>
      </c>
      <c r="GG48" s="3" t="str">
        <f t="shared" si="15"/>
        <v>ORDINARIO</v>
      </c>
    </row>
    <row r="49" spans="1:189" x14ac:dyDescent="0.3">
      <c r="A49">
        <v>48</v>
      </c>
      <c r="B49" t="s">
        <v>1902</v>
      </c>
      <c r="C49" t="s">
        <v>1804</v>
      </c>
      <c r="D49" t="s">
        <v>1881</v>
      </c>
      <c r="E49" t="s">
        <v>2652</v>
      </c>
      <c r="F49">
        <v>70300</v>
      </c>
      <c r="G49" t="s">
        <v>1903</v>
      </c>
      <c r="H49" t="s">
        <v>1886</v>
      </c>
      <c r="I49" t="s">
        <v>1883</v>
      </c>
      <c r="J49" t="s">
        <v>1884</v>
      </c>
      <c r="AQ49">
        <v>31</v>
      </c>
      <c r="AX49">
        <v>10</v>
      </c>
      <c r="BB49" s="3">
        <f t="shared" si="14"/>
        <v>0</v>
      </c>
      <c r="CU49" s="3">
        <f t="shared" si="16"/>
        <v>0</v>
      </c>
      <c r="EG49">
        <v>16</v>
      </c>
      <c r="EH49" t="s">
        <v>1827</v>
      </c>
      <c r="EI49">
        <v>2024</v>
      </c>
      <c r="FV49" s="3">
        <f t="shared" si="17"/>
        <v>0</v>
      </c>
      <c r="FY49" s="3">
        <f t="shared" si="18"/>
        <v>0</v>
      </c>
      <c r="GB49" s="3">
        <f t="shared" si="19"/>
        <v>0</v>
      </c>
      <c r="GE49" s="3">
        <f t="shared" si="20"/>
        <v>0</v>
      </c>
      <c r="GF49" s="3">
        <f t="shared" si="21"/>
        <v>0</v>
      </c>
      <c r="GG49" s="3" t="str">
        <f t="shared" si="15"/>
        <v>ORDINARIO</v>
      </c>
    </row>
    <row r="50" spans="1:189" x14ac:dyDescent="0.3">
      <c r="A50">
        <v>49</v>
      </c>
      <c r="B50" t="s">
        <v>1904</v>
      </c>
      <c r="C50" t="s">
        <v>565</v>
      </c>
      <c r="D50" t="s">
        <v>784</v>
      </c>
      <c r="E50" t="s">
        <v>2653</v>
      </c>
      <c r="F50">
        <v>73560</v>
      </c>
      <c r="G50" t="s">
        <v>1907</v>
      </c>
      <c r="H50" t="s">
        <v>421</v>
      </c>
      <c r="I50" t="s">
        <v>787</v>
      </c>
      <c r="J50" t="s">
        <v>565</v>
      </c>
      <c r="K50" t="s">
        <v>1906</v>
      </c>
      <c r="L50">
        <v>2333310437</v>
      </c>
      <c r="M50" s="2" t="s">
        <v>1908</v>
      </c>
      <c r="N50" t="s">
        <v>427</v>
      </c>
      <c r="O50" t="s">
        <v>428</v>
      </c>
      <c r="P50">
        <v>3</v>
      </c>
      <c r="Q50">
        <v>29</v>
      </c>
      <c r="R50" t="s">
        <v>1909</v>
      </c>
      <c r="S50">
        <v>1</v>
      </c>
      <c r="T50">
        <v>1</v>
      </c>
      <c r="U50">
        <v>2</v>
      </c>
      <c r="V50">
        <v>2</v>
      </c>
      <c r="W50">
        <v>0</v>
      </c>
      <c r="X50">
        <v>0</v>
      </c>
      <c r="Y50" t="s">
        <v>1182</v>
      </c>
      <c r="Z50">
        <v>968.74</v>
      </c>
      <c r="AA50">
        <v>968.74</v>
      </c>
      <c r="AC50" t="s">
        <v>1905</v>
      </c>
      <c r="AO50" t="s">
        <v>736</v>
      </c>
      <c r="AP50" t="s">
        <v>1910</v>
      </c>
      <c r="AQ50">
        <v>9</v>
      </c>
      <c r="AR50">
        <v>0</v>
      </c>
      <c r="AS50">
        <v>5</v>
      </c>
      <c r="AT50">
        <v>4</v>
      </c>
      <c r="AU50">
        <v>0</v>
      </c>
      <c r="AV50">
        <v>0</v>
      </c>
      <c r="AX50">
        <v>100</v>
      </c>
      <c r="AY50">
        <v>4</v>
      </c>
      <c r="BB50" s="3">
        <f t="shared" si="14"/>
        <v>13</v>
      </c>
      <c r="BC50">
        <v>1</v>
      </c>
      <c r="BD50" t="s">
        <v>739</v>
      </c>
      <c r="BE50">
        <v>5</v>
      </c>
      <c r="BF50" t="s">
        <v>737</v>
      </c>
      <c r="BG50">
        <v>5</v>
      </c>
      <c r="BI50">
        <v>3</v>
      </c>
      <c r="BJ50" t="s">
        <v>772</v>
      </c>
      <c r="BK50">
        <v>3</v>
      </c>
      <c r="BL50" t="s">
        <v>1615</v>
      </c>
      <c r="BM50">
        <v>1</v>
      </c>
      <c r="BN50" t="s">
        <v>1928</v>
      </c>
      <c r="BO50">
        <v>1</v>
      </c>
      <c r="BP50" t="s">
        <v>1826</v>
      </c>
      <c r="BQ50">
        <v>1</v>
      </c>
      <c r="BS50" t="s">
        <v>739</v>
      </c>
      <c r="CN50">
        <v>6</v>
      </c>
      <c r="CT50">
        <v>2</v>
      </c>
      <c r="CU50" s="3">
        <f t="shared" si="16"/>
        <v>6</v>
      </c>
      <c r="CV50">
        <v>2</v>
      </c>
      <c r="CX50">
        <v>2</v>
      </c>
      <c r="CY50">
        <v>2</v>
      </c>
      <c r="DS50">
        <v>2</v>
      </c>
      <c r="DT50" t="s">
        <v>1911</v>
      </c>
      <c r="DU50">
        <v>3</v>
      </c>
      <c r="DV50">
        <v>40000</v>
      </c>
      <c r="DW50">
        <v>60000</v>
      </c>
      <c r="DX50">
        <v>60000</v>
      </c>
      <c r="EG50">
        <v>2</v>
      </c>
      <c r="EH50" t="s">
        <v>1827</v>
      </c>
      <c r="EI50">
        <v>2024</v>
      </c>
      <c r="EJ50" t="s">
        <v>1912</v>
      </c>
      <c r="EK50" t="s">
        <v>1913</v>
      </c>
      <c r="EL50" t="s">
        <v>1914</v>
      </c>
      <c r="EM50" t="s">
        <v>1915</v>
      </c>
      <c r="EN50" t="s">
        <v>1916</v>
      </c>
      <c r="EP50" t="s">
        <v>439</v>
      </c>
      <c r="EQ50" t="s">
        <v>440</v>
      </c>
      <c r="ES50" s="9" t="s">
        <v>1917</v>
      </c>
      <c r="ET50" t="s">
        <v>1918</v>
      </c>
      <c r="EV50" s="9" t="s">
        <v>1919</v>
      </c>
      <c r="EW50" t="s">
        <v>1920</v>
      </c>
      <c r="EY50" s="9" t="s">
        <v>1921</v>
      </c>
      <c r="EZ50" t="s">
        <v>1922</v>
      </c>
      <c r="FB50" s="9" t="s">
        <v>1923</v>
      </c>
      <c r="FC50" t="s">
        <v>1922</v>
      </c>
      <c r="FE50" s="9" t="s">
        <v>1924</v>
      </c>
      <c r="FF50" t="s">
        <v>1922</v>
      </c>
      <c r="FH50" s="9" t="s">
        <v>1925</v>
      </c>
      <c r="FI50" t="s">
        <v>1922</v>
      </c>
      <c r="FK50" s="9" t="s">
        <v>1926</v>
      </c>
      <c r="FL50" t="s">
        <v>1922</v>
      </c>
      <c r="FN50" s="9" t="s">
        <v>1927</v>
      </c>
      <c r="FO50" t="s">
        <v>1922</v>
      </c>
      <c r="FU50">
        <v>0</v>
      </c>
      <c r="FV50" s="3">
        <f t="shared" si="17"/>
        <v>0</v>
      </c>
      <c r="FW50" t="s">
        <v>451</v>
      </c>
      <c r="FX50">
        <v>100000</v>
      </c>
      <c r="FY50" s="3">
        <f t="shared" si="18"/>
        <v>71.428571428571431</v>
      </c>
      <c r="FZ50" t="s">
        <v>745</v>
      </c>
      <c r="GA50">
        <v>60100</v>
      </c>
      <c r="GB50" s="3">
        <f t="shared" si="19"/>
        <v>30.05</v>
      </c>
      <c r="GC50" t="s">
        <v>452</v>
      </c>
      <c r="GD50">
        <v>540</v>
      </c>
      <c r="GE50" s="3">
        <f t="shared" si="20"/>
        <v>3.5999999999999997E-2</v>
      </c>
      <c r="GF50" s="3">
        <f t="shared" si="21"/>
        <v>101.51457142857143</v>
      </c>
      <c r="GG50" s="3" t="str">
        <f t="shared" si="15"/>
        <v>ALTO</v>
      </c>
    </row>
    <row r="51" spans="1:189" x14ac:dyDescent="0.3">
      <c r="A51">
        <v>50</v>
      </c>
      <c r="B51" t="s">
        <v>1929</v>
      </c>
      <c r="C51" t="s">
        <v>1804</v>
      </c>
      <c r="D51" t="s">
        <v>1881</v>
      </c>
      <c r="E51" t="s">
        <v>2654</v>
      </c>
      <c r="F51">
        <v>68405</v>
      </c>
      <c r="G51" t="s">
        <v>1931</v>
      </c>
      <c r="H51" t="s">
        <v>1886</v>
      </c>
      <c r="I51" t="s">
        <v>1883</v>
      </c>
      <c r="J51" t="s">
        <v>1884</v>
      </c>
      <c r="AQ51">
        <v>18</v>
      </c>
      <c r="AX51">
        <v>133</v>
      </c>
      <c r="BB51" s="3">
        <f t="shared" si="14"/>
        <v>0</v>
      </c>
      <c r="CU51" s="3">
        <f t="shared" si="16"/>
        <v>0</v>
      </c>
      <c r="EG51">
        <v>15</v>
      </c>
      <c r="EH51" t="s">
        <v>1827</v>
      </c>
      <c r="EI51">
        <v>2024</v>
      </c>
      <c r="FV51" s="3">
        <f t="shared" si="17"/>
        <v>0</v>
      </c>
      <c r="FY51" s="3">
        <f t="shared" si="18"/>
        <v>0</v>
      </c>
      <c r="GB51" s="3">
        <f t="shared" si="19"/>
        <v>0</v>
      </c>
      <c r="GE51" s="3">
        <f t="shared" si="20"/>
        <v>0</v>
      </c>
      <c r="GF51" s="3">
        <f t="shared" si="21"/>
        <v>0</v>
      </c>
      <c r="GG51" s="3" t="str">
        <f t="shared" si="15"/>
        <v>ORDINARIO</v>
      </c>
    </row>
    <row r="52" spans="1:189" x14ac:dyDescent="0.3">
      <c r="A52">
        <v>51</v>
      </c>
      <c r="B52" t="s">
        <v>1930</v>
      </c>
      <c r="C52" t="s">
        <v>1804</v>
      </c>
      <c r="D52" t="s">
        <v>1881</v>
      </c>
      <c r="E52" t="s">
        <v>2655</v>
      </c>
      <c r="F52">
        <v>68400</v>
      </c>
      <c r="G52" t="s">
        <v>1931</v>
      </c>
      <c r="H52" t="s">
        <v>1886</v>
      </c>
      <c r="I52" t="s">
        <v>1883</v>
      </c>
      <c r="J52" t="s">
        <v>1884</v>
      </c>
      <c r="AQ52">
        <v>4</v>
      </c>
      <c r="AX52">
        <v>100</v>
      </c>
      <c r="BB52" s="3">
        <f t="shared" si="14"/>
        <v>0</v>
      </c>
      <c r="CU52" s="3">
        <f t="shared" si="16"/>
        <v>0</v>
      </c>
      <c r="EG52">
        <v>15</v>
      </c>
      <c r="EH52" t="s">
        <v>1827</v>
      </c>
      <c r="EI52">
        <v>2024</v>
      </c>
      <c r="FV52" s="3">
        <f t="shared" si="17"/>
        <v>0</v>
      </c>
      <c r="FY52" s="3">
        <f t="shared" si="18"/>
        <v>0</v>
      </c>
      <c r="GB52" s="3">
        <f t="shared" si="19"/>
        <v>0</v>
      </c>
      <c r="GE52" s="3">
        <f t="shared" si="20"/>
        <v>0</v>
      </c>
      <c r="GF52" s="3">
        <f t="shared" si="21"/>
        <v>0</v>
      </c>
      <c r="GG52" s="3" t="str">
        <f t="shared" si="15"/>
        <v>ORDINARIO</v>
      </c>
    </row>
    <row r="53" spans="1:189" x14ac:dyDescent="0.3">
      <c r="A53">
        <v>52</v>
      </c>
      <c r="B53" t="s">
        <v>1933</v>
      </c>
      <c r="C53" t="s">
        <v>1804</v>
      </c>
      <c r="D53" t="s">
        <v>1932</v>
      </c>
      <c r="E53" t="s">
        <v>2656</v>
      </c>
      <c r="F53">
        <v>68310</v>
      </c>
      <c r="G53" t="s">
        <v>1936</v>
      </c>
      <c r="H53" t="s">
        <v>1886</v>
      </c>
      <c r="I53" t="s">
        <v>1934</v>
      </c>
      <c r="J53" t="s">
        <v>819</v>
      </c>
      <c r="AQ53">
        <v>14</v>
      </c>
      <c r="AX53">
        <v>15</v>
      </c>
      <c r="BB53" s="3">
        <f t="shared" si="14"/>
        <v>0</v>
      </c>
      <c r="CU53" s="3">
        <f t="shared" si="16"/>
        <v>0</v>
      </c>
      <c r="EG53">
        <v>18</v>
      </c>
      <c r="EH53" t="s">
        <v>1827</v>
      </c>
      <c r="EI53">
        <v>2024</v>
      </c>
      <c r="FV53" s="3">
        <f t="shared" si="17"/>
        <v>0</v>
      </c>
      <c r="FY53" s="3">
        <f t="shared" si="18"/>
        <v>0</v>
      </c>
      <c r="GB53" s="3">
        <f t="shared" si="19"/>
        <v>0</v>
      </c>
      <c r="GE53" s="3">
        <f t="shared" si="20"/>
        <v>0</v>
      </c>
      <c r="GF53" s="3">
        <f t="shared" si="21"/>
        <v>0</v>
      </c>
      <c r="GG53" s="3" t="str">
        <f t="shared" si="15"/>
        <v>ORDINARIO</v>
      </c>
    </row>
    <row r="54" spans="1:189" x14ac:dyDescent="0.3">
      <c r="A54">
        <v>53</v>
      </c>
      <c r="B54" t="s">
        <v>1949</v>
      </c>
      <c r="C54" t="s">
        <v>2091</v>
      </c>
      <c r="D54" t="s">
        <v>1937</v>
      </c>
      <c r="E54" t="s">
        <v>2657</v>
      </c>
      <c r="F54">
        <v>72440</v>
      </c>
      <c r="G54" t="s">
        <v>421</v>
      </c>
      <c r="H54" t="s">
        <v>421</v>
      </c>
      <c r="I54" t="s">
        <v>1938</v>
      </c>
      <c r="J54" t="s">
        <v>1946</v>
      </c>
      <c r="K54" t="s">
        <v>2025</v>
      </c>
      <c r="L54" t="s">
        <v>1957</v>
      </c>
      <c r="M54" s="2" t="s">
        <v>1958</v>
      </c>
      <c r="N54" t="s">
        <v>1822</v>
      </c>
      <c r="O54" t="s">
        <v>1961</v>
      </c>
      <c r="P54">
        <v>1</v>
      </c>
      <c r="Q54">
        <v>13</v>
      </c>
      <c r="R54" t="s">
        <v>1959</v>
      </c>
      <c r="S54">
        <v>4</v>
      </c>
      <c r="T54">
        <v>4</v>
      </c>
      <c r="U54">
        <v>2</v>
      </c>
      <c r="V54">
        <v>2</v>
      </c>
      <c r="W54">
        <v>1</v>
      </c>
      <c r="X54">
        <v>0</v>
      </c>
      <c r="Y54" t="s">
        <v>424</v>
      </c>
      <c r="Z54">
        <v>2485</v>
      </c>
      <c r="AA54">
        <v>4639.5200000000004</v>
      </c>
      <c r="AC54" t="s">
        <v>1949</v>
      </c>
      <c r="AD54" t="str">
        <f t="shared" ref="AD54:AD61" si="22">+IF(Z54&gt;1000,"JORGE MANUEL ISLAS GOWER", "NOE MORA RAMIREZ")</f>
        <v>JORGE MANUEL ISLAS GOWER</v>
      </c>
      <c r="AO54" t="s">
        <v>1947</v>
      </c>
      <c r="AP54" t="s">
        <v>1960</v>
      </c>
      <c r="AQ54">
        <v>70</v>
      </c>
      <c r="AR54">
        <v>0</v>
      </c>
      <c r="AS54">
        <v>30</v>
      </c>
      <c r="AT54">
        <v>40</v>
      </c>
      <c r="AU54">
        <v>0</v>
      </c>
      <c r="AV54">
        <v>0</v>
      </c>
      <c r="AX54">
        <v>500</v>
      </c>
      <c r="AY54">
        <v>40</v>
      </c>
      <c r="BB54" s="3">
        <f t="shared" si="14"/>
        <v>92</v>
      </c>
      <c r="BC54">
        <v>4</v>
      </c>
      <c r="BD54" t="s">
        <v>1968</v>
      </c>
      <c r="BE54">
        <v>39</v>
      </c>
      <c r="BF54" t="s">
        <v>1962</v>
      </c>
      <c r="BG54">
        <v>27</v>
      </c>
      <c r="BH54">
        <v>11</v>
      </c>
      <c r="BO54">
        <v>2</v>
      </c>
      <c r="BP54" t="s">
        <v>1963</v>
      </c>
      <c r="BS54" t="s">
        <v>1992</v>
      </c>
      <c r="BV54">
        <v>5</v>
      </c>
      <c r="BW54" t="s">
        <v>1965</v>
      </c>
      <c r="BX54">
        <v>1</v>
      </c>
      <c r="BY54" t="s">
        <v>1964</v>
      </c>
      <c r="BZ54">
        <v>5</v>
      </c>
      <c r="CA54" t="s">
        <v>1964</v>
      </c>
      <c r="CB54">
        <v>4</v>
      </c>
      <c r="CC54" t="s">
        <v>1964</v>
      </c>
      <c r="CD54">
        <v>2</v>
      </c>
      <c r="CE54" t="s">
        <v>1964</v>
      </c>
      <c r="CF54">
        <v>1</v>
      </c>
      <c r="CG54" t="s">
        <v>1985</v>
      </c>
      <c r="CJ54">
        <v>1</v>
      </c>
      <c r="CK54" t="s">
        <v>1964</v>
      </c>
      <c r="CL54">
        <v>2</v>
      </c>
      <c r="CM54" t="s">
        <v>1964</v>
      </c>
      <c r="CN54">
        <v>33</v>
      </c>
      <c r="CO54">
        <v>1</v>
      </c>
      <c r="CP54">
        <v>7</v>
      </c>
      <c r="CR54">
        <v>1</v>
      </c>
      <c r="CS54">
        <v>5</v>
      </c>
      <c r="CT54">
        <v>15</v>
      </c>
      <c r="CU54" s="3">
        <f t="shared" si="16"/>
        <v>12</v>
      </c>
      <c r="CV54">
        <v>12</v>
      </c>
      <c r="CW54">
        <v>6</v>
      </c>
      <c r="DC54">
        <v>9</v>
      </c>
      <c r="DD54" t="s">
        <v>1966</v>
      </c>
      <c r="DM54">
        <v>20</v>
      </c>
      <c r="DN54" t="s">
        <v>1993</v>
      </c>
      <c r="DO54">
        <v>11</v>
      </c>
      <c r="DP54" t="s">
        <v>1966</v>
      </c>
      <c r="EG54">
        <v>9</v>
      </c>
      <c r="EH54" t="s">
        <v>1948</v>
      </c>
      <c r="EI54">
        <v>2024</v>
      </c>
      <c r="EJ54" t="s">
        <v>1967</v>
      </c>
      <c r="EK54" t="s">
        <v>1986</v>
      </c>
      <c r="EL54" t="s">
        <v>1987</v>
      </c>
      <c r="EM54" t="s">
        <v>796</v>
      </c>
      <c r="EN54" t="s">
        <v>1988</v>
      </c>
      <c r="EP54" t="s">
        <v>439</v>
      </c>
      <c r="EQ54" t="s">
        <v>440</v>
      </c>
      <c r="EV54" s="9" t="s">
        <v>2069</v>
      </c>
      <c r="EY54" s="9" t="s">
        <v>2070</v>
      </c>
      <c r="FB54" s="9" t="s">
        <v>2071</v>
      </c>
      <c r="FH54" s="9" t="s">
        <v>2072</v>
      </c>
      <c r="FN54" s="9" t="s">
        <v>2073</v>
      </c>
      <c r="FT54" t="s">
        <v>1989</v>
      </c>
      <c r="FU54">
        <f>480+(20*1000)</f>
        <v>20480</v>
      </c>
      <c r="FV54" s="3">
        <f t="shared" si="17"/>
        <v>6.8266666666666671</v>
      </c>
      <c r="FX54">
        <v>0</v>
      </c>
      <c r="FY54" s="3">
        <f t="shared" si="18"/>
        <v>0</v>
      </c>
      <c r="GA54">
        <v>0</v>
      </c>
      <c r="GB54" s="3">
        <f t="shared" si="19"/>
        <v>0</v>
      </c>
      <c r="GC54" t="s">
        <v>452</v>
      </c>
      <c r="GD54">
        <f t="shared" ref="GD54:GD76" si="23">60*AQ54</f>
        <v>4200</v>
      </c>
      <c r="GE54" s="3">
        <f t="shared" si="20"/>
        <v>0.28000000000000003</v>
      </c>
      <c r="GF54" s="3">
        <f t="shared" si="21"/>
        <v>7.1066666666666674</v>
      </c>
      <c r="GG54" s="3" t="str">
        <f t="shared" si="15"/>
        <v>ALTO</v>
      </c>
    </row>
    <row r="55" spans="1:189" x14ac:dyDescent="0.3">
      <c r="A55">
        <v>54</v>
      </c>
      <c r="B55" t="s">
        <v>1950</v>
      </c>
      <c r="C55" t="s">
        <v>2091</v>
      </c>
      <c r="D55" t="s">
        <v>1937</v>
      </c>
      <c r="E55" t="s">
        <v>2658</v>
      </c>
      <c r="F55">
        <v>72440</v>
      </c>
      <c r="G55" t="s">
        <v>421</v>
      </c>
      <c r="H55" t="s">
        <v>421</v>
      </c>
      <c r="I55" t="s">
        <v>1939</v>
      </c>
      <c r="J55" t="s">
        <v>1946</v>
      </c>
      <c r="K55" t="s">
        <v>2025</v>
      </c>
      <c r="L55" t="s">
        <v>1957</v>
      </c>
      <c r="M55" s="2" t="s">
        <v>1958</v>
      </c>
      <c r="N55" t="s">
        <v>1822</v>
      </c>
      <c r="O55" t="s">
        <v>1961</v>
      </c>
      <c r="P55">
        <v>1</v>
      </c>
      <c r="Q55">
        <v>14</v>
      </c>
      <c r="R55" t="s">
        <v>1990</v>
      </c>
      <c r="S55">
        <v>2</v>
      </c>
      <c r="T55">
        <v>3</v>
      </c>
      <c r="U55">
        <v>2</v>
      </c>
      <c r="V55">
        <v>2</v>
      </c>
      <c r="W55">
        <v>2</v>
      </c>
      <c r="X55">
        <v>0</v>
      </c>
      <c r="Y55" t="s">
        <v>821</v>
      </c>
      <c r="Z55">
        <v>608</v>
      </c>
      <c r="AA55">
        <v>2530.0100000000002</v>
      </c>
      <c r="AC55" t="s">
        <v>1950</v>
      </c>
      <c r="AD55" t="str">
        <f t="shared" si="22"/>
        <v>NOE MORA RAMIREZ</v>
      </c>
      <c r="AO55" t="s">
        <v>1947</v>
      </c>
      <c r="AP55" t="s">
        <v>1998</v>
      </c>
      <c r="AQ55">
        <v>41</v>
      </c>
      <c r="AR55">
        <v>0</v>
      </c>
      <c r="AS55">
        <v>17</v>
      </c>
      <c r="AT55">
        <v>24</v>
      </c>
      <c r="AU55">
        <v>0</v>
      </c>
      <c r="AV55">
        <v>0</v>
      </c>
      <c r="AX55">
        <v>320</v>
      </c>
      <c r="AY55">
        <v>10</v>
      </c>
      <c r="BB55" s="3">
        <f t="shared" si="14"/>
        <v>69</v>
      </c>
      <c r="BC55">
        <v>3</v>
      </c>
      <c r="BD55" t="s">
        <v>1991</v>
      </c>
      <c r="BE55">
        <v>26</v>
      </c>
      <c r="BF55" t="s">
        <v>1962</v>
      </c>
      <c r="BG55">
        <v>17</v>
      </c>
      <c r="BH55">
        <v>8</v>
      </c>
      <c r="BO55">
        <v>5</v>
      </c>
      <c r="BP55" t="s">
        <v>1963</v>
      </c>
      <c r="BQ55">
        <v>10</v>
      </c>
      <c r="BS55" t="s">
        <v>1992</v>
      </c>
      <c r="BX55">
        <v>1</v>
      </c>
      <c r="BY55" t="s">
        <v>1964</v>
      </c>
      <c r="BZ55">
        <v>4</v>
      </c>
      <c r="CA55" t="s">
        <v>1964</v>
      </c>
      <c r="CB55">
        <v>5</v>
      </c>
      <c r="CC55" t="s">
        <v>1964</v>
      </c>
      <c r="CF55">
        <v>1</v>
      </c>
      <c r="CG55" t="s">
        <v>1964</v>
      </c>
      <c r="CH55">
        <v>2</v>
      </c>
      <c r="CI55" t="s">
        <v>1964</v>
      </c>
      <c r="CJ55">
        <v>1</v>
      </c>
      <c r="CK55" t="s">
        <v>1964</v>
      </c>
      <c r="CL55">
        <v>2</v>
      </c>
      <c r="CM55" t="s">
        <v>1964</v>
      </c>
      <c r="CN55">
        <v>21</v>
      </c>
      <c r="CP55">
        <v>4</v>
      </c>
      <c r="CR55">
        <v>1</v>
      </c>
      <c r="CS55">
        <v>9</v>
      </c>
      <c r="CT55">
        <v>8</v>
      </c>
      <c r="CU55" s="3">
        <f t="shared" si="16"/>
        <v>0</v>
      </c>
      <c r="CW55">
        <v>2</v>
      </c>
      <c r="DC55">
        <v>10</v>
      </c>
      <c r="DD55" t="s">
        <v>1966</v>
      </c>
      <c r="DM55">
        <v>30</v>
      </c>
      <c r="DN55" t="s">
        <v>1993</v>
      </c>
      <c r="DO55">
        <v>7</v>
      </c>
      <c r="DP55" t="s">
        <v>1966</v>
      </c>
      <c r="EG55">
        <v>9</v>
      </c>
      <c r="EH55" t="s">
        <v>1948</v>
      </c>
      <c r="EI55">
        <v>2024</v>
      </c>
      <c r="EJ55" t="s">
        <v>1994</v>
      </c>
      <c r="EK55" t="s">
        <v>435</v>
      </c>
      <c r="EL55" t="s">
        <v>1995</v>
      </c>
      <c r="EM55" t="s">
        <v>796</v>
      </c>
      <c r="EN55" t="s">
        <v>1996</v>
      </c>
      <c r="EP55" t="s">
        <v>439</v>
      </c>
      <c r="EQ55" t="s">
        <v>440</v>
      </c>
      <c r="EV55" s="9" t="s">
        <v>2069</v>
      </c>
      <c r="EY55" s="9" t="s">
        <v>2070</v>
      </c>
      <c r="FB55" s="9" t="s">
        <v>2071</v>
      </c>
      <c r="FH55" s="9" t="s">
        <v>2072</v>
      </c>
      <c r="FN55" s="9" t="s">
        <v>2073</v>
      </c>
      <c r="FT55" t="s">
        <v>797</v>
      </c>
      <c r="FU55">
        <v>97000</v>
      </c>
      <c r="FV55" s="3">
        <f t="shared" si="17"/>
        <v>32.333333333333336</v>
      </c>
      <c r="FX55">
        <v>0</v>
      </c>
      <c r="FY55" s="3">
        <f t="shared" si="18"/>
        <v>0</v>
      </c>
      <c r="GA55">
        <v>0</v>
      </c>
      <c r="GB55" s="3">
        <f t="shared" si="19"/>
        <v>0</v>
      </c>
      <c r="GC55" t="s">
        <v>452</v>
      </c>
      <c r="GD55">
        <f t="shared" si="23"/>
        <v>2460</v>
      </c>
      <c r="GE55" s="3">
        <f t="shared" si="20"/>
        <v>0.16400000000000001</v>
      </c>
      <c r="GF55" s="3">
        <f t="shared" si="21"/>
        <v>32.497333333333337</v>
      </c>
      <c r="GG55" s="3" t="str">
        <f t="shared" si="15"/>
        <v>ALTO</v>
      </c>
    </row>
    <row r="56" spans="1:189" x14ac:dyDescent="0.3">
      <c r="A56">
        <v>55</v>
      </c>
      <c r="B56" t="s">
        <v>1951</v>
      </c>
      <c r="C56" t="s">
        <v>2091</v>
      </c>
      <c r="D56" t="s">
        <v>1937</v>
      </c>
      <c r="E56" t="s">
        <v>2659</v>
      </c>
      <c r="F56">
        <v>72440</v>
      </c>
      <c r="G56" t="s">
        <v>421</v>
      </c>
      <c r="H56" t="s">
        <v>421</v>
      </c>
      <c r="I56" t="s">
        <v>1940</v>
      </c>
      <c r="J56" t="s">
        <v>1946</v>
      </c>
      <c r="K56" t="s">
        <v>2025</v>
      </c>
      <c r="L56" t="s">
        <v>1957</v>
      </c>
      <c r="M56" s="2" t="s">
        <v>1958</v>
      </c>
      <c r="N56" t="s">
        <v>1822</v>
      </c>
      <c r="O56" t="s">
        <v>1961</v>
      </c>
      <c r="P56">
        <v>1</v>
      </c>
      <c r="Q56">
        <v>18</v>
      </c>
      <c r="R56" t="s">
        <v>1997</v>
      </c>
      <c r="S56">
        <v>2</v>
      </c>
      <c r="T56">
        <v>2</v>
      </c>
      <c r="U56">
        <v>1</v>
      </c>
      <c r="V56">
        <v>1</v>
      </c>
      <c r="W56">
        <v>1</v>
      </c>
      <c r="X56">
        <v>0</v>
      </c>
      <c r="Y56" t="s">
        <v>821</v>
      </c>
      <c r="Z56">
        <v>585</v>
      </c>
      <c r="AA56">
        <v>661.53</v>
      </c>
      <c r="AC56" t="s">
        <v>1951</v>
      </c>
      <c r="AD56" t="str">
        <f t="shared" si="22"/>
        <v>NOE MORA RAMIREZ</v>
      </c>
      <c r="AO56" t="s">
        <v>1947</v>
      </c>
      <c r="AP56" t="s">
        <v>1999</v>
      </c>
      <c r="AQ56">
        <v>6</v>
      </c>
      <c r="AR56">
        <v>0</v>
      </c>
      <c r="AS56">
        <v>3</v>
      </c>
      <c r="AT56">
        <v>3</v>
      </c>
      <c r="AU56">
        <v>0</v>
      </c>
      <c r="AV56">
        <v>0</v>
      </c>
      <c r="AX56">
        <v>210</v>
      </c>
      <c r="AY56">
        <v>3</v>
      </c>
      <c r="BB56" s="3">
        <f t="shared" si="14"/>
        <v>33</v>
      </c>
      <c r="BC56">
        <v>2</v>
      </c>
      <c r="BD56" t="s">
        <v>2000</v>
      </c>
      <c r="BE56">
        <v>12</v>
      </c>
      <c r="BF56" t="s">
        <v>1962</v>
      </c>
      <c r="BG56">
        <v>7</v>
      </c>
      <c r="BH56">
        <v>5</v>
      </c>
      <c r="BO56">
        <v>4</v>
      </c>
      <c r="BP56" t="s">
        <v>1963</v>
      </c>
      <c r="BS56" t="s">
        <v>1992</v>
      </c>
      <c r="BX56">
        <v>1</v>
      </c>
      <c r="BY56" t="s">
        <v>1964</v>
      </c>
      <c r="BZ56">
        <v>2</v>
      </c>
      <c r="CA56" t="s">
        <v>1964</v>
      </c>
      <c r="CB56">
        <v>5</v>
      </c>
      <c r="CC56" t="s">
        <v>1964</v>
      </c>
      <c r="CF56">
        <v>1</v>
      </c>
      <c r="CG56" t="s">
        <v>2000</v>
      </c>
      <c r="CH56">
        <v>4</v>
      </c>
      <c r="CI56" t="s">
        <v>1964</v>
      </c>
      <c r="CJ56">
        <v>1</v>
      </c>
      <c r="CK56" t="s">
        <v>1964</v>
      </c>
      <c r="CL56">
        <v>2</v>
      </c>
      <c r="CM56" t="s">
        <v>1964</v>
      </c>
      <c r="CN56">
        <v>11</v>
      </c>
      <c r="CQ56">
        <v>1</v>
      </c>
      <c r="CR56">
        <v>1</v>
      </c>
      <c r="CS56">
        <v>2</v>
      </c>
      <c r="CT56">
        <v>4</v>
      </c>
      <c r="CU56" s="3">
        <f t="shared" si="16"/>
        <v>1</v>
      </c>
      <c r="CV56">
        <v>1</v>
      </c>
      <c r="DM56">
        <v>5</v>
      </c>
      <c r="DN56" t="s">
        <v>1993</v>
      </c>
      <c r="DO56">
        <v>1</v>
      </c>
      <c r="DP56" t="s">
        <v>1966</v>
      </c>
      <c r="EG56">
        <v>9</v>
      </c>
      <c r="EH56" t="s">
        <v>1948</v>
      </c>
      <c r="EI56">
        <v>2024</v>
      </c>
      <c r="EJ56" t="s">
        <v>2001</v>
      </c>
      <c r="EK56" t="s">
        <v>2002</v>
      </c>
      <c r="EL56" t="s">
        <v>2003</v>
      </c>
      <c r="EM56" t="s">
        <v>796</v>
      </c>
      <c r="EN56" t="s">
        <v>796</v>
      </c>
      <c r="EP56" t="s">
        <v>439</v>
      </c>
      <c r="EQ56" t="s">
        <v>440</v>
      </c>
      <c r="EV56" s="9" t="s">
        <v>2069</v>
      </c>
      <c r="EY56" s="9" t="s">
        <v>2070</v>
      </c>
      <c r="FB56" s="9" t="s">
        <v>2071</v>
      </c>
      <c r="FH56" s="9" t="s">
        <v>2072</v>
      </c>
      <c r="FN56" s="9" t="s">
        <v>2073</v>
      </c>
      <c r="FT56" t="s">
        <v>2004</v>
      </c>
      <c r="FU56">
        <v>60</v>
      </c>
      <c r="FV56" s="3">
        <f t="shared" si="17"/>
        <v>0.02</v>
      </c>
      <c r="FX56">
        <v>0</v>
      </c>
      <c r="FY56" s="3">
        <f t="shared" si="18"/>
        <v>0</v>
      </c>
      <c r="GA56">
        <v>0</v>
      </c>
      <c r="GB56" s="3">
        <f t="shared" si="19"/>
        <v>0</v>
      </c>
      <c r="GC56" t="s">
        <v>452</v>
      </c>
      <c r="GD56">
        <f t="shared" si="23"/>
        <v>360</v>
      </c>
      <c r="GE56" s="3">
        <f t="shared" si="20"/>
        <v>2.4E-2</v>
      </c>
      <c r="GF56" s="3">
        <f t="shared" si="21"/>
        <v>4.3999999999999997E-2</v>
      </c>
      <c r="GG56" s="3" t="str">
        <f t="shared" si="15"/>
        <v>ORDINARIO</v>
      </c>
    </row>
    <row r="57" spans="1:189" x14ac:dyDescent="0.3">
      <c r="A57">
        <v>56</v>
      </c>
      <c r="B57" t="s">
        <v>1952</v>
      </c>
      <c r="C57" t="s">
        <v>2091</v>
      </c>
      <c r="D57" t="s">
        <v>1937</v>
      </c>
      <c r="E57" t="s">
        <v>2660</v>
      </c>
      <c r="F57">
        <v>72440</v>
      </c>
      <c r="G57" t="s">
        <v>421</v>
      </c>
      <c r="H57" t="s">
        <v>421</v>
      </c>
      <c r="I57" t="s">
        <v>1941</v>
      </c>
      <c r="J57" t="s">
        <v>1946</v>
      </c>
      <c r="K57" t="s">
        <v>2025</v>
      </c>
      <c r="L57" t="s">
        <v>1957</v>
      </c>
      <c r="M57" s="2" t="s">
        <v>1958</v>
      </c>
      <c r="N57" t="s">
        <v>1822</v>
      </c>
      <c r="O57" t="s">
        <v>1961</v>
      </c>
      <c r="P57">
        <v>1</v>
      </c>
      <c r="Q57">
        <v>43</v>
      </c>
      <c r="R57" t="s">
        <v>2005</v>
      </c>
      <c r="S57">
        <v>3</v>
      </c>
      <c r="T57">
        <v>5</v>
      </c>
      <c r="U57">
        <v>1</v>
      </c>
      <c r="V57">
        <v>1</v>
      </c>
      <c r="W57">
        <v>2</v>
      </c>
      <c r="X57">
        <v>0</v>
      </c>
      <c r="Y57" t="s">
        <v>821</v>
      </c>
      <c r="Z57">
        <v>1272</v>
      </c>
      <c r="AA57">
        <v>4473.59</v>
      </c>
      <c r="AC57" t="s">
        <v>1952</v>
      </c>
      <c r="AD57" t="str">
        <f t="shared" si="22"/>
        <v>JORGE MANUEL ISLAS GOWER</v>
      </c>
      <c r="AO57" t="s">
        <v>1947</v>
      </c>
      <c r="AP57" t="s">
        <v>2006</v>
      </c>
      <c r="AQ57">
        <v>64</v>
      </c>
      <c r="AR57">
        <v>0</v>
      </c>
      <c r="AS57">
        <v>30</v>
      </c>
      <c r="AT57">
        <v>34</v>
      </c>
      <c r="AU57">
        <v>0</v>
      </c>
      <c r="AV57">
        <v>0</v>
      </c>
      <c r="AX57">
        <v>1029</v>
      </c>
      <c r="AY57">
        <v>20</v>
      </c>
      <c r="BB57" s="3">
        <f t="shared" si="14"/>
        <v>164</v>
      </c>
      <c r="BC57">
        <v>2</v>
      </c>
      <c r="BD57" t="s">
        <v>2007</v>
      </c>
      <c r="BE57">
        <v>30</v>
      </c>
      <c r="BF57" t="s">
        <v>1962</v>
      </c>
      <c r="BG57">
        <v>18</v>
      </c>
      <c r="BH57">
        <v>12</v>
      </c>
      <c r="BO57">
        <v>6</v>
      </c>
      <c r="BP57" t="s">
        <v>1963</v>
      </c>
      <c r="BS57" t="s">
        <v>1992</v>
      </c>
      <c r="BV57">
        <v>1</v>
      </c>
      <c r="BW57" t="s">
        <v>2008</v>
      </c>
      <c r="CB57">
        <v>5</v>
      </c>
      <c r="CC57" t="s">
        <v>1964</v>
      </c>
      <c r="CD57">
        <v>1</v>
      </c>
      <c r="CE57" t="s">
        <v>1964</v>
      </c>
      <c r="CF57">
        <v>2</v>
      </c>
      <c r="CG57" t="s">
        <v>1985</v>
      </c>
      <c r="CH57">
        <v>1</v>
      </c>
      <c r="CI57" t="s">
        <v>1964</v>
      </c>
      <c r="CL57">
        <v>2</v>
      </c>
      <c r="CM57" t="s">
        <v>1964</v>
      </c>
      <c r="CN57">
        <v>94</v>
      </c>
      <c r="CO57">
        <v>2</v>
      </c>
      <c r="CP57">
        <v>9</v>
      </c>
      <c r="CQ57">
        <v>7</v>
      </c>
      <c r="CR57">
        <v>4</v>
      </c>
      <c r="CS57">
        <v>10</v>
      </c>
      <c r="CT57">
        <v>11</v>
      </c>
      <c r="CU57" s="3">
        <f t="shared" si="16"/>
        <v>5</v>
      </c>
      <c r="CV57">
        <v>5</v>
      </c>
      <c r="DC57">
        <v>17</v>
      </c>
      <c r="DD57" t="s">
        <v>1966</v>
      </c>
      <c r="DM57">
        <v>47</v>
      </c>
      <c r="DN57" t="s">
        <v>1993</v>
      </c>
      <c r="DO57">
        <v>9</v>
      </c>
      <c r="DP57" t="s">
        <v>1966</v>
      </c>
      <c r="EG57">
        <v>9</v>
      </c>
      <c r="EH57" t="s">
        <v>1948</v>
      </c>
      <c r="EI57">
        <v>2024</v>
      </c>
      <c r="EJ57" t="s">
        <v>2009</v>
      </c>
      <c r="EK57" t="s">
        <v>2010</v>
      </c>
      <c r="EL57" t="s">
        <v>1736</v>
      </c>
      <c r="EM57" t="s">
        <v>2011</v>
      </c>
      <c r="EN57" t="s">
        <v>796</v>
      </c>
      <c r="EP57" t="s">
        <v>439</v>
      </c>
      <c r="EQ57" t="s">
        <v>440</v>
      </c>
      <c r="EV57" s="9" t="s">
        <v>2069</v>
      </c>
      <c r="EY57" s="9" t="s">
        <v>2070</v>
      </c>
      <c r="FB57" s="9" t="s">
        <v>2071</v>
      </c>
      <c r="FH57" s="9" t="s">
        <v>2072</v>
      </c>
      <c r="FN57" s="9" t="s">
        <v>2073</v>
      </c>
      <c r="FU57">
        <v>0</v>
      </c>
      <c r="FV57" s="3">
        <f t="shared" si="17"/>
        <v>0</v>
      </c>
      <c r="FX57">
        <v>0</v>
      </c>
      <c r="FY57" s="3">
        <f t="shared" si="18"/>
        <v>0</v>
      </c>
      <c r="GA57">
        <v>0</v>
      </c>
      <c r="GB57" s="3">
        <f t="shared" si="19"/>
        <v>0</v>
      </c>
      <c r="GC57" t="s">
        <v>452</v>
      </c>
      <c r="GD57">
        <f t="shared" si="23"/>
        <v>3840</v>
      </c>
      <c r="GE57" s="3">
        <f t="shared" si="20"/>
        <v>0.25600000000000001</v>
      </c>
      <c r="GF57" s="3">
        <f t="shared" si="21"/>
        <v>0.25600000000000001</v>
      </c>
      <c r="GG57" s="3" t="str">
        <f t="shared" si="15"/>
        <v>ALTO</v>
      </c>
    </row>
    <row r="58" spans="1:189" x14ac:dyDescent="0.3">
      <c r="A58">
        <v>57</v>
      </c>
      <c r="B58" t="s">
        <v>1953</v>
      </c>
      <c r="C58" t="s">
        <v>2091</v>
      </c>
      <c r="D58" t="s">
        <v>1937</v>
      </c>
      <c r="E58" t="s">
        <v>2661</v>
      </c>
      <c r="F58">
        <v>72440</v>
      </c>
      <c r="G58" t="s">
        <v>421</v>
      </c>
      <c r="H58" t="s">
        <v>421</v>
      </c>
      <c r="I58" t="s">
        <v>1942</v>
      </c>
      <c r="J58" t="s">
        <v>1946</v>
      </c>
      <c r="K58" t="s">
        <v>2025</v>
      </c>
      <c r="L58" t="s">
        <v>1957</v>
      </c>
      <c r="M58" s="2" t="s">
        <v>1958</v>
      </c>
      <c r="N58" t="s">
        <v>1822</v>
      </c>
      <c r="O58" t="s">
        <v>1961</v>
      </c>
      <c r="P58">
        <v>1</v>
      </c>
      <c r="Q58">
        <v>3</v>
      </c>
      <c r="R58" t="s">
        <v>2012</v>
      </c>
      <c r="S58">
        <v>1</v>
      </c>
      <c r="T58">
        <v>1</v>
      </c>
      <c r="U58">
        <v>1</v>
      </c>
      <c r="V58">
        <v>1</v>
      </c>
      <c r="W58">
        <v>0</v>
      </c>
      <c r="X58">
        <v>0</v>
      </c>
      <c r="Y58" t="s">
        <v>821</v>
      </c>
      <c r="Z58">
        <v>496</v>
      </c>
      <c r="AA58">
        <v>298.74</v>
      </c>
      <c r="AC58" t="s">
        <v>1953</v>
      </c>
      <c r="AD58" t="str">
        <f t="shared" si="22"/>
        <v>NOE MORA RAMIREZ</v>
      </c>
      <c r="AO58" t="s">
        <v>1947</v>
      </c>
      <c r="AP58" t="s">
        <v>2013</v>
      </c>
      <c r="AQ58">
        <v>6</v>
      </c>
      <c r="AR58">
        <v>0</v>
      </c>
      <c r="AS58">
        <v>2</v>
      </c>
      <c r="AT58">
        <v>4</v>
      </c>
      <c r="AU58">
        <v>0</v>
      </c>
      <c r="AV58">
        <v>0</v>
      </c>
      <c r="AX58">
        <v>55</v>
      </c>
      <c r="AY58">
        <v>2</v>
      </c>
      <c r="BB58" s="3">
        <f t="shared" si="14"/>
        <v>25</v>
      </c>
      <c r="BC58">
        <v>2</v>
      </c>
      <c r="BD58" t="s">
        <v>2007</v>
      </c>
      <c r="BE58">
        <v>9</v>
      </c>
      <c r="BF58" t="s">
        <v>1962</v>
      </c>
      <c r="BG58">
        <v>6</v>
      </c>
      <c r="BH58">
        <v>3</v>
      </c>
      <c r="BO58">
        <v>2</v>
      </c>
      <c r="BP58" t="s">
        <v>1963</v>
      </c>
      <c r="BQ58">
        <v>2</v>
      </c>
      <c r="BS58" t="s">
        <v>528</v>
      </c>
      <c r="BZ58">
        <v>3</v>
      </c>
      <c r="CA58" t="s">
        <v>1964</v>
      </c>
      <c r="CB58">
        <v>6</v>
      </c>
      <c r="CC58" t="s">
        <v>1964</v>
      </c>
      <c r="CF58">
        <v>1</v>
      </c>
      <c r="CG58" t="s">
        <v>1964</v>
      </c>
      <c r="CH58">
        <v>3</v>
      </c>
      <c r="CI58" t="s">
        <v>1964</v>
      </c>
      <c r="CL58">
        <v>2</v>
      </c>
      <c r="CM58" t="s">
        <v>1964</v>
      </c>
      <c r="CN58">
        <v>6</v>
      </c>
      <c r="CP58">
        <v>4</v>
      </c>
      <c r="CR58">
        <v>1</v>
      </c>
      <c r="CS58">
        <v>1</v>
      </c>
      <c r="CT58">
        <v>1</v>
      </c>
      <c r="CU58" s="3">
        <f t="shared" si="16"/>
        <v>0</v>
      </c>
      <c r="DM58">
        <v>1</v>
      </c>
      <c r="DN58" t="s">
        <v>1993</v>
      </c>
      <c r="EG58">
        <v>9</v>
      </c>
      <c r="EH58" t="s">
        <v>1948</v>
      </c>
      <c r="EI58">
        <v>2024</v>
      </c>
      <c r="EJ58" t="s">
        <v>2014</v>
      </c>
      <c r="EK58" t="s">
        <v>435</v>
      </c>
      <c r="EL58" t="s">
        <v>1736</v>
      </c>
      <c r="EM58" t="s">
        <v>796</v>
      </c>
      <c r="EN58" t="s">
        <v>796</v>
      </c>
      <c r="EP58" t="s">
        <v>439</v>
      </c>
      <c r="EQ58" t="s">
        <v>440</v>
      </c>
      <c r="EV58" s="9" t="s">
        <v>2069</v>
      </c>
      <c r="EY58" s="9" t="s">
        <v>2070</v>
      </c>
      <c r="FB58" s="9" t="s">
        <v>2071</v>
      </c>
      <c r="FH58" s="9" t="s">
        <v>2072</v>
      </c>
      <c r="FN58" s="9" t="s">
        <v>2073</v>
      </c>
      <c r="FT58" t="s">
        <v>2004</v>
      </c>
      <c r="FU58">
        <v>20</v>
      </c>
      <c r="FV58" s="3">
        <f t="shared" si="17"/>
        <v>6.6666666666666671E-3</v>
      </c>
      <c r="FX58">
        <v>0</v>
      </c>
      <c r="FY58" s="3">
        <f t="shared" si="18"/>
        <v>0</v>
      </c>
      <c r="GA58">
        <v>0</v>
      </c>
      <c r="GB58" s="3">
        <f t="shared" si="19"/>
        <v>0</v>
      </c>
      <c r="GC58" t="s">
        <v>452</v>
      </c>
      <c r="GD58">
        <f t="shared" si="23"/>
        <v>360</v>
      </c>
      <c r="GE58" s="3">
        <f t="shared" si="20"/>
        <v>2.4E-2</v>
      </c>
      <c r="GF58" s="3">
        <f t="shared" si="21"/>
        <v>3.0666666666666668E-2</v>
      </c>
      <c r="GG58" s="3" t="str">
        <f t="shared" si="15"/>
        <v>ORDINARIO</v>
      </c>
    </row>
    <row r="59" spans="1:189" x14ac:dyDescent="0.3">
      <c r="A59">
        <v>58</v>
      </c>
      <c r="B59" t="s">
        <v>1954</v>
      </c>
      <c r="C59" t="s">
        <v>2091</v>
      </c>
      <c r="D59" t="s">
        <v>1937</v>
      </c>
      <c r="E59" t="s">
        <v>2662</v>
      </c>
      <c r="F59">
        <v>72440</v>
      </c>
      <c r="G59" t="s">
        <v>421</v>
      </c>
      <c r="H59" t="s">
        <v>421</v>
      </c>
      <c r="I59" t="s">
        <v>1943</v>
      </c>
      <c r="J59" t="s">
        <v>1946</v>
      </c>
      <c r="K59" t="s">
        <v>2025</v>
      </c>
      <c r="L59" t="s">
        <v>1957</v>
      </c>
      <c r="M59" s="2" t="s">
        <v>1958</v>
      </c>
      <c r="N59" t="s">
        <v>1822</v>
      </c>
      <c r="O59" t="s">
        <v>1961</v>
      </c>
      <c r="P59">
        <v>1</v>
      </c>
      <c r="Q59">
        <v>8</v>
      </c>
      <c r="R59" t="s">
        <v>2015</v>
      </c>
      <c r="S59">
        <v>2</v>
      </c>
      <c r="T59">
        <v>3</v>
      </c>
      <c r="U59">
        <v>2</v>
      </c>
      <c r="V59">
        <v>1</v>
      </c>
      <c r="W59">
        <v>2</v>
      </c>
      <c r="X59">
        <v>0</v>
      </c>
      <c r="Y59" t="s">
        <v>821</v>
      </c>
      <c r="Z59">
        <v>2225</v>
      </c>
      <c r="AA59">
        <v>2206.85</v>
      </c>
      <c r="AC59" t="s">
        <v>1954</v>
      </c>
      <c r="AD59" t="str">
        <f t="shared" si="22"/>
        <v>JORGE MANUEL ISLAS GOWER</v>
      </c>
      <c r="AO59" t="s">
        <v>1947</v>
      </c>
      <c r="AP59" t="s">
        <v>2013</v>
      </c>
      <c r="AQ59">
        <v>16</v>
      </c>
      <c r="AR59">
        <v>0</v>
      </c>
      <c r="AS59">
        <v>7</v>
      </c>
      <c r="AT59">
        <v>9</v>
      </c>
      <c r="AU59">
        <v>0</v>
      </c>
      <c r="AV59">
        <v>0</v>
      </c>
      <c r="AX59">
        <v>515</v>
      </c>
      <c r="AY59">
        <v>10</v>
      </c>
      <c r="BB59" s="3">
        <f t="shared" si="14"/>
        <v>78</v>
      </c>
      <c r="BC59">
        <v>2</v>
      </c>
      <c r="BD59" t="s">
        <v>2007</v>
      </c>
      <c r="BE59">
        <v>26</v>
      </c>
      <c r="BF59" t="s">
        <v>1962</v>
      </c>
      <c r="BG59">
        <v>22</v>
      </c>
      <c r="BH59">
        <v>4</v>
      </c>
      <c r="BO59">
        <v>2</v>
      </c>
      <c r="BP59" t="s">
        <v>1963</v>
      </c>
      <c r="BQ59">
        <v>2</v>
      </c>
      <c r="BS59" t="s">
        <v>528</v>
      </c>
      <c r="BZ59">
        <v>3</v>
      </c>
      <c r="CA59" t="s">
        <v>1964</v>
      </c>
      <c r="CB59">
        <v>6</v>
      </c>
      <c r="CC59" t="s">
        <v>1964</v>
      </c>
      <c r="CF59">
        <v>1</v>
      </c>
      <c r="CG59" t="s">
        <v>1964</v>
      </c>
      <c r="CH59">
        <v>3</v>
      </c>
      <c r="CI59" t="s">
        <v>1964</v>
      </c>
      <c r="CL59">
        <v>2</v>
      </c>
      <c r="CM59" t="s">
        <v>1964</v>
      </c>
      <c r="CN59">
        <v>35</v>
      </c>
      <c r="CP59">
        <v>7</v>
      </c>
      <c r="CR59">
        <v>1</v>
      </c>
      <c r="CS59">
        <v>5</v>
      </c>
      <c r="CT59">
        <v>3</v>
      </c>
      <c r="CU59" s="3">
        <f t="shared" si="16"/>
        <v>1</v>
      </c>
      <c r="CV59">
        <v>1</v>
      </c>
      <c r="DC59">
        <v>6</v>
      </c>
      <c r="DD59" t="s">
        <v>1966</v>
      </c>
      <c r="DM59">
        <v>20</v>
      </c>
      <c r="DN59" t="s">
        <v>1993</v>
      </c>
      <c r="DO59">
        <v>3</v>
      </c>
      <c r="DP59" t="s">
        <v>1966</v>
      </c>
      <c r="EG59">
        <v>9</v>
      </c>
      <c r="EH59" t="s">
        <v>1948</v>
      </c>
      <c r="EI59">
        <v>2024</v>
      </c>
      <c r="EJ59" t="s">
        <v>2016</v>
      </c>
      <c r="EK59" t="s">
        <v>435</v>
      </c>
      <c r="EL59" t="s">
        <v>1736</v>
      </c>
      <c r="EM59" t="s">
        <v>796</v>
      </c>
      <c r="EN59" t="s">
        <v>796</v>
      </c>
      <c r="EP59" t="s">
        <v>439</v>
      </c>
      <c r="EQ59" t="s">
        <v>440</v>
      </c>
      <c r="EV59" s="9" t="s">
        <v>2069</v>
      </c>
      <c r="EY59" s="9" t="s">
        <v>2070</v>
      </c>
      <c r="FB59" s="9" t="s">
        <v>2071</v>
      </c>
      <c r="FH59" s="9" t="s">
        <v>2072</v>
      </c>
      <c r="FN59" s="9" t="s">
        <v>2073</v>
      </c>
      <c r="FT59" t="s">
        <v>797</v>
      </c>
      <c r="FU59">
        <v>128000</v>
      </c>
      <c r="FV59" s="3">
        <f t="shared" si="17"/>
        <v>42.666666666666664</v>
      </c>
      <c r="FX59">
        <v>0</v>
      </c>
      <c r="FY59" s="3">
        <f t="shared" si="18"/>
        <v>0</v>
      </c>
      <c r="GA59">
        <v>0</v>
      </c>
      <c r="GB59" s="3">
        <f t="shared" si="19"/>
        <v>0</v>
      </c>
      <c r="GC59" t="s">
        <v>452</v>
      </c>
      <c r="GD59">
        <f t="shared" si="23"/>
        <v>960</v>
      </c>
      <c r="GE59" s="3">
        <f t="shared" si="20"/>
        <v>6.4000000000000001E-2</v>
      </c>
      <c r="GF59" s="3">
        <f t="shared" si="21"/>
        <v>42.730666666666664</v>
      </c>
      <c r="GG59" s="3" t="str">
        <f t="shared" si="15"/>
        <v>ALTO</v>
      </c>
    </row>
    <row r="60" spans="1:189" x14ac:dyDescent="0.3">
      <c r="A60">
        <v>59</v>
      </c>
      <c r="B60" t="s">
        <v>1955</v>
      </c>
      <c r="C60" t="s">
        <v>2091</v>
      </c>
      <c r="D60" t="s">
        <v>1937</v>
      </c>
      <c r="E60" t="s">
        <v>2663</v>
      </c>
      <c r="F60">
        <v>72440</v>
      </c>
      <c r="G60" t="s">
        <v>421</v>
      </c>
      <c r="H60" t="s">
        <v>421</v>
      </c>
      <c r="I60" t="s">
        <v>1944</v>
      </c>
      <c r="J60" t="s">
        <v>1946</v>
      </c>
      <c r="K60" t="s">
        <v>2025</v>
      </c>
      <c r="L60" t="s">
        <v>1957</v>
      </c>
      <c r="M60" s="2" t="s">
        <v>1958</v>
      </c>
      <c r="N60" t="s">
        <v>1822</v>
      </c>
      <c r="O60" t="s">
        <v>1961</v>
      </c>
      <c r="P60">
        <v>1</v>
      </c>
      <c r="Q60">
        <v>3</v>
      </c>
      <c r="R60" t="s">
        <v>2012</v>
      </c>
      <c r="S60">
        <v>1</v>
      </c>
      <c r="T60">
        <v>5</v>
      </c>
      <c r="U60">
        <v>2</v>
      </c>
      <c r="V60">
        <v>1</v>
      </c>
      <c r="W60">
        <v>1</v>
      </c>
      <c r="X60">
        <v>0</v>
      </c>
      <c r="Y60" t="s">
        <v>498</v>
      </c>
      <c r="Z60">
        <v>1995</v>
      </c>
      <c r="AA60">
        <v>4052.67</v>
      </c>
      <c r="AC60" t="s">
        <v>1955</v>
      </c>
      <c r="AD60" t="str">
        <f t="shared" si="22"/>
        <v>JORGE MANUEL ISLAS GOWER</v>
      </c>
      <c r="AO60" t="s">
        <v>1947</v>
      </c>
      <c r="AP60" t="s">
        <v>2017</v>
      </c>
      <c r="AQ60">
        <v>11</v>
      </c>
      <c r="AR60">
        <v>0</v>
      </c>
      <c r="AS60">
        <v>5</v>
      </c>
      <c r="AT60">
        <v>6</v>
      </c>
      <c r="AU60">
        <v>0</v>
      </c>
      <c r="AV60">
        <v>0</v>
      </c>
      <c r="AX60">
        <v>810</v>
      </c>
      <c r="AY60">
        <v>10</v>
      </c>
      <c r="BB60" s="3">
        <f t="shared" si="14"/>
        <v>90</v>
      </c>
      <c r="BC60">
        <v>1</v>
      </c>
      <c r="BD60" t="s">
        <v>2018</v>
      </c>
      <c r="BE60">
        <v>15</v>
      </c>
      <c r="BF60" t="s">
        <v>1962</v>
      </c>
      <c r="BG60">
        <v>7</v>
      </c>
      <c r="BH60">
        <v>8</v>
      </c>
      <c r="BO60">
        <v>1</v>
      </c>
      <c r="BP60" t="s">
        <v>1963</v>
      </c>
      <c r="BS60" t="s">
        <v>1992</v>
      </c>
      <c r="BX60">
        <v>2</v>
      </c>
      <c r="BY60" t="s">
        <v>1964</v>
      </c>
      <c r="CB60">
        <v>3</v>
      </c>
      <c r="CC60" t="s">
        <v>1964</v>
      </c>
      <c r="CF60">
        <v>1</v>
      </c>
      <c r="CG60" t="s">
        <v>1964</v>
      </c>
      <c r="CH60">
        <v>3</v>
      </c>
      <c r="CI60" t="s">
        <v>1964</v>
      </c>
      <c r="CJ60">
        <v>3</v>
      </c>
      <c r="CK60" t="s">
        <v>1964</v>
      </c>
      <c r="CN60">
        <v>26</v>
      </c>
      <c r="CO60">
        <v>14</v>
      </c>
      <c r="CP60">
        <v>25</v>
      </c>
      <c r="CR60">
        <v>1</v>
      </c>
      <c r="CS60">
        <v>7</v>
      </c>
      <c r="CT60">
        <v>6</v>
      </c>
      <c r="CU60" s="3">
        <f t="shared" si="16"/>
        <v>7</v>
      </c>
      <c r="CV60">
        <v>7</v>
      </c>
      <c r="DC60">
        <v>27</v>
      </c>
      <c r="DD60" t="s">
        <v>1966</v>
      </c>
      <c r="DM60">
        <v>20</v>
      </c>
      <c r="DN60" t="s">
        <v>1993</v>
      </c>
      <c r="DO60">
        <v>25</v>
      </c>
      <c r="DP60" t="s">
        <v>1966</v>
      </c>
      <c r="EG60">
        <v>9</v>
      </c>
      <c r="EH60" t="s">
        <v>1948</v>
      </c>
      <c r="EI60">
        <v>2024</v>
      </c>
      <c r="EJ60" t="s">
        <v>2019</v>
      </c>
      <c r="EK60" t="s">
        <v>2020</v>
      </c>
      <c r="EL60" t="s">
        <v>1736</v>
      </c>
      <c r="EM60" t="s">
        <v>796</v>
      </c>
      <c r="EN60" t="s">
        <v>1988</v>
      </c>
      <c r="EP60" t="s">
        <v>439</v>
      </c>
      <c r="EQ60" t="s">
        <v>440</v>
      </c>
      <c r="EV60" s="9" t="s">
        <v>2069</v>
      </c>
      <c r="EY60" s="9" t="s">
        <v>2070</v>
      </c>
      <c r="FB60" s="9" t="s">
        <v>2071</v>
      </c>
      <c r="FH60" s="9" t="s">
        <v>2072</v>
      </c>
      <c r="FN60" s="9" t="s">
        <v>2073</v>
      </c>
      <c r="FU60">
        <v>0</v>
      </c>
      <c r="FV60" s="3">
        <f t="shared" si="17"/>
        <v>0</v>
      </c>
      <c r="FX60">
        <v>0</v>
      </c>
      <c r="FY60" s="3">
        <f t="shared" si="18"/>
        <v>0</v>
      </c>
      <c r="GA60">
        <v>0</v>
      </c>
      <c r="GB60" s="3">
        <f t="shared" si="19"/>
        <v>0</v>
      </c>
      <c r="GC60" t="s">
        <v>452</v>
      </c>
      <c r="GD60">
        <f t="shared" si="23"/>
        <v>660</v>
      </c>
      <c r="GE60" s="3">
        <f t="shared" si="20"/>
        <v>4.3999999999999997E-2</v>
      </c>
      <c r="GF60" s="3">
        <f t="shared" si="21"/>
        <v>4.3999999999999997E-2</v>
      </c>
      <c r="GG60" s="3" t="str">
        <f t="shared" si="15"/>
        <v>ALTO</v>
      </c>
    </row>
    <row r="61" spans="1:189" x14ac:dyDescent="0.3">
      <c r="A61">
        <v>60</v>
      </c>
      <c r="B61" t="s">
        <v>1956</v>
      </c>
      <c r="C61" t="s">
        <v>2091</v>
      </c>
      <c r="D61" t="s">
        <v>1937</v>
      </c>
      <c r="E61" t="s">
        <v>2664</v>
      </c>
      <c r="F61">
        <v>72440</v>
      </c>
      <c r="G61" t="s">
        <v>421</v>
      </c>
      <c r="H61" t="s">
        <v>421</v>
      </c>
      <c r="I61" t="s">
        <v>1945</v>
      </c>
      <c r="J61" t="s">
        <v>1946</v>
      </c>
      <c r="K61" t="s">
        <v>2025</v>
      </c>
      <c r="L61" t="s">
        <v>1957</v>
      </c>
      <c r="M61" s="2" t="s">
        <v>1958</v>
      </c>
      <c r="N61" t="s">
        <v>1822</v>
      </c>
      <c r="O61" t="s">
        <v>1961</v>
      </c>
      <c r="P61">
        <v>1</v>
      </c>
      <c r="Q61">
        <v>9</v>
      </c>
      <c r="R61" t="s">
        <v>2021</v>
      </c>
      <c r="S61">
        <v>2</v>
      </c>
      <c r="T61">
        <v>2</v>
      </c>
      <c r="U61">
        <v>1</v>
      </c>
      <c r="V61">
        <v>1</v>
      </c>
      <c r="W61">
        <v>2</v>
      </c>
      <c r="X61">
        <v>0</v>
      </c>
      <c r="Y61" t="s">
        <v>821</v>
      </c>
      <c r="Z61">
        <v>954</v>
      </c>
      <c r="AA61">
        <v>858.66</v>
      </c>
      <c r="AC61" t="s">
        <v>1956</v>
      </c>
      <c r="AD61" t="str">
        <f t="shared" si="22"/>
        <v>NOE MORA RAMIREZ</v>
      </c>
      <c r="AO61" t="s">
        <v>1947</v>
      </c>
      <c r="AP61" t="s">
        <v>2022</v>
      </c>
      <c r="AQ61">
        <v>42</v>
      </c>
      <c r="AR61">
        <v>0</v>
      </c>
      <c r="AS61">
        <v>18</v>
      </c>
      <c r="AT61">
        <v>24</v>
      </c>
      <c r="AU61">
        <v>0</v>
      </c>
      <c r="AV61">
        <v>0</v>
      </c>
      <c r="AX61">
        <v>130</v>
      </c>
      <c r="AY61">
        <v>10</v>
      </c>
      <c r="BB61" s="3">
        <f t="shared" si="14"/>
        <v>38</v>
      </c>
      <c r="BC61">
        <v>2</v>
      </c>
      <c r="BD61" t="s">
        <v>2023</v>
      </c>
      <c r="BE61">
        <v>12</v>
      </c>
      <c r="BF61" t="s">
        <v>1962</v>
      </c>
      <c r="BG61">
        <v>11</v>
      </c>
      <c r="BH61">
        <v>1</v>
      </c>
      <c r="BO61">
        <v>1</v>
      </c>
      <c r="BP61" t="s">
        <v>1963</v>
      </c>
      <c r="BS61" t="s">
        <v>528</v>
      </c>
      <c r="BV61">
        <v>1</v>
      </c>
      <c r="BW61" t="s">
        <v>739</v>
      </c>
      <c r="BX61">
        <v>2</v>
      </c>
      <c r="BY61" t="s">
        <v>1964</v>
      </c>
      <c r="CB61">
        <v>5</v>
      </c>
      <c r="CC61" t="s">
        <v>1964</v>
      </c>
      <c r="CD61">
        <v>2</v>
      </c>
      <c r="CE61" t="s">
        <v>1964</v>
      </c>
      <c r="CH61">
        <v>1</v>
      </c>
      <c r="CI61" t="s">
        <v>1964</v>
      </c>
      <c r="CL61">
        <v>2</v>
      </c>
      <c r="CM61" t="s">
        <v>1964</v>
      </c>
      <c r="CN61">
        <v>18</v>
      </c>
      <c r="CP61">
        <v>2</v>
      </c>
      <c r="CQ61">
        <v>1</v>
      </c>
      <c r="CR61">
        <v>1</v>
      </c>
      <c r="CS61">
        <v>1</v>
      </c>
      <c r="CT61">
        <v>3</v>
      </c>
      <c r="CU61" s="3">
        <f t="shared" si="16"/>
        <v>0</v>
      </c>
      <c r="CW61">
        <v>2</v>
      </c>
      <c r="DM61">
        <v>20</v>
      </c>
      <c r="DN61" t="s">
        <v>1993</v>
      </c>
      <c r="DO61">
        <v>2</v>
      </c>
      <c r="DP61" t="s">
        <v>1966</v>
      </c>
      <c r="EG61">
        <v>9</v>
      </c>
      <c r="EH61" t="s">
        <v>1948</v>
      </c>
      <c r="EI61">
        <v>2024</v>
      </c>
      <c r="EJ61" t="s">
        <v>2024</v>
      </c>
      <c r="EK61" t="s">
        <v>435</v>
      </c>
      <c r="EL61" t="s">
        <v>1736</v>
      </c>
      <c r="EM61" t="s">
        <v>796</v>
      </c>
      <c r="EN61" t="s">
        <v>796</v>
      </c>
      <c r="EP61" t="s">
        <v>439</v>
      </c>
      <c r="EQ61" t="s">
        <v>440</v>
      </c>
      <c r="EV61" s="9" t="s">
        <v>2069</v>
      </c>
      <c r="EY61" s="9" t="s">
        <v>2070</v>
      </c>
      <c r="FB61" s="9" t="s">
        <v>2071</v>
      </c>
      <c r="FH61" s="9" t="s">
        <v>2072</v>
      </c>
      <c r="FN61" s="9" t="s">
        <v>2073</v>
      </c>
      <c r="FT61" t="s">
        <v>797</v>
      </c>
      <c r="FU61">
        <v>1000</v>
      </c>
      <c r="FV61" s="3">
        <f t="shared" si="17"/>
        <v>0.33333333333333331</v>
      </c>
      <c r="FX61">
        <v>0</v>
      </c>
      <c r="FY61" s="3">
        <f t="shared" si="18"/>
        <v>0</v>
      </c>
      <c r="GA61">
        <v>0</v>
      </c>
      <c r="GB61" s="3">
        <f t="shared" si="19"/>
        <v>0</v>
      </c>
      <c r="GC61" t="s">
        <v>452</v>
      </c>
      <c r="GD61">
        <f t="shared" si="23"/>
        <v>2520</v>
      </c>
      <c r="GE61" s="3">
        <f t="shared" si="20"/>
        <v>0.16800000000000001</v>
      </c>
      <c r="GF61" s="3">
        <f t="shared" si="21"/>
        <v>0.5013333333333333</v>
      </c>
      <c r="GG61" s="3" t="str">
        <f t="shared" si="15"/>
        <v>ORDINARIO</v>
      </c>
    </row>
    <row r="62" spans="1:189" x14ac:dyDescent="0.3">
      <c r="A62">
        <v>61</v>
      </c>
      <c r="B62" t="s">
        <v>2074</v>
      </c>
      <c r="C62" t="s">
        <v>541</v>
      </c>
      <c r="D62" t="s">
        <v>2594</v>
      </c>
      <c r="E62" t="s">
        <v>2665</v>
      </c>
      <c r="F62">
        <v>72830</v>
      </c>
      <c r="G62" t="s">
        <v>1420</v>
      </c>
      <c r="H62" t="s">
        <v>421</v>
      </c>
      <c r="I62" t="s">
        <v>2075</v>
      </c>
      <c r="J62" t="s">
        <v>2592</v>
      </c>
      <c r="K62" t="s">
        <v>2591</v>
      </c>
      <c r="L62">
        <v>2213924942</v>
      </c>
      <c r="M62" s="2" t="s">
        <v>2076</v>
      </c>
      <c r="N62" t="s">
        <v>427</v>
      </c>
      <c r="O62" t="s">
        <v>2080</v>
      </c>
      <c r="P62">
        <v>1</v>
      </c>
      <c r="Q62" t="s">
        <v>2077</v>
      </c>
      <c r="R62" t="s">
        <v>2593</v>
      </c>
      <c r="S62">
        <v>1</v>
      </c>
      <c r="T62">
        <v>1</v>
      </c>
      <c r="U62">
        <v>2</v>
      </c>
      <c r="V62">
        <v>2</v>
      </c>
      <c r="W62">
        <v>0</v>
      </c>
      <c r="X62">
        <v>0</v>
      </c>
      <c r="Y62" t="s">
        <v>883</v>
      </c>
      <c r="Z62">
        <v>3000</v>
      </c>
      <c r="AA62">
        <v>3000</v>
      </c>
      <c r="AD62" t="s">
        <v>2113</v>
      </c>
      <c r="AO62" t="s">
        <v>2078</v>
      </c>
      <c r="AP62" t="s">
        <v>2079</v>
      </c>
      <c r="AQ62">
        <v>30</v>
      </c>
      <c r="AR62">
        <v>0</v>
      </c>
      <c r="AS62">
        <v>16</v>
      </c>
      <c r="AT62">
        <v>14</v>
      </c>
      <c r="AU62">
        <v>0</v>
      </c>
      <c r="AV62">
        <v>0</v>
      </c>
      <c r="AX62">
        <v>200</v>
      </c>
      <c r="AY62">
        <v>10</v>
      </c>
      <c r="BB62" s="3">
        <f t="shared" si="14"/>
        <v>39</v>
      </c>
      <c r="BC62">
        <v>1</v>
      </c>
      <c r="BD62" t="s">
        <v>429</v>
      </c>
      <c r="BE62">
        <v>11</v>
      </c>
      <c r="BF62" t="s">
        <v>2368</v>
      </c>
      <c r="BG62">
        <v>11</v>
      </c>
      <c r="BO62">
        <v>1</v>
      </c>
      <c r="BP62" t="s">
        <v>1963</v>
      </c>
      <c r="BS62" t="s">
        <v>2111</v>
      </c>
      <c r="BV62">
        <v>11</v>
      </c>
      <c r="BW62" t="s">
        <v>2368</v>
      </c>
      <c r="CN62">
        <v>13</v>
      </c>
      <c r="CP62">
        <v>3</v>
      </c>
      <c r="CQ62">
        <v>6</v>
      </c>
      <c r="CR62">
        <v>2</v>
      </c>
      <c r="CS62">
        <v>2</v>
      </c>
      <c r="CT62">
        <v>1</v>
      </c>
      <c r="CU62" s="3">
        <f t="shared" si="16"/>
        <v>4</v>
      </c>
      <c r="CV62">
        <v>4</v>
      </c>
      <c r="CW62">
        <v>5</v>
      </c>
      <c r="EG62">
        <v>16</v>
      </c>
      <c r="EH62" t="s">
        <v>1948</v>
      </c>
      <c r="EI62">
        <v>2014</v>
      </c>
      <c r="EJ62" t="s">
        <v>2081</v>
      </c>
      <c r="EK62" t="s">
        <v>2082</v>
      </c>
      <c r="EL62" t="s">
        <v>544</v>
      </c>
      <c r="EM62" t="s">
        <v>544</v>
      </c>
      <c r="EN62" t="s">
        <v>544</v>
      </c>
      <c r="EP62" t="s">
        <v>439</v>
      </c>
      <c r="EQ62" t="s">
        <v>440</v>
      </c>
      <c r="ES62" s="9" t="s">
        <v>2078</v>
      </c>
      <c r="EV62" s="9" t="s">
        <v>2083</v>
      </c>
      <c r="EY62" s="9" t="s">
        <v>2084</v>
      </c>
      <c r="FB62" s="9" t="s">
        <v>2085</v>
      </c>
      <c r="FE62" s="9" t="s">
        <v>2086</v>
      </c>
      <c r="FH62" s="9" t="s">
        <v>2087</v>
      </c>
      <c r="FK62" s="9" t="s">
        <v>2088</v>
      </c>
      <c r="FN62" s="9" t="s">
        <v>2089</v>
      </c>
      <c r="FQ62" s="9" t="s">
        <v>2090</v>
      </c>
      <c r="FU62">
        <v>0</v>
      </c>
      <c r="FV62" s="3">
        <f t="shared" si="17"/>
        <v>0</v>
      </c>
      <c r="FX62">
        <v>0</v>
      </c>
      <c r="FY62" s="3">
        <f t="shared" si="18"/>
        <v>0</v>
      </c>
      <c r="GA62">
        <v>0</v>
      </c>
      <c r="GB62" s="3">
        <f t="shared" si="19"/>
        <v>0</v>
      </c>
      <c r="GC62" t="s">
        <v>452</v>
      </c>
      <c r="GD62">
        <f t="shared" si="23"/>
        <v>1800</v>
      </c>
      <c r="GE62" s="3">
        <f t="shared" si="20"/>
        <v>0.12</v>
      </c>
      <c r="GF62" s="3">
        <f t="shared" si="21"/>
        <v>0.12</v>
      </c>
      <c r="GG62" s="3" t="str">
        <f t="shared" si="15"/>
        <v>ALTO</v>
      </c>
    </row>
    <row r="63" spans="1:189" x14ac:dyDescent="0.3">
      <c r="A63">
        <v>62</v>
      </c>
      <c r="B63" t="s">
        <v>2235</v>
      </c>
      <c r="C63" t="s">
        <v>2104</v>
      </c>
      <c r="D63" t="s">
        <v>2092</v>
      </c>
      <c r="E63" t="s">
        <v>2666</v>
      </c>
      <c r="F63">
        <v>72240</v>
      </c>
      <c r="G63" t="s">
        <v>421</v>
      </c>
      <c r="H63" t="s">
        <v>421</v>
      </c>
      <c r="I63" t="s">
        <v>2093</v>
      </c>
      <c r="J63" t="s">
        <v>2094</v>
      </c>
      <c r="K63" t="s">
        <v>2095</v>
      </c>
      <c r="L63">
        <v>2221529019</v>
      </c>
      <c r="M63" s="2" t="s">
        <v>2096</v>
      </c>
      <c r="N63" t="s">
        <v>2260</v>
      </c>
      <c r="O63" t="s">
        <v>2139</v>
      </c>
      <c r="P63">
        <v>1</v>
      </c>
      <c r="R63" t="s">
        <v>2105</v>
      </c>
      <c r="S63">
        <v>1</v>
      </c>
      <c r="T63">
        <v>1</v>
      </c>
      <c r="U63">
        <v>1</v>
      </c>
      <c r="V63">
        <v>1</v>
      </c>
      <c r="W63">
        <v>0</v>
      </c>
      <c r="X63">
        <v>0</v>
      </c>
      <c r="Y63" t="s">
        <v>457</v>
      </c>
      <c r="Z63">
        <v>20</v>
      </c>
      <c r="AA63">
        <v>20</v>
      </c>
      <c r="AD63" t="str">
        <f>+IF(Z63&gt;1000,"JORGE MANUEL ISLAS GOWER", "NOE MORA RAMIREZ")</f>
        <v>NOE MORA RAMIREZ</v>
      </c>
      <c r="AO63" t="s">
        <v>2106</v>
      </c>
      <c r="AP63" t="s">
        <v>2097</v>
      </c>
      <c r="AQ63">
        <v>2</v>
      </c>
      <c r="AR63">
        <v>0</v>
      </c>
      <c r="AS63">
        <v>1</v>
      </c>
      <c r="AT63">
        <v>1</v>
      </c>
      <c r="AU63">
        <v>0</v>
      </c>
      <c r="AV63">
        <v>0</v>
      </c>
      <c r="AX63">
        <v>15</v>
      </c>
      <c r="AY63">
        <v>3</v>
      </c>
      <c r="BB63" s="3">
        <f t="shared" si="14"/>
        <v>11</v>
      </c>
      <c r="BC63">
        <v>1</v>
      </c>
      <c r="BD63" t="s">
        <v>429</v>
      </c>
      <c r="BE63">
        <v>2</v>
      </c>
      <c r="BF63" t="s">
        <v>2110</v>
      </c>
      <c r="BG63">
        <v>2</v>
      </c>
      <c r="BO63">
        <v>1</v>
      </c>
      <c r="BP63" t="s">
        <v>2130</v>
      </c>
      <c r="BS63" t="s">
        <v>2111</v>
      </c>
      <c r="BV63">
        <v>3</v>
      </c>
      <c r="BW63" t="s">
        <v>828</v>
      </c>
      <c r="CN63">
        <v>3</v>
      </c>
      <c r="CP63">
        <v>2</v>
      </c>
      <c r="CS63">
        <v>2</v>
      </c>
      <c r="CU63" s="3">
        <f t="shared" si="16"/>
        <v>0</v>
      </c>
      <c r="DO63">
        <v>2</v>
      </c>
      <c r="DP63" t="s">
        <v>828</v>
      </c>
      <c r="EG63">
        <v>23</v>
      </c>
      <c r="EH63" t="s">
        <v>1948</v>
      </c>
      <c r="EI63">
        <v>2024</v>
      </c>
      <c r="EJ63" t="s">
        <v>2107</v>
      </c>
      <c r="EK63" t="s">
        <v>2108</v>
      </c>
      <c r="EL63" t="s">
        <v>2109</v>
      </c>
      <c r="EM63" t="s">
        <v>1601</v>
      </c>
      <c r="EN63" t="s">
        <v>962</v>
      </c>
      <c r="EP63" t="s">
        <v>439</v>
      </c>
      <c r="EQ63" t="s">
        <v>440</v>
      </c>
      <c r="ES63" s="9" t="s">
        <v>2098</v>
      </c>
      <c r="FU63">
        <v>0</v>
      </c>
      <c r="FV63" s="3">
        <f t="shared" si="17"/>
        <v>0</v>
      </c>
      <c r="FX63">
        <v>0</v>
      </c>
      <c r="FY63" s="3">
        <f t="shared" si="18"/>
        <v>0</v>
      </c>
      <c r="GA63">
        <v>0</v>
      </c>
      <c r="GB63" s="3">
        <f t="shared" si="19"/>
        <v>0</v>
      </c>
      <c r="GC63" t="s">
        <v>452</v>
      </c>
      <c r="GD63">
        <f t="shared" si="23"/>
        <v>120</v>
      </c>
      <c r="GE63" s="3">
        <f t="shared" si="20"/>
        <v>8.0000000000000002E-3</v>
      </c>
      <c r="GF63" s="3">
        <f t="shared" si="21"/>
        <v>8.0000000000000002E-3</v>
      </c>
      <c r="GG63" s="3" t="str">
        <f t="shared" si="15"/>
        <v>ORDINARIO</v>
      </c>
    </row>
    <row r="64" spans="1:189" x14ac:dyDescent="0.3">
      <c r="A64">
        <v>63</v>
      </c>
      <c r="B64" t="s">
        <v>2236</v>
      </c>
      <c r="C64" t="s">
        <v>2104</v>
      </c>
      <c r="D64" t="s">
        <v>2092</v>
      </c>
      <c r="E64" t="s">
        <v>2667</v>
      </c>
      <c r="F64">
        <v>72530</v>
      </c>
      <c r="G64" t="s">
        <v>421</v>
      </c>
      <c r="H64" t="s">
        <v>421</v>
      </c>
      <c r="I64" t="s">
        <v>2093</v>
      </c>
      <c r="J64" t="s">
        <v>2094</v>
      </c>
      <c r="K64" t="s">
        <v>2095</v>
      </c>
      <c r="L64">
        <v>2221568283</v>
      </c>
      <c r="M64" s="2" t="s">
        <v>2099</v>
      </c>
      <c r="N64" t="s">
        <v>2260</v>
      </c>
      <c r="O64" t="s">
        <v>2139</v>
      </c>
      <c r="P64">
        <v>1</v>
      </c>
      <c r="R64" t="s">
        <v>2112</v>
      </c>
      <c r="S64">
        <v>1</v>
      </c>
      <c r="T64">
        <v>1</v>
      </c>
      <c r="U64">
        <v>1</v>
      </c>
      <c r="V64">
        <v>1</v>
      </c>
      <c r="W64">
        <v>0</v>
      </c>
      <c r="X64">
        <v>0</v>
      </c>
      <c r="Y64" t="s">
        <v>1182</v>
      </c>
      <c r="Z64">
        <v>122</v>
      </c>
      <c r="AA64">
        <v>122</v>
      </c>
      <c r="AD64" t="s">
        <v>2113</v>
      </c>
      <c r="AO64" t="s">
        <v>2106</v>
      </c>
      <c r="AP64" t="s">
        <v>2100</v>
      </c>
      <c r="AQ64">
        <v>2</v>
      </c>
      <c r="AR64">
        <v>0</v>
      </c>
      <c r="AS64">
        <v>2</v>
      </c>
      <c r="AT64">
        <v>0</v>
      </c>
      <c r="AU64">
        <v>0</v>
      </c>
      <c r="AV64">
        <v>0</v>
      </c>
      <c r="AX64">
        <v>20</v>
      </c>
      <c r="AY64">
        <v>3</v>
      </c>
      <c r="BB64" s="3">
        <f t="shared" si="14"/>
        <v>13</v>
      </c>
      <c r="BC64">
        <v>1</v>
      </c>
      <c r="BD64" t="s">
        <v>429</v>
      </c>
      <c r="BE64">
        <v>2</v>
      </c>
      <c r="BF64" t="s">
        <v>987</v>
      </c>
      <c r="BG64">
        <v>2</v>
      </c>
      <c r="BO64">
        <v>1</v>
      </c>
      <c r="BP64" t="s">
        <v>2130</v>
      </c>
      <c r="BS64" t="s">
        <v>2111</v>
      </c>
      <c r="BV64">
        <v>2</v>
      </c>
      <c r="BW64" t="s">
        <v>828</v>
      </c>
      <c r="CN64">
        <v>7</v>
      </c>
      <c r="CP64">
        <v>1</v>
      </c>
      <c r="CS64">
        <v>1</v>
      </c>
      <c r="CU64" s="3">
        <f t="shared" si="16"/>
        <v>1</v>
      </c>
      <c r="CV64">
        <v>1</v>
      </c>
      <c r="EG64">
        <v>23</v>
      </c>
      <c r="EH64" t="s">
        <v>1948</v>
      </c>
      <c r="EI64">
        <v>2024</v>
      </c>
      <c r="EJ64" t="s">
        <v>2114</v>
      </c>
      <c r="EK64" t="s">
        <v>2115</v>
      </c>
      <c r="EL64" t="s">
        <v>1276</v>
      </c>
      <c r="EM64" t="s">
        <v>2116</v>
      </c>
      <c r="EN64" t="s">
        <v>2117</v>
      </c>
      <c r="EP64" t="s">
        <v>439</v>
      </c>
      <c r="EQ64" t="s">
        <v>440</v>
      </c>
      <c r="ES64" s="9" t="s">
        <v>2101</v>
      </c>
      <c r="FU64">
        <v>0</v>
      </c>
      <c r="FV64" s="3">
        <f t="shared" si="17"/>
        <v>0</v>
      </c>
      <c r="FX64">
        <v>0</v>
      </c>
      <c r="FY64" s="3">
        <f t="shared" si="18"/>
        <v>0</v>
      </c>
      <c r="GA64">
        <v>0</v>
      </c>
      <c r="GB64" s="3">
        <f t="shared" si="19"/>
        <v>0</v>
      </c>
      <c r="GC64" t="s">
        <v>452</v>
      </c>
      <c r="GD64">
        <f t="shared" si="23"/>
        <v>120</v>
      </c>
      <c r="GE64" s="3">
        <f t="shared" si="20"/>
        <v>8.0000000000000002E-3</v>
      </c>
      <c r="GF64" s="3">
        <f t="shared" si="21"/>
        <v>8.0000000000000002E-3</v>
      </c>
      <c r="GG64" s="3" t="str">
        <f t="shared" si="15"/>
        <v>ORDINARIO</v>
      </c>
    </row>
    <row r="65" spans="1:189" x14ac:dyDescent="0.3">
      <c r="A65">
        <v>64</v>
      </c>
      <c r="B65" t="s">
        <v>2237</v>
      </c>
      <c r="C65" t="s">
        <v>2104</v>
      </c>
      <c r="D65" t="s">
        <v>2092</v>
      </c>
      <c r="E65" t="s">
        <v>2668</v>
      </c>
      <c r="F65">
        <v>72583</v>
      </c>
      <c r="G65" t="s">
        <v>421</v>
      </c>
      <c r="H65" t="s">
        <v>421</v>
      </c>
      <c r="I65" t="s">
        <v>2093</v>
      </c>
      <c r="J65" t="s">
        <v>2094</v>
      </c>
      <c r="K65" t="s">
        <v>2095</v>
      </c>
      <c r="L65">
        <v>5512287508</v>
      </c>
      <c r="M65" s="2" t="s">
        <v>2102</v>
      </c>
      <c r="N65" t="s">
        <v>2260</v>
      </c>
      <c r="O65" t="s">
        <v>2139</v>
      </c>
      <c r="P65">
        <v>1</v>
      </c>
      <c r="Q65">
        <v>4</v>
      </c>
      <c r="R65" t="s">
        <v>2118</v>
      </c>
      <c r="S65">
        <v>1</v>
      </c>
      <c r="T65">
        <v>1</v>
      </c>
      <c r="U65">
        <v>1</v>
      </c>
      <c r="V65">
        <v>1</v>
      </c>
      <c r="W65">
        <v>0</v>
      </c>
      <c r="X65">
        <v>0</v>
      </c>
      <c r="Y65" t="s">
        <v>457</v>
      </c>
      <c r="Z65">
        <v>75</v>
      </c>
      <c r="AA65">
        <v>75</v>
      </c>
      <c r="AD65" t="s">
        <v>2113</v>
      </c>
      <c r="AO65" t="s">
        <v>2106</v>
      </c>
      <c r="AP65" t="s">
        <v>2103</v>
      </c>
      <c r="AQ65">
        <v>1</v>
      </c>
      <c r="AR65">
        <v>0</v>
      </c>
      <c r="AS65">
        <v>0</v>
      </c>
      <c r="AT65">
        <v>1</v>
      </c>
      <c r="AU65">
        <v>0</v>
      </c>
      <c r="AV65">
        <v>0</v>
      </c>
      <c r="AX65">
        <v>15</v>
      </c>
      <c r="AY65">
        <v>3</v>
      </c>
      <c r="BB65" s="3">
        <f t="shared" si="14"/>
        <v>12</v>
      </c>
      <c r="BC65">
        <v>1</v>
      </c>
      <c r="BD65" t="s">
        <v>429</v>
      </c>
      <c r="BE65">
        <v>2</v>
      </c>
      <c r="BF65" t="s">
        <v>2110</v>
      </c>
      <c r="BG65">
        <v>1</v>
      </c>
      <c r="BH65">
        <v>1</v>
      </c>
      <c r="BO65">
        <v>1</v>
      </c>
      <c r="BP65" t="s">
        <v>2130</v>
      </c>
      <c r="BS65" t="s">
        <v>2111</v>
      </c>
      <c r="BV65">
        <v>1</v>
      </c>
      <c r="BW65" t="s">
        <v>429</v>
      </c>
      <c r="CN65">
        <v>4</v>
      </c>
      <c r="CP65">
        <v>1</v>
      </c>
      <c r="CR65">
        <v>1</v>
      </c>
      <c r="CS65">
        <v>2</v>
      </c>
      <c r="CT65">
        <v>3</v>
      </c>
      <c r="CU65" s="3">
        <f t="shared" si="16"/>
        <v>2</v>
      </c>
      <c r="CV65">
        <v>2</v>
      </c>
      <c r="DO65">
        <v>1</v>
      </c>
      <c r="DP65" t="s">
        <v>429</v>
      </c>
      <c r="EG65">
        <v>23</v>
      </c>
      <c r="EH65" t="s">
        <v>1948</v>
      </c>
      <c r="EI65">
        <v>2024</v>
      </c>
      <c r="EJ65" t="s">
        <v>2119</v>
      </c>
      <c r="EK65" t="s">
        <v>2120</v>
      </c>
      <c r="EL65" t="s">
        <v>2121</v>
      </c>
      <c r="EM65" t="s">
        <v>2121</v>
      </c>
      <c r="EN65" t="s">
        <v>2122</v>
      </c>
      <c r="EP65" t="s">
        <v>439</v>
      </c>
      <c r="EQ65" t="s">
        <v>440</v>
      </c>
      <c r="FU65">
        <v>0</v>
      </c>
      <c r="FV65" s="3">
        <f t="shared" si="17"/>
        <v>0</v>
      </c>
      <c r="FX65">
        <v>0</v>
      </c>
      <c r="FY65" s="3">
        <f t="shared" si="18"/>
        <v>0</v>
      </c>
      <c r="GA65">
        <v>0</v>
      </c>
      <c r="GB65" s="3">
        <f t="shared" si="19"/>
        <v>0</v>
      </c>
      <c r="GC65" t="s">
        <v>452</v>
      </c>
      <c r="GD65">
        <f t="shared" si="23"/>
        <v>60</v>
      </c>
      <c r="GE65" s="3">
        <f t="shared" si="20"/>
        <v>4.0000000000000001E-3</v>
      </c>
      <c r="GF65" s="3">
        <f t="shared" si="21"/>
        <v>4.0000000000000001E-3</v>
      </c>
      <c r="GG65" s="3" t="str">
        <f t="shared" si="15"/>
        <v>ORDINARIO</v>
      </c>
    </row>
    <row r="66" spans="1:189" x14ac:dyDescent="0.3">
      <c r="A66">
        <v>65</v>
      </c>
      <c r="B66" t="s">
        <v>2238</v>
      </c>
      <c r="C66" t="s">
        <v>2104</v>
      </c>
      <c r="D66" t="s">
        <v>2092</v>
      </c>
      <c r="E66" t="s">
        <v>2669</v>
      </c>
      <c r="F66">
        <v>72470</v>
      </c>
      <c r="G66" t="s">
        <v>421</v>
      </c>
      <c r="H66" t="s">
        <v>421</v>
      </c>
      <c r="I66" t="s">
        <v>2093</v>
      </c>
      <c r="J66" t="s">
        <v>2094</v>
      </c>
      <c r="K66" t="s">
        <v>2095</v>
      </c>
      <c r="L66">
        <v>2221938507</v>
      </c>
      <c r="M66" s="2" t="s">
        <v>2124</v>
      </c>
      <c r="N66" t="s">
        <v>2260</v>
      </c>
      <c r="O66" t="s">
        <v>2139</v>
      </c>
      <c r="P66">
        <v>1</v>
      </c>
      <c r="Q66">
        <v>6</v>
      </c>
      <c r="R66">
        <v>2018</v>
      </c>
      <c r="S66">
        <v>1</v>
      </c>
      <c r="T66">
        <v>1</v>
      </c>
      <c r="U66">
        <v>1</v>
      </c>
      <c r="V66">
        <v>1</v>
      </c>
      <c r="W66">
        <v>0</v>
      </c>
      <c r="X66">
        <v>0</v>
      </c>
      <c r="Y66" t="s">
        <v>1182</v>
      </c>
      <c r="Z66">
        <v>80</v>
      </c>
      <c r="AA66">
        <v>80</v>
      </c>
      <c r="AD66" t="s">
        <v>2113</v>
      </c>
      <c r="AO66" t="s">
        <v>2106</v>
      </c>
      <c r="AP66" t="s">
        <v>2125</v>
      </c>
      <c r="AQ66">
        <v>1</v>
      </c>
      <c r="AR66">
        <v>0</v>
      </c>
      <c r="AS66">
        <v>1</v>
      </c>
      <c r="AT66">
        <v>0</v>
      </c>
      <c r="AU66">
        <v>0</v>
      </c>
      <c r="AV66">
        <v>0</v>
      </c>
      <c r="AX66">
        <v>20</v>
      </c>
      <c r="AY66">
        <v>3</v>
      </c>
      <c r="BB66" s="3">
        <f t="shared" ref="BB66:BB97" si="24">+BC66+BE66+BO66+CN66+CO66+CP66+CQ66+CR66+CS66+DG66</f>
        <v>10</v>
      </c>
      <c r="BC66">
        <v>1</v>
      </c>
      <c r="BD66" t="s">
        <v>429</v>
      </c>
      <c r="BE66">
        <v>2</v>
      </c>
      <c r="BF66" t="s">
        <v>2110</v>
      </c>
      <c r="BG66">
        <v>1</v>
      </c>
      <c r="BH66">
        <v>1</v>
      </c>
      <c r="BO66">
        <v>1</v>
      </c>
      <c r="BP66" t="s">
        <v>2130</v>
      </c>
      <c r="BS66" t="s">
        <v>2111</v>
      </c>
      <c r="BV66">
        <v>2</v>
      </c>
      <c r="BW66" t="s">
        <v>828</v>
      </c>
      <c r="CN66">
        <v>3</v>
      </c>
      <c r="CP66">
        <v>1</v>
      </c>
      <c r="CS66">
        <v>2</v>
      </c>
      <c r="CT66">
        <v>1</v>
      </c>
      <c r="CU66" s="3">
        <f t="shared" si="16"/>
        <v>2</v>
      </c>
      <c r="CV66">
        <v>2</v>
      </c>
      <c r="DO66">
        <v>2</v>
      </c>
      <c r="DP66" t="s">
        <v>828</v>
      </c>
      <c r="EG66">
        <v>23</v>
      </c>
      <c r="EH66" t="s">
        <v>1948</v>
      </c>
      <c r="EI66">
        <v>2024</v>
      </c>
      <c r="EJ66" t="s">
        <v>2126</v>
      </c>
      <c r="EK66" t="s">
        <v>2127</v>
      </c>
      <c r="EL66" t="s">
        <v>2128</v>
      </c>
      <c r="EM66" t="s">
        <v>2123</v>
      </c>
      <c r="EN66" t="s">
        <v>2129</v>
      </c>
      <c r="EP66" t="s">
        <v>439</v>
      </c>
      <c r="EQ66" t="s">
        <v>440</v>
      </c>
      <c r="FU66">
        <v>0</v>
      </c>
      <c r="FV66" s="3">
        <f t="shared" si="17"/>
        <v>0</v>
      </c>
      <c r="FX66">
        <v>0</v>
      </c>
      <c r="FY66" s="3">
        <f t="shared" si="18"/>
        <v>0</v>
      </c>
      <c r="GA66">
        <v>0</v>
      </c>
      <c r="GB66" s="3">
        <f t="shared" si="19"/>
        <v>0</v>
      </c>
      <c r="GC66" t="s">
        <v>452</v>
      </c>
      <c r="GD66">
        <f t="shared" si="23"/>
        <v>60</v>
      </c>
      <c r="GE66" s="3">
        <f t="shared" si="20"/>
        <v>4.0000000000000001E-3</v>
      </c>
      <c r="GF66" s="3">
        <f t="shared" si="21"/>
        <v>4.0000000000000001E-3</v>
      </c>
      <c r="GG66" s="3" t="str">
        <f t="shared" ref="GG66:GG97" si="25">IF(AA66&gt;=3000,"ALTO",IF(GF66&gt;=1,"ALTO","ORDINARIO"))</f>
        <v>ORDINARIO</v>
      </c>
    </row>
    <row r="67" spans="1:189" x14ac:dyDescent="0.3">
      <c r="A67">
        <v>66</v>
      </c>
      <c r="B67" t="s">
        <v>2239</v>
      </c>
      <c r="C67" t="s">
        <v>2104</v>
      </c>
      <c r="D67" t="s">
        <v>2092</v>
      </c>
      <c r="E67" t="s">
        <v>2670</v>
      </c>
      <c r="F67">
        <v>72498</v>
      </c>
      <c r="G67" t="s">
        <v>421</v>
      </c>
      <c r="H67" t="s">
        <v>421</v>
      </c>
      <c r="I67" t="s">
        <v>2093</v>
      </c>
      <c r="J67" t="s">
        <v>2094</v>
      </c>
      <c r="K67" t="s">
        <v>2095</v>
      </c>
      <c r="L67">
        <v>2223234754</v>
      </c>
      <c r="M67" s="2" t="s">
        <v>2131</v>
      </c>
      <c r="N67" t="s">
        <v>2260</v>
      </c>
      <c r="O67" t="s">
        <v>2139</v>
      </c>
      <c r="P67">
        <v>1</v>
      </c>
      <c r="Q67">
        <v>10</v>
      </c>
      <c r="R67" t="s">
        <v>2132</v>
      </c>
      <c r="S67">
        <v>1</v>
      </c>
      <c r="T67">
        <v>1</v>
      </c>
      <c r="U67">
        <v>1</v>
      </c>
      <c r="V67">
        <v>1</v>
      </c>
      <c r="W67">
        <v>0</v>
      </c>
      <c r="X67">
        <v>0</v>
      </c>
      <c r="Y67" t="s">
        <v>916</v>
      </c>
      <c r="Z67">
        <v>55</v>
      </c>
      <c r="AA67">
        <v>55</v>
      </c>
      <c r="AD67" t="s">
        <v>2113</v>
      </c>
      <c r="AO67" t="s">
        <v>2106</v>
      </c>
      <c r="AP67" t="s">
        <v>2133</v>
      </c>
      <c r="AQ67">
        <v>1</v>
      </c>
      <c r="AR67">
        <v>0</v>
      </c>
      <c r="AS67">
        <v>0</v>
      </c>
      <c r="AT67">
        <v>1</v>
      </c>
      <c r="AU67">
        <v>0</v>
      </c>
      <c r="AV67">
        <v>0</v>
      </c>
      <c r="AX67">
        <v>15</v>
      </c>
      <c r="AY67">
        <v>3</v>
      </c>
      <c r="BB67" s="3">
        <f t="shared" si="24"/>
        <v>8</v>
      </c>
      <c r="BC67">
        <v>1</v>
      </c>
      <c r="BD67" t="s">
        <v>429</v>
      </c>
      <c r="BE67">
        <v>2</v>
      </c>
      <c r="BF67" t="s">
        <v>2110</v>
      </c>
      <c r="BG67">
        <v>1</v>
      </c>
      <c r="BH67">
        <v>1</v>
      </c>
      <c r="BO67">
        <v>1</v>
      </c>
      <c r="BP67" t="s">
        <v>2130</v>
      </c>
      <c r="BS67" t="s">
        <v>2111</v>
      </c>
      <c r="BV67">
        <v>2</v>
      </c>
      <c r="BW67" t="s">
        <v>828</v>
      </c>
      <c r="CN67">
        <v>2</v>
      </c>
      <c r="CP67">
        <v>1</v>
      </c>
      <c r="CS67">
        <v>1</v>
      </c>
      <c r="CT67">
        <v>1</v>
      </c>
      <c r="CU67" s="3">
        <f t="shared" si="16"/>
        <v>2</v>
      </c>
      <c r="CV67">
        <v>2</v>
      </c>
      <c r="DO67">
        <v>2</v>
      </c>
      <c r="DP67" t="s">
        <v>429</v>
      </c>
      <c r="EG67">
        <v>23</v>
      </c>
      <c r="EH67" t="s">
        <v>1948</v>
      </c>
      <c r="EI67">
        <v>2024</v>
      </c>
      <c r="EJ67" t="s">
        <v>2134</v>
      </c>
      <c r="EK67" t="s">
        <v>2135</v>
      </c>
      <c r="EL67" t="s">
        <v>2136</v>
      </c>
      <c r="EM67" t="s">
        <v>2137</v>
      </c>
      <c r="EN67" t="s">
        <v>2138</v>
      </c>
      <c r="EP67" t="s">
        <v>439</v>
      </c>
      <c r="EQ67" t="s">
        <v>440</v>
      </c>
      <c r="FU67">
        <v>0</v>
      </c>
      <c r="FV67" s="3">
        <f t="shared" si="17"/>
        <v>0</v>
      </c>
      <c r="FX67">
        <v>0</v>
      </c>
      <c r="FY67" s="3">
        <f t="shared" si="18"/>
        <v>0</v>
      </c>
      <c r="GA67">
        <v>0</v>
      </c>
      <c r="GB67" s="3">
        <f t="shared" si="19"/>
        <v>0</v>
      </c>
      <c r="GC67" t="s">
        <v>452</v>
      </c>
      <c r="GD67">
        <f t="shared" si="23"/>
        <v>60</v>
      </c>
      <c r="GE67" s="3">
        <f t="shared" si="20"/>
        <v>4.0000000000000001E-3</v>
      </c>
      <c r="GF67" s="3">
        <f t="shared" si="21"/>
        <v>4.0000000000000001E-3</v>
      </c>
      <c r="GG67" s="3" t="str">
        <f t="shared" si="25"/>
        <v>ORDINARIO</v>
      </c>
    </row>
    <row r="68" spans="1:189" x14ac:dyDescent="0.3">
      <c r="A68">
        <v>67</v>
      </c>
      <c r="B68" t="s">
        <v>2240</v>
      </c>
      <c r="C68" t="s">
        <v>2104</v>
      </c>
      <c r="D68" t="s">
        <v>2092</v>
      </c>
      <c r="E68" t="s">
        <v>2671</v>
      </c>
      <c r="F68">
        <v>74260</v>
      </c>
      <c r="G68" t="s">
        <v>1337</v>
      </c>
      <c r="H68" t="s">
        <v>421</v>
      </c>
      <c r="I68" t="s">
        <v>2093</v>
      </c>
      <c r="J68" t="s">
        <v>2094</v>
      </c>
      <c r="K68" t="s">
        <v>2095</v>
      </c>
      <c r="L68">
        <v>2447859884</v>
      </c>
      <c r="M68" s="2" t="s">
        <v>2204</v>
      </c>
      <c r="N68" t="s">
        <v>2260</v>
      </c>
      <c r="O68" t="s">
        <v>2139</v>
      </c>
      <c r="P68">
        <v>1</v>
      </c>
      <c r="Q68">
        <v>8</v>
      </c>
      <c r="R68">
        <v>2026</v>
      </c>
      <c r="S68">
        <v>1</v>
      </c>
      <c r="T68">
        <v>1</v>
      </c>
      <c r="U68">
        <v>1</v>
      </c>
      <c r="V68">
        <v>1</v>
      </c>
      <c r="W68">
        <v>0</v>
      </c>
      <c r="X68">
        <v>0</v>
      </c>
      <c r="Y68" t="s">
        <v>2207</v>
      </c>
      <c r="Z68">
        <v>40</v>
      </c>
      <c r="AA68">
        <v>40</v>
      </c>
      <c r="AD68" t="s">
        <v>2113</v>
      </c>
      <c r="AO68" t="s">
        <v>2106</v>
      </c>
      <c r="AP68" t="s">
        <v>2205</v>
      </c>
      <c r="AQ68">
        <v>1</v>
      </c>
      <c r="AR68">
        <v>0</v>
      </c>
      <c r="AS68">
        <v>1</v>
      </c>
      <c r="AT68">
        <v>0</v>
      </c>
      <c r="AU68">
        <v>0</v>
      </c>
      <c r="AV68">
        <v>0</v>
      </c>
      <c r="AX68">
        <v>20</v>
      </c>
      <c r="AY68">
        <v>3</v>
      </c>
      <c r="BB68" s="3">
        <f t="shared" si="24"/>
        <v>12</v>
      </c>
      <c r="BC68">
        <v>1</v>
      </c>
      <c r="BD68" t="s">
        <v>429</v>
      </c>
      <c r="BE68">
        <v>2</v>
      </c>
      <c r="BF68" t="s">
        <v>2110</v>
      </c>
      <c r="BG68">
        <v>1</v>
      </c>
      <c r="BH68">
        <v>1</v>
      </c>
      <c r="BM68">
        <v>1</v>
      </c>
      <c r="BN68" t="s">
        <v>429</v>
      </c>
      <c r="BO68">
        <v>1</v>
      </c>
      <c r="BP68" t="s">
        <v>2130</v>
      </c>
      <c r="BS68" t="s">
        <v>2111</v>
      </c>
      <c r="BV68">
        <v>2</v>
      </c>
      <c r="BW68" t="s">
        <v>828</v>
      </c>
      <c r="CN68">
        <v>4</v>
      </c>
      <c r="CP68">
        <v>1</v>
      </c>
      <c r="CR68">
        <v>1</v>
      </c>
      <c r="CS68">
        <v>2</v>
      </c>
      <c r="CT68">
        <v>3</v>
      </c>
      <c r="CU68" s="3">
        <f t="shared" si="16"/>
        <v>2</v>
      </c>
      <c r="CV68">
        <v>2</v>
      </c>
      <c r="DO68">
        <v>2</v>
      </c>
      <c r="DP68" t="s">
        <v>828</v>
      </c>
      <c r="EG68">
        <v>4</v>
      </c>
      <c r="EH68" t="s">
        <v>2153</v>
      </c>
      <c r="EI68">
        <v>2024</v>
      </c>
      <c r="EJ68" t="s">
        <v>2244</v>
      </c>
      <c r="EK68" t="s">
        <v>1935</v>
      </c>
      <c r="EL68" t="s">
        <v>2245</v>
      </c>
      <c r="EM68" t="s">
        <v>2246</v>
      </c>
      <c r="EN68" t="s">
        <v>2247</v>
      </c>
      <c r="EP68" t="s">
        <v>439</v>
      </c>
      <c r="EQ68" t="s">
        <v>440</v>
      </c>
      <c r="FU68">
        <v>0</v>
      </c>
      <c r="FV68" s="3">
        <f t="shared" si="17"/>
        <v>0</v>
      </c>
      <c r="FX68">
        <v>0</v>
      </c>
      <c r="FY68" s="3">
        <f t="shared" si="18"/>
        <v>0</v>
      </c>
      <c r="GA68">
        <v>0</v>
      </c>
      <c r="GB68" s="3">
        <f t="shared" si="19"/>
        <v>0</v>
      </c>
      <c r="GC68" t="s">
        <v>452</v>
      </c>
      <c r="GD68">
        <f t="shared" si="23"/>
        <v>60</v>
      </c>
      <c r="GE68" s="3">
        <f t="shared" si="20"/>
        <v>4.0000000000000001E-3</v>
      </c>
      <c r="GF68" s="3">
        <f t="shared" si="21"/>
        <v>4.0000000000000001E-3</v>
      </c>
      <c r="GG68" s="3" t="str">
        <f t="shared" si="25"/>
        <v>ORDINARIO</v>
      </c>
    </row>
    <row r="69" spans="1:189" x14ac:dyDescent="0.3">
      <c r="A69">
        <v>68</v>
      </c>
      <c r="B69" s="5" t="s">
        <v>2241</v>
      </c>
      <c r="C69" t="s">
        <v>2104</v>
      </c>
      <c r="D69" t="s">
        <v>2092</v>
      </c>
      <c r="E69" t="s">
        <v>2672</v>
      </c>
      <c r="F69">
        <v>73310</v>
      </c>
      <c r="G69" t="s">
        <v>2196</v>
      </c>
      <c r="H69" t="s">
        <v>421</v>
      </c>
      <c r="I69" t="s">
        <v>2093</v>
      </c>
      <c r="J69" t="s">
        <v>2094</v>
      </c>
      <c r="K69" t="s">
        <v>2095</v>
      </c>
      <c r="L69">
        <v>7971480266</v>
      </c>
      <c r="M69" s="2" t="s">
        <v>2197</v>
      </c>
      <c r="N69" t="s">
        <v>2260</v>
      </c>
      <c r="O69" t="s">
        <v>2139</v>
      </c>
      <c r="P69">
        <v>1</v>
      </c>
      <c r="Q69">
        <v>3</v>
      </c>
      <c r="R69" t="s">
        <v>2198</v>
      </c>
      <c r="S69">
        <v>1</v>
      </c>
      <c r="T69">
        <v>1</v>
      </c>
      <c r="U69">
        <v>1</v>
      </c>
      <c r="V69">
        <v>1</v>
      </c>
      <c r="W69">
        <v>0</v>
      </c>
      <c r="X69">
        <v>0</v>
      </c>
      <c r="Y69" t="s">
        <v>821</v>
      </c>
      <c r="Z69">
        <v>68.31</v>
      </c>
      <c r="AA69">
        <v>68.31</v>
      </c>
      <c r="AD69" t="s">
        <v>2113</v>
      </c>
      <c r="AO69" t="s">
        <v>2106</v>
      </c>
      <c r="AP69" t="s">
        <v>2199</v>
      </c>
      <c r="AQ69">
        <v>1</v>
      </c>
      <c r="AR69">
        <v>0</v>
      </c>
      <c r="AS69">
        <v>1</v>
      </c>
      <c r="AT69">
        <v>0</v>
      </c>
      <c r="AU69">
        <v>0</v>
      </c>
      <c r="AV69">
        <v>0</v>
      </c>
      <c r="AX69">
        <v>10</v>
      </c>
      <c r="AY69">
        <v>3</v>
      </c>
      <c r="BB69" s="3">
        <f t="shared" si="24"/>
        <v>11</v>
      </c>
      <c r="BC69">
        <v>1</v>
      </c>
      <c r="BD69" t="s">
        <v>429</v>
      </c>
      <c r="BE69">
        <v>2</v>
      </c>
      <c r="BF69" t="s">
        <v>2110</v>
      </c>
      <c r="BG69">
        <v>1</v>
      </c>
      <c r="BH69">
        <v>1</v>
      </c>
      <c r="BO69">
        <v>1</v>
      </c>
      <c r="BP69" t="s">
        <v>2130</v>
      </c>
      <c r="BS69" t="s">
        <v>2111</v>
      </c>
      <c r="BV69">
        <v>2</v>
      </c>
      <c r="BW69" t="s">
        <v>828</v>
      </c>
      <c r="CN69">
        <v>4</v>
      </c>
      <c r="CP69">
        <v>1</v>
      </c>
      <c r="CS69">
        <v>2</v>
      </c>
      <c r="CT69">
        <v>2</v>
      </c>
      <c r="CU69" s="3">
        <f t="shared" si="16"/>
        <v>2</v>
      </c>
      <c r="CV69">
        <v>2</v>
      </c>
      <c r="DO69">
        <v>3</v>
      </c>
      <c r="DP69" t="s">
        <v>828</v>
      </c>
      <c r="EG69">
        <v>5</v>
      </c>
      <c r="EH69" t="s">
        <v>2153</v>
      </c>
      <c r="EI69">
        <v>2024</v>
      </c>
      <c r="EJ69" t="s">
        <v>2200</v>
      </c>
      <c r="EK69" t="s">
        <v>2201</v>
      </c>
      <c r="EL69" t="s">
        <v>437</v>
      </c>
      <c r="EM69" t="s">
        <v>2202</v>
      </c>
      <c r="EN69" t="s">
        <v>2203</v>
      </c>
      <c r="EP69" t="s">
        <v>439</v>
      </c>
      <c r="EQ69" t="s">
        <v>440</v>
      </c>
      <c r="FU69">
        <v>0</v>
      </c>
      <c r="FV69" s="3">
        <f t="shared" si="17"/>
        <v>0</v>
      </c>
      <c r="FX69">
        <v>0</v>
      </c>
      <c r="FY69" s="3">
        <f t="shared" si="18"/>
        <v>0</v>
      </c>
      <c r="GA69">
        <v>0</v>
      </c>
      <c r="GB69" s="3">
        <f t="shared" si="19"/>
        <v>0</v>
      </c>
      <c r="GC69" t="s">
        <v>452</v>
      </c>
      <c r="GD69">
        <f t="shared" si="23"/>
        <v>60</v>
      </c>
      <c r="GE69" s="3">
        <f t="shared" si="20"/>
        <v>4.0000000000000001E-3</v>
      </c>
      <c r="GF69" s="3">
        <f t="shared" si="21"/>
        <v>4.0000000000000001E-3</v>
      </c>
      <c r="GG69" s="3" t="str">
        <f t="shared" si="25"/>
        <v>ORDINARIO</v>
      </c>
    </row>
    <row r="70" spans="1:189" x14ac:dyDescent="0.3">
      <c r="A70">
        <v>69</v>
      </c>
      <c r="B70" t="s">
        <v>2242</v>
      </c>
      <c r="C70" t="s">
        <v>2104</v>
      </c>
      <c r="D70" t="s">
        <v>2092</v>
      </c>
      <c r="E70" t="s">
        <v>2673</v>
      </c>
      <c r="F70">
        <v>73170</v>
      </c>
      <c r="G70" t="s">
        <v>2206</v>
      </c>
      <c r="H70" t="s">
        <v>421</v>
      </c>
      <c r="I70" t="s">
        <v>2093</v>
      </c>
      <c r="J70" t="s">
        <v>2094</v>
      </c>
      <c r="K70" t="s">
        <v>2095</v>
      </c>
      <c r="L70">
        <v>7713610902</v>
      </c>
      <c r="M70" s="2" t="s">
        <v>2210</v>
      </c>
      <c r="N70" t="s">
        <v>2260</v>
      </c>
      <c r="O70" t="s">
        <v>2139</v>
      </c>
      <c r="P70">
        <v>1</v>
      </c>
      <c r="R70" t="s">
        <v>2248</v>
      </c>
      <c r="S70">
        <v>1</v>
      </c>
      <c r="T70">
        <v>1</v>
      </c>
      <c r="U70">
        <v>1</v>
      </c>
      <c r="V70">
        <v>1</v>
      </c>
      <c r="W70">
        <v>0</v>
      </c>
      <c r="X70">
        <v>0</v>
      </c>
      <c r="Y70" t="s">
        <v>821</v>
      </c>
      <c r="Z70">
        <v>126</v>
      </c>
      <c r="AA70">
        <v>126</v>
      </c>
      <c r="AD70" t="s">
        <v>2113</v>
      </c>
      <c r="AO70" t="s">
        <v>2106</v>
      </c>
      <c r="AP70" t="s">
        <v>2208</v>
      </c>
      <c r="AQ70">
        <v>1</v>
      </c>
      <c r="AR70">
        <v>0</v>
      </c>
      <c r="AS70">
        <v>0</v>
      </c>
      <c r="AT70">
        <v>1</v>
      </c>
      <c r="AU70">
        <v>0</v>
      </c>
      <c r="AV70">
        <v>0</v>
      </c>
      <c r="AX70">
        <v>15</v>
      </c>
      <c r="AY70">
        <v>3</v>
      </c>
      <c r="BB70" s="3">
        <f t="shared" si="24"/>
        <v>11</v>
      </c>
      <c r="BC70">
        <v>1</v>
      </c>
      <c r="BD70" t="s">
        <v>429</v>
      </c>
      <c r="BE70">
        <v>2</v>
      </c>
      <c r="BF70" t="s">
        <v>2110</v>
      </c>
      <c r="BG70">
        <v>1</v>
      </c>
      <c r="BH70">
        <v>1</v>
      </c>
      <c r="BO70">
        <v>1</v>
      </c>
      <c r="BP70" t="s">
        <v>2130</v>
      </c>
      <c r="BS70" t="s">
        <v>2111</v>
      </c>
      <c r="BV70">
        <v>2</v>
      </c>
      <c r="BW70" t="s">
        <v>828</v>
      </c>
      <c r="CN70">
        <v>4</v>
      </c>
      <c r="CP70">
        <v>1</v>
      </c>
      <c r="CS70">
        <v>2</v>
      </c>
      <c r="CT70">
        <v>2</v>
      </c>
      <c r="CU70" s="3">
        <f t="shared" si="16"/>
        <v>2</v>
      </c>
      <c r="CV70">
        <v>2</v>
      </c>
      <c r="DO70">
        <v>2</v>
      </c>
      <c r="DP70" t="s">
        <v>828</v>
      </c>
      <c r="EG70">
        <v>5</v>
      </c>
      <c r="EH70" t="s">
        <v>2153</v>
      </c>
      <c r="EI70">
        <v>2024</v>
      </c>
      <c r="EJ70" t="s">
        <v>2249</v>
      </c>
      <c r="EK70" t="s">
        <v>2250</v>
      </c>
      <c r="EL70" t="s">
        <v>2251</v>
      </c>
      <c r="EM70" t="s">
        <v>2252</v>
      </c>
      <c r="EN70" t="s">
        <v>2253</v>
      </c>
      <c r="EP70" t="s">
        <v>439</v>
      </c>
      <c r="EQ70" t="s">
        <v>440</v>
      </c>
      <c r="FU70">
        <v>0</v>
      </c>
      <c r="FV70" s="3">
        <f t="shared" si="17"/>
        <v>0</v>
      </c>
      <c r="FX70">
        <v>0</v>
      </c>
      <c r="FY70" s="3">
        <f t="shared" si="18"/>
        <v>0</v>
      </c>
      <c r="GA70">
        <v>0</v>
      </c>
      <c r="GB70" s="3">
        <f t="shared" si="19"/>
        <v>0</v>
      </c>
      <c r="GC70" t="s">
        <v>452</v>
      </c>
      <c r="GD70">
        <f t="shared" si="23"/>
        <v>60</v>
      </c>
      <c r="GE70" s="3">
        <f t="shared" si="20"/>
        <v>4.0000000000000001E-3</v>
      </c>
      <c r="GF70" s="3">
        <f t="shared" si="21"/>
        <v>4.0000000000000001E-3</v>
      </c>
      <c r="GG70" s="3" t="str">
        <f t="shared" si="25"/>
        <v>ORDINARIO</v>
      </c>
    </row>
    <row r="71" spans="1:189" x14ac:dyDescent="0.3">
      <c r="A71">
        <v>70</v>
      </c>
      <c r="B71" t="s">
        <v>2243</v>
      </c>
      <c r="C71" t="s">
        <v>2104</v>
      </c>
      <c r="D71" t="s">
        <v>2092</v>
      </c>
      <c r="E71" t="s">
        <v>2674</v>
      </c>
      <c r="F71">
        <v>74400</v>
      </c>
      <c r="G71" t="s">
        <v>1181</v>
      </c>
      <c r="H71" t="s">
        <v>421</v>
      </c>
      <c r="I71" t="s">
        <v>2093</v>
      </c>
      <c r="J71" t="s">
        <v>2094</v>
      </c>
      <c r="K71" t="s">
        <v>2095</v>
      </c>
      <c r="L71">
        <v>2431037802</v>
      </c>
      <c r="M71" s="2" t="s">
        <v>2209</v>
      </c>
      <c r="N71" t="s">
        <v>2260</v>
      </c>
      <c r="O71" t="s">
        <v>2139</v>
      </c>
      <c r="P71">
        <v>1</v>
      </c>
      <c r="Q71">
        <v>1</v>
      </c>
      <c r="R71" t="s">
        <v>2254</v>
      </c>
      <c r="S71">
        <v>1</v>
      </c>
      <c r="T71">
        <v>1</v>
      </c>
      <c r="U71">
        <v>2</v>
      </c>
      <c r="V71">
        <v>1</v>
      </c>
      <c r="W71">
        <v>0</v>
      </c>
      <c r="X71">
        <v>0</v>
      </c>
      <c r="Y71" t="s">
        <v>821</v>
      </c>
      <c r="Z71">
        <v>50</v>
      </c>
      <c r="AA71">
        <v>50</v>
      </c>
      <c r="AD71" t="s">
        <v>2113</v>
      </c>
      <c r="AO71" t="s">
        <v>2106</v>
      </c>
      <c r="AP71" t="s">
        <v>2211</v>
      </c>
      <c r="AQ71">
        <v>1</v>
      </c>
      <c r="AR71">
        <v>0</v>
      </c>
      <c r="AS71">
        <v>0</v>
      </c>
      <c r="AT71">
        <v>1</v>
      </c>
      <c r="AU71">
        <v>0</v>
      </c>
      <c r="AV71">
        <v>0</v>
      </c>
      <c r="AX71">
        <v>20</v>
      </c>
      <c r="AY71">
        <v>3</v>
      </c>
      <c r="BB71" s="3">
        <f t="shared" si="24"/>
        <v>9</v>
      </c>
      <c r="BC71">
        <v>1</v>
      </c>
      <c r="BD71" t="s">
        <v>429</v>
      </c>
      <c r="BE71">
        <v>2</v>
      </c>
      <c r="BF71" t="s">
        <v>2110</v>
      </c>
      <c r="BG71">
        <v>2</v>
      </c>
      <c r="BO71">
        <v>1</v>
      </c>
      <c r="BP71" t="s">
        <v>2130</v>
      </c>
      <c r="BS71" t="s">
        <v>2111</v>
      </c>
      <c r="BV71">
        <v>2</v>
      </c>
      <c r="BW71" t="s">
        <v>828</v>
      </c>
      <c r="CN71">
        <v>3</v>
      </c>
      <c r="CP71">
        <v>1</v>
      </c>
      <c r="CS71">
        <v>1</v>
      </c>
      <c r="CT71">
        <v>1</v>
      </c>
      <c r="CU71" s="3">
        <f t="shared" si="16"/>
        <v>1</v>
      </c>
      <c r="CV71">
        <v>1</v>
      </c>
      <c r="DO71">
        <v>2</v>
      </c>
      <c r="DP71" t="s">
        <v>828</v>
      </c>
      <c r="EG71">
        <v>4</v>
      </c>
      <c r="EH71" t="s">
        <v>2153</v>
      </c>
      <c r="EI71">
        <v>2024</v>
      </c>
      <c r="EJ71" t="s">
        <v>2255</v>
      </c>
      <c r="EK71" t="s">
        <v>2256</v>
      </c>
      <c r="EL71" t="s">
        <v>2257</v>
      </c>
      <c r="EM71" t="s">
        <v>2258</v>
      </c>
      <c r="EN71" t="s">
        <v>2259</v>
      </c>
      <c r="EP71" t="s">
        <v>439</v>
      </c>
      <c r="EQ71" t="s">
        <v>440</v>
      </c>
      <c r="FU71">
        <v>0</v>
      </c>
      <c r="FV71" s="3">
        <f t="shared" si="17"/>
        <v>0</v>
      </c>
      <c r="FX71">
        <v>0</v>
      </c>
      <c r="FY71" s="3">
        <f t="shared" si="18"/>
        <v>0</v>
      </c>
      <c r="GA71">
        <v>0</v>
      </c>
      <c r="GB71" s="3">
        <f t="shared" si="19"/>
        <v>0</v>
      </c>
      <c r="GC71" t="s">
        <v>452</v>
      </c>
      <c r="GD71">
        <f t="shared" si="23"/>
        <v>60</v>
      </c>
      <c r="GE71" s="3">
        <f t="shared" si="20"/>
        <v>4.0000000000000001E-3</v>
      </c>
      <c r="GF71" s="3">
        <f t="shared" si="21"/>
        <v>4.0000000000000001E-3</v>
      </c>
      <c r="GG71" s="3" t="str">
        <f t="shared" si="25"/>
        <v>ORDINARIO</v>
      </c>
    </row>
    <row r="72" spans="1:189" x14ac:dyDescent="0.3">
      <c r="A72">
        <v>71</v>
      </c>
      <c r="B72" t="s">
        <v>2141</v>
      </c>
      <c r="C72" t="s">
        <v>541</v>
      </c>
      <c r="D72" t="s">
        <v>2140</v>
      </c>
      <c r="E72" t="s">
        <v>2675</v>
      </c>
      <c r="F72">
        <v>72980</v>
      </c>
      <c r="G72" t="s">
        <v>2144</v>
      </c>
      <c r="H72" t="s">
        <v>421</v>
      </c>
      <c r="I72" t="s">
        <v>2142</v>
      </c>
      <c r="J72" t="s">
        <v>2143</v>
      </c>
      <c r="K72" t="s">
        <v>2158</v>
      </c>
      <c r="L72">
        <v>2241240669</v>
      </c>
      <c r="M72" s="2" t="s">
        <v>2145</v>
      </c>
      <c r="N72" t="s">
        <v>2150</v>
      </c>
      <c r="O72" t="s">
        <v>2151</v>
      </c>
      <c r="P72">
        <v>1</v>
      </c>
      <c r="R72" t="s">
        <v>2146</v>
      </c>
      <c r="S72">
        <v>1</v>
      </c>
      <c r="T72">
        <v>1</v>
      </c>
      <c r="U72">
        <v>1</v>
      </c>
      <c r="V72">
        <v>1</v>
      </c>
      <c r="W72">
        <v>0</v>
      </c>
      <c r="X72">
        <v>0</v>
      </c>
      <c r="Y72" t="s">
        <v>2147</v>
      </c>
      <c r="Z72">
        <v>50</v>
      </c>
      <c r="AA72">
        <v>50</v>
      </c>
      <c r="AD72" t="s">
        <v>2113</v>
      </c>
      <c r="AO72" t="s">
        <v>2148</v>
      </c>
      <c r="AP72" t="s">
        <v>2149</v>
      </c>
      <c r="AQ72">
        <v>2</v>
      </c>
      <c r="AR72">
        <v>0</v>
      </c>
      <c r="AS72">
        <v>1</v>
      </c>
      <c r="AT72">
        <v>1</v>
      </c>
      <c r="AU72">
        <v>0</v>
      </c>
      <c r="AV72">
        <v>0</v>
      </c>
      <c r="AX72">
        <v>20</v>
      </c>
      <c r="AY72">
        <v>1</v>
      </c>
      <c r="BB72" s="3">
        <f t="shared" si="24"/>
        <v>6</v>
      </c>
      <c r="BC72">
        <v>1</v>
      </c>
      <c r="BD72" t="s">
        <v>2008</v>
      </c>
      <c r="BE72">
        <v>2</v>
      </c>
      <c r="BF72" t="s">
        <v>2008</v>
      </c>
      <c r="BG72">
        <v>2</v>
      </c>
      <c r="BO72">
        <v>1</v>
      </c>
      <c r="BP72" t="s">
        <v>2152</v>
      </c>
      <c r="BS72" t="s">
        <v>2111</v>
      </c>
      <c r="CN72">
        <v>2</v>
      </c>
      <c r="CT72">
        <v>1</v>
      </c>
      <c r="CU72" s="3">
        <f t="shared" si="16"/>
        <v>1</v>
      </c>
      <c r="CV72">
        <v>1</v>
      </c>
      <c r="CW72">
        <v>1</v>
      </c>
      <c r="EG72">
        <v>3</v>
      </c>
      <c r="EH72" t="s">
        <v>2153</v>
      </c>
      <c r="EI72">
        <v>2024</v>
      </c>
      <c r="EJ72" t="s">
        <v>2154</v>
      </c>
      <c r="EK72" t="s">
        <v>2155</v>
      </c>
      <c r="EL72" t="s">
        <v>2156</v>
      </c>
      <c r="EM72" t="s">
        <v>2155</v>
      </c>
      <c r="EN72" t="s">
        <v>437</v>
      </c>
      <c r="EP72" t="s">
        <v>439</v>
      </c>
      <c r="EQ72" t="s">
        <v>440</v>
      </c>
      <c r="ES72" s="9" t="s">
        <v>2157</v>
      </c>
      <c r="FU72">
        <v>0</v>
      </c>
      <c r="FV72" s="3">
        <f t="shared" si="17"/>
        <v>0</v>
      </c>
      <c r="FX72">
        <v>0</v>
      </c>
      <c r="FY72" s="3">
        <f t="shared" si="18"/>
        <v>0</v>
      </c>
      <c r="GA72">
        <v>0</v>
      </c>
      <c r="GB72" s="3">
        <f t="shared" si="19"/>
        <v>0</v>
      </c>
      <c r="GC72" t="s">
        <v>452</v>
      </c>
      <c r="GD72">
        <f t="shared" si="23"/>
        <v>120</v>
      </c>
      <c r="GE72" s="3">
        <f t="shared" si="20"/>
        <v>8.0000000000000002E-3</v>
      </c>
      <c r="GF72" s="3">
        <f t="shared" si="21"/>
        <v>8.0000000000000002E-3</v>
      </c>
      <c r="GG72" s="3" t="str">
        <f t="shared" si="25"/>
        <v>ORDINARIO</v>
      </c>
    </row>
    <row r="73" spans="1:189" x14ac:dyDescent="0.3">
      <c r="A73">
        <v>72</v>
      </c>
      <c r="B73" t="s">
        <v>2141</v>
      </c>
      <c r="C73" t="s">
        <v>541</v>
      </c>
      <c r="D73" t="s">
        <v>2140</v>
      </c>
      <c r="E73" t="s">
        <v>2676</v>
      </c>
      <c r="F73">
        <v>72995</v>
      </c>
      <c r="G73" t="s">
        <v>2144</v>
      </c>
      <c r="H73" t="s">
        <v>421</v>
      </c>
      <c r="I73" t="s">
        <v>2142</v>
      </c>
      <c r="J73" t="s">
        <v>2143</v>
      </c>
      <c r="K73" t="s">
        <v>2158</v>
      </c>
      <c r="L73">
        <v>2241240669</v>
      </c>
      <c r="M73" s="2" t="s">
        <v>2159</v>
      </c>
      <c r="N73" t="s">
        <v>2150</v>
      </c>
      <c r="O73" t="s">
        <v>2151</v>
      </c>
      <c r="P73">
        <v>1</v>
      </c>
      <c r="R73" t="s">
        <v>2160</v>
      </c>
      <c r="S73">
        <v>1</v>
      </c>
      <c r="T73">
        <v>1</v>
      </c>
      <c r="U73">
        <v>1</v>
      </c>
      <c r="V73">
        <v>1</v>
      </c>
      <c r="W73">
        <v>0</v>
      </c>
      <c r="X73">
        <v>0</v>
      </c>
      <c r="Y73" t="s">
        <v>457</v>
      </c>
      <c r="Z73">
        <v>82</v>
      </c>
      <c r="AA73">
        <v>82</v>
      </c>
      <c r="AD73" t="s">
        <v>2113</v>
      </c>
      <c r="AO73" t="s">
        <v>2148</v>
      </c>
      <c r="AP73" t="s">
        <v>2161</v>
      </c>
      <c r="AQ73">
        <v>3</v>
      </c>
      <c r="AR73">
        <v>0</v>
      </c>
      <c r="AS73">
        <v>0</v>
      </c>
      <c r="AT73">
        <v>3</v>
      </c>
      <c r="AU73">
        <v>0</v>
      </c>
      <c r="AV73">
        <v>0</v>
      </c>
      <c r="AX73">
        <v>100</v>
      </c>
      <c r="AY73">
        <v>1</v>
      </c>
      <c r="BB73" s="3">
        <f t="shared" si="24"/>
        <v>9</v>
      </c>
      <c r="BC73">
        <v>1</v>
      </c>
      <c r="BD73" t="s">
        <v>429</v>
      </c>
      <c r="BE73">
        <v>2</v>
      </c>
      <c r="BF73" t="s">
        <v>2162</v>
      </c>
      <c r="BG73">
        <v>2</v>
      </c>
      <c r="BO73">
        <v>1</v>
      </c>
      <c r="BP73" t="s">
        <v>2152</v>
      </c>
      <c r="BS73" t="s">
        <v>2111</v>
      </c>
      <c r="CN73">
        <v>3</v>
      </c>
      <c r="CP73">
        <v>1</v>
      </c>
      <c r="CS73">
        <v>1</v>
      </c>
      <c r="CT73">
        <v>2</v>
      </c>
      <c r="CU73" s="3">
        <f t="shared" si="16"/>
        <v>1</v>
      </c>
      <c r="CV73">
        <v>1</v>
      </c>
      <c r="CW73">
        <v>2</v>
      </c>
      <c r="EG73">
        <v>3</v>
      </c>
      <c r="EH73" t="s">
        <v>2153</v>
      </c>
      <c r="EI73">
        <v>2024</v>
      </c>
      <c r="EJ73" t="s">
        <v>2163</v>
      </c>
      <c r="EK73" t="s">
        <v>2164</v>
      </c>
      <c r="EL73" t="s">
        <v>2164</v>
      </c>
      <c r="EM73" t="s">
        <v>1710</v>
      </c>
      <c r="EN73" t="s">
        <v>2165</v>
      </c>
      <c r="EP73" t="s">
        <v>439</v>
      </c>
      <c r="EQ73" t="s">
        <v>440</v>
      </c>
      <c r="ES73" s="9" t="s">
        <v>2166</v>
      </c>
      <c r="EV73" s="9" t="s">
        <v>2167</v>
      </c>
      <c r="FU73">
        <v>0</v>
      </c>
      <c r="FV73" s="3">
        <f t="shared" si="17"/>
        <v>0</v>
      </c>
      <c r="FX73">
        <v>0</v>
      </c>
      <c r="FY73" s="3">
        <f t="shared" si="18"/>
        <v>0</v>
      </c>
      <c r="GA73">
        <v>0</v>
      </c>
      <c r="GB73" s="3">
        <f t="shared" si="19"/>
        <v>0</v>
      </c>
      <c r="GC73" t="s">
        <v>452</v>
      </c>
      <c r="GD73">
        <f t="shared" si="23"/>
        <v>180</v>
      </c>
      <c r="GE73" s="3">
        <f t="shared" si="20"/>
        <v>1.2E-2</v>
      </c>
      <c r="GF73" s="3">
        <f t="shared" si="21"/>
        <v>1.2E-2</v>
      </c>
      <c r="GG73" s="3" t="str">
        <f t="shared" si="25"/>
        <v>ORDINARIO</v>
      </c>
    </row>
    <row r="74" spans="1:189" x14ac:dyDescent="0.3">
      <c r="A74">
        <v>73</v>
      </c>
      <c r="B74" t="s">
        <v>2232</v>
      </c>
      <c r="C74" t="s">
        <v>2104</v>
      </c>
      <c r="D74" t="s">
        <v>2092</v>
      </c>
      <c r="E74" t="s">
        <v>2677</v>
      </c>
      <c r="F74">
        <v>75700</v>
      </c>
      <c r="G74" t="s">
        <v>1842</v>
      </c>
      <c r="H74" t="s">
        <v>421</v>
      </c>
      <c r="I74" t="s">
        <v>2093</v>
      </c>
      <c r="J74" t="s">
        <v>2178</v>
      </c>
      <c r="K74" t="s">
        <v>2095</v>
      </c>
      <c r="L74">
        <v>2381366920</v>
      </c>
      <c r="M74" s="2" t="s">
        <v>2179</v>
      </c>
      <c r="N74" t="s">
        <v>2260</v>
      </c>
      <c r="O74" t="s">
        <v>2139</v>
      </c>
      <c r="P74">
        <v>1</v>
      </c>
      <c r="R74" t="s">
        <v>2180</v>
      </c>
      <c r="S74">
        <v>1</v>
      </c>
      <c r="T74">
        <v>1</v>
      </c>
      <c r="U74">
        <v>1</v>
      </c>
      <c r="V74">
        <v>1</v>
      </c>
      <c r="W74">
        <v>0</v>
      </c>
      <c r="X74">
        <v>0</v>
      </c>
      <c r="Y74" t="s">
        <v>821</v>
      </c>
      <c r="Z74">
        <v>40</v>
      </c>
      <c r="AA74">
        <v>40</v>
      </c>
      <c r="AD74" t="s">
        <v>2113</v>
      </c>
      <c r="AO74" t="s">
        <v>2106</v>
      </c>
      <c r="AP74" t="s">
        <v>2181</v>
      </c>
      <c r="AQ74">
        <v>2</v>
      </c>
      <c r="AR74">
        <v>0</v>
      </c>
      <c r="AS74">
        <v>1</v>
      </c>
      <c r="AT74">
        <v>1</v>
      </c>
      <c r="AU74">
        <v>0</v>
      </c>
      <c r="AV74">
        <v>0</v>
      </c>
      <c r="AX74">
        <v>65</v>
      </c>
      <c r="AY74">
        <v>3</v>
      </c>
      <c r="BB74" s="3">
        <f t="shared" si="24"/>
        <v>7</v>
      </c>
      <c r="BC74">
        <v>1</v>
      </c>
      <c r="BD74" t="s">
        <v>429</v>
      </c>
      <c r="BE74">
        <v>2</v>
      </c>
      <c r="BF74" t="s">
        <v>2187</v>
      </c>
      <c r="BG74">
        <v>1</v>
      </c>
      <c r="BH74">
        <v>1</v>
      </c>
      <c r="BO74">
        <v>1</v>
      </c>
      <c r="BP74" t="s">
        <v>2130</v>
      </c>
      <c r="BS74" t="s">
        <v>2111</v>
      </c>
      <c r="BV74">
        <v>2</v>
      </c>
      <c r="BW74" t="s">
        <v>828</v>
      </c>
      <c r="CN74">
        <v>1</v>
      </c>
      <c r="CP74">
        <v>1</v>
      </c>
      <c r="CS74">
        <v>1</v>
      </c>
      <c r="CT74">
        <v>1</v>
      </c>
      <c r="CU74" s="3">
        <f t="shared" si="16"/>
        <v>0</v>
      </c>
      <c r="DO74">
        <v>2</v>
      </c>
      <c r="DP74" t="s">
        <v>828</v>
      </c>
      <c r="EG74">
        <v>14</v>
      </c>
      <c r="EH74" t="s">
        <v>2153</v>
      </c>
      <c r="EI74">
        <v>2024</v>
      </c>
      <c r="EJ74" t="s">
        <v>2182</v>
      </c>
      <c r="EK74" t="s">
        <v>2183</v>
      </c>
      <c r="EL74" t="s">
        <v>2184</v>
      </c>
      <c r="EM74" t="s">
        <v>2185</v>
      </c>
      <c r="EN74" t="s">
        <v>2186</v>
      </c>
      <c r="EP74" t="s">
        <v>439</v>
      </c>
      <c r="EQ74" t="s">
        <v>440</v>
      </c>
      <c r="ES74" s="9" t="s">
        <v>2188</v>
      </c>
      <c r="FU74">
        <v>0</v>
      </c>
      <c r="FV74" s="3">
        <f t="shared" si="17"/>
        <v>0</v>
      </c>
      <c r="FX74">
        <v>0</v>
      </c>
      <c r="FY74" s="3">
        <f t="shared" si="18"/>
        <v>0</v>
      </c>
      <c r="GA74">
        <v>0</v>
      </c>
      <c r="GB74" s="3">
        <f t="shared" si="19"/>
        <v>0</v>
      </c>
      <c r="GC74" t="s">
        <v>452</v>
      </c>
      <c r="GD74">
        <f t="shared" si="23"/>
        <v>120</v>
      </c>
      <c r="GE74" s="3">
        <f t="shared" si="20"/>
        <v>8.0000000000000002E-3</v>
      </c>
      <c r="GF74" s="3">
        <f t="shared" si="21"/>
        <v>8.0000000000000002E-3</v>
      </c>
      <c r="GG74" s="3" t="str">
        <f t="shared" si="25"/>
        <v>ORDINARIO</v>
      </c>
    </row>
    <row r="75" spans="1:189" x14ac:dyDescent="0.3">
      <c r="A75">
        <v>74</v>
      </c>
      <c r="B75" t="s">
        <v>2233</v>
      </c>
      <c r="C75" t="s">
        <v>2104</v>
      </c>
      <c r="D75" t="s">
        <v>2092</v>
      </c>
      <c r="E75" t="s">
        <v>2678</v>
      </c>
      <c r="F75">
        <v>75750</v>
      </c>
      <c r="G75" t="s">
        <v>1842</v>
      </c>
      <c r="H75" t="s">
        <v>421</v>
      </c>
      <c r="I75" t="s">
        <v>2093</v>
      </c>
      <c r="J75" t="s">
        <v>2178</v>
      </c>
      <c r="K75" t="s">
        <v>2095</v>
      </c>
      <c r="L75">
        <v>5541789557</v>
      </c>
      <c r="M75" s="2" t="s">
        <v>2189</v>
      </c>
      <c r="N75" t="s">
        <v>2260</v>
      </c>
      <c r="O75" t="s">
        <v>2139</v>
      </c>
      <c r="P75">
        <v>1</v>
      </c>
      <c r="Q75">
        <v>9</v>
      </c>
      <c r="R75">
        <v>2016</v>
      </c>
      <c r="S75">
        <v>1</v>
      </c>
      <c r="T75">
        <v>1</v>
      </c>
      <c r="U75">
        <v>1</v>
      </c>
      <c r="V75">
        <v>1</v>
      </c>
      <c r="W75">
        <v>0</v>
      </c>
      <c r="X75">
        <v>0</v>
      </c>
      <c r="Y75" t="s">
        <v>2147</v>
      </c>
      <c r="Z75">
        <v>782</v>
      </c>
      <c r="AA75">
        <v>40</v>
      </c>
      <c r="AD75" t="s">
        <v>2113</v>
      </c>
      <c r="AO75" t="s">
        <v>2106</v>
      </c>
      <c r="AP75" t="s">
        <v>2190</v>
      </c>
      <c r="AQ75">
        <v>1</v>
      </c>
      <c r="AR75">
        <v>0</v>
      </c>
      <c r="AS75">
        <v>1</v>
      </c>
      <c r="AT75">
        <v>0</v>
      </c>
      <c r="AU75">
        <v>0</v>
      </c>
      <c r="AV75">
        <v>0</v>
      </c>
      <c r="AX75">
        <v>30</v>
      </c>
      <c r="AY75">
        <v>3</v>
      </c>
      <c r="BB75" s="3">
        <f t="shared" si="24"/>
        <v>12</v>
      </c>
      <c r="BC75">
        <v>1</v>
      </c>
      <c r="BD75" t="s">
        <v>429</v>
      </c>
      <c r="BE75">
        <v>2</v>
      </c>
      <c r="BF75" t="s">
        <v>2187</v>
      </c>
      <c r="BG75">
        <v>1</v>
      </c>
      <c r="BH75">
        <v>1</v>
      </c>
      <c r="BM75">
        <v>1</v>
      </c>
      <c r="BN75" t="s">
        <v>429</v>
      </c>
      <c r="BO75">
        <v>1</v>
      </c>
      <c r="BP75" t="s">
        <v>2130</v>
      </c>
      <c r="BS75" t="s">
        <v>2111</v>
      </c>
      <c r="BV75">
        <v>2</v>
      </c>
      <c r="BW75" t="s">
        <v>828</v>
      </c>
      <c r="CN75">
        <v>4</v>
      </c>
      <c r="CP75">
        <v>1</v>
      </c>
      <c r="CR75">
        <v>1</v>
      </c>
      <c r="CS75">
        <v>2</v>
      </c>
      <c r="CT75">
        <v>2</v>
      </c>
      <c r="CU75" s="3">
        <f t="shared" si="16"/>
        <v>2</v>
      </c>
      <c r="CV75">
        <v>2</v>
      </c>
      <c r="DO75">
        <v>3</v>
      </c>
      <c r="DP75" t="s">
        <v>828</v>
      </c>
      <c r="EG75">
        <v>14</v>
      </c>
      <c r="EH75" t="s">
        <v>2153</v>
      </c>
      <c r="EI75">
        <v>2024</v>
      </c>
      <c r="EJ75" t="s">
        <v>2191</v>
      </c>
      <c r="EK75" t="s">
        <v>2192</v>
      </c>
      <c r="EL75" t="s">
        <v>2193</v>
      </c>
      <c r="EM75" t="s">
        <v>2194</v>
      </c>
      <c r="EN75" t="s">
        <v>2195</v>
      </c>
      <c r="EP75" t="s">
        <v>439</v>
      </c>
      <c r="EQ75" t="s">
        <v>440</v>
      </c>
      <c r="FU75">
        <v>0</v>
      </c>
      <c r="FV75" s="3">
        <f t="shared" si="17"/>
        <v>0</v>
      </c>
      <c r="FX75">
        <v>0</v>
      </c>
      <c r="FY75" s="3">
        <f t="shared" si="18"/>
        <v>0</v>
      </c>
      <c r="GA75">
        <v>0</v>
      </c>
      <c r="GB75" s="3">
        <f t="shared" si="19"/>
        <v>0</v>
      </c>
      <c r="GC75" t="s">
        <v>452</v>
      </c>
      <c r="GD75">
        <f t="shared" si="23"/>
        <v>60</v>
      </c>
      <c r="GE75" s="3">
        <f t="shared" si="20"/>
        <v>4.0000000000000001E-3</v>
      </c>
      <c r="GF75" s="3">
        <f t="shared" si="21"/>
        <v>4.0000000000000001E-3</v>
      </c>
      <c r="GG75" s="3" t="str">
        <f t="shared" si="25"/>
        <v>ORDINARIO</v>
      </c>
    </row>
    <row r="76" spans="1:189" x14ac:dyDescent="0.3">
      <c r="A76">
        <v>75</v>
      </c>
      <c r="B76" t="s">
        <v>2234</v>
      </c>
      <c r="C76" t="s">
        <v>2104</v>
      </c>
      <c r="D76" t="s">
        <v>2092</v>
      </c>
      <c r="E76" t="s">
        <v>2679</v>
      </c>
      <c r="F76">
        <v>75480</v>
      </c>
      <c r="G76" t="s">
        <v>1544</v>
      </c>
      <c r="H76" t="s">
        <v>421</v>
      </c>
      <c r="I76" t="s">
        <v>2093</v>
      </c>
      <c r="J76" t="s">
        <v>2178</v>
      </c>
      <c r="K76" t="s">
        <v>2095</v>
      </c>
      <c r="L76">
        <v>2221637713</v>
      </c>
      <c r="M76" s="2" t="s">
        <v>2212</v>
      </c>
      <c r="N76" t="s">
        <v>2260</v>
      </c>
      <c r="O76" t="s">
        <v>2139</v>
      </c>
      <c r="P76">
        <v>1</v>
      </c>
      <c r="Q76">
        <v>9</v>
      </c>
      <c r="R76" t="s">
        <v>2342</v>
      </c>
      <c r="S76">
        <v>1</v>
      </c>
      <c r="T76">
        <v>1</v>
      </c>
      <c r="U76">
        <v>1</v>
      </c>
      <c r="V76">
        <v>1</v>
      </c>
      <c r="W76">
        <v>0</v>
      </c>
      <c r="X76">
        <v>0</v>
      </c>
      <c r="Y76" t="s">
        <v>1182</v>
      </c>
      <c r="Z76">
        <v>45</v>
      </c>
      <c r="AA76">
        <v>45</v>
      </c>
      <c r="AD76" t="s">
        <v>2113</v>
      </c>
      <c r="AO76" t="s">
        <v>2106</v>
      </c>
      <c r="AP76" t="s">
        <v>2213</v>
      </c>
      <c r="AQ76">
        <v>1</v>
      </c>
      <c r="AR76">
        <v>0</v>
      </c>
      <c r="AS76">
        <v>1</v>
      </c>
      <c r="AT76">
        <v>0</v>
      </c>
      <c r="AU76">
        <v>0</v>
      </c>
      <c r="AV76">
        <v>0</v>
      </c>
      <c r="AX76">
        <v>25</v>
      </c>
      <c r="AY76">
        <v>3</v>
      </c>
      <c r="BB76" s="3">
        <f t="shared" si="24"/>
        <v>11</v>
      </c>
      <c r="BC76">
        <v>1</v>
      </c>
      <c r="BD76" t="s">
        <v>429</v>
      </c>
      <c r="BE76">
        <v>2</v>
      </c>
      <c r="BF76" t="s">
        <v>2187</v>
      </c>
      <c r="BG76">
        <v>1</v>
      </c>
      <c r="BH76">
        <v>1</v>
      </c>
      <c r="BM76">
        <v>1</v>
      </c>
      <c r="BN76" t="s">
        <v>429</v>
      </c>
      <c r="BO76">
        <v>1</v>
      </c>
      <c r="BP76" t="s">
        <v>2130</v>
      </c>
      <c r="BS76" t="s">
        <v>2111</v>
      </c>
      <c r="BV76">
        <v>2</v>
      </c>
      <c r="BW76" t="s">
        <v>828</v>
      </c>
      <c r="CN76">
        <v>4</v>
      </c>
      <c r="CP76">
        <v>1</v>
      </c>
      <c r="CS76">
        <v>2</v>
      </c>
      <c r="CT76">
        <v>2</v>
      </c>
      <c r="CU76" s="3">
        <f t="shared" si="16"/>
        <v>2</v>
      </c>
      <c r="CV76">
        <v>2</v>
      </c>
      <c r="DO76">
        <v>2</v>
      </c>
      <c r="DP76" t="s">
        <v>828</v>
      </c>
      <c r="EG76">
        <v>13</v>
      </c>
      <c r="EH76" t="s">
        <v>2153</v>
      </c>
      <c r="EI76">
        <v>2024</v>
      </c>
      <c r="EJ76" t="s">
        <v>2343</v>
      </c>
      <c r="EK76" t="s">
        <v>2344</v>
      </c>
      <c r="EL76" t="s">
        <v>2345</v>
      </c>
      <c r="EM76" t="s">
        <v>2346</v>
      </c>
      <c r="EN76" t="s">
        <v>2347</v>
      </c>
      <c r="EP76" t="s">
        <v>439</v>
      </c>
      <c r="EQ76" t="s">
        <v>440</v>
      </c>
      <c r="FU76">
        <v>0</v>
      </c>
      <c r="FV76" s="3">
        <f t="shared" si="17"/>
        <v>0</v>
      </c>
      <c r="FX76">
        <v>0</v>
      </c>
      <c r="FY76" s="3">
        <f t="shared" si="18"/>
        <v>0</v>
      </c>
      <c r="GA76">
        <v>0</v>
      </c>
      <c r="GB76" s="3">
        <f t="shared" si="19"/>
        <v>0</v>
      </c>
      <c r="GC76" t="s">
        <v>452</v>
      </c>
      <c r="GD76">
        <f t="shared" si="23"/>
        <v>60</v>
      </c>
      <c r="GE76" s="3">
        <f t="shared" si="20"/>
        <v>4.0000000000000001E-3</v>
      </c>
      <c r="GF76" s="3">
        <f t="shared" si="21"/>
        <v>4.0000000000000001E-3</v>
      </c>
      <c r="GG76" s="3" t="str">
        <f t="shared" si="25"/>
        <v>ORDINARIO</v>
      </c>
    </row>
    <row r="77" spans="1:189" x14ac:dyDescent="0.3">
      <c r="A77">
        <v>76</v>
      </c>
      <c r="B77" t="s">
        <v>2171</v>
      </c>
      <c r="C77" t="s">
        <v>541</v>
      </c>
      <c r="D77" t="s">
        <v>1856</v>
      </c>
      <c r="E77" t="s">
        <v>2680</v>
      </c>
      <c r="F77">
        <v>75700</v>
      </c>
      <c r="G77" t="s">
        <v>1842</v>
      </c>
      <c r="H77" t="s">
        <v>421</v>
      </c>
      <c r="I77" t="s">
        <v>1858</v>
      </c>
      <c r="J77" t="s">
        <v>2168</v>
      </c>
      <c r="K77" t="s">
        <v>1879</v>
      </c>
      <c r="L77">
        <v>2383806932</v>
      </c>
      <c r="M77" s="2" t="s">
        <v>2169</v>
      </c>
      <c r="N77" t="s">
        <v>2150</v>
      </c>
      <c r="O77" t="s">
        <v>2173</v>
      </c>
      <c r="P77">
        <v>1</v>
      </c>
      <c r="R77" t="s">
        <v>2170</v>
      </c>
      <c r="S77">
        <v>1</v>
      </c>
      <c r="T77">
        <v>2</v>
      </c>
      <c r="U77">
        <v>1</v>
      </c>
      <c r="V77">
        <v>1</v>
      </c>
      <c r="W77">
        <v>1</v>
      </c>
      <c r="X77">
        <v>0</v>
      </c>
      <c r="Y77" t="s">
        <v>457</v>
      </c>
      <c r="Z77">
        <v>25</v>
      </c>
      <c r="AA77">
        <v>40</v>
      </c>
      <c r="AD77" t="s">
        <v>2113</v>
      </c>
      <c r="AO77" t="s">
        <v>1862</v>
      </c>
      <c r="AP77" t="s">
        <v>2172</v>
      </c>
      <c r="AQ77">
        <v>2</v>
      </c>
      <c r="AR77">
        <v>0</v>
      </c>
      <c r="AS77">
        <v>1</v>
      </c>
      <c r="AT77">
        <v>1</v>
      </c>
      <c r="AU77">
        <v>0</v>
      </c>
      <c r="AV77">
        <v>0</v>
      </c>
      <c r="AX77">
        <v>20</v>
      </c>
      <c r="AY77">
        <v>2</v>
      </c>
      <c r="BB77" s="3">
        <f t="shared" si="24"/>
        <v>9</v>
      </c>
      <c r="BC77">
        <v>1</v>
      </c>
      <c r="BD77" t="s">
        <v>429</v>
      </c>
      <c r="BE77">
        <v>2</v>
      </c>
      <c r="BF77" t="s">
        <v>2174</v>
      </c>
      <c r="BG77">
        <v>2</v>
      </c>
      <c r="BT77">
        <v>2</v>
      </c>
      <c r="BU77">
        <v>1</v>
      </c>
      <c r="BV77">
        <v>3</v>
      </c>
      <c r="BW77" t="s">
        <v>828</v>
      </c>
      <c r="CN77">
        <v>4</v>
      </c>
      <c r="CP77">
        <v>1</v>
      </c>
      <c r="CS77">
        <v>1</v>
      </c>
      <c r="CT77">
        <v>1</v>
      </c>
      <c r="CU77" s="3">
        <f t="shared" ref="CU77:CU108" si="26">+CV77+CX77+CY77+CZ77+DA77</f>
        <v>1</v>
      </c>
      <c r="CV77">
        <v>1</v>
      </c>
      <c r="EG77">
        <v>14</v>
      </c>
      <c r="EH77" t="s">
        <v>2153</v>
      </c>
      <c r="EI77">
        <v>2024</v>
      </c>
      <c r="EJ77" t="s">
        <v>2175</v>
      </c>
      <c r="EK77" t="s">
        <v>2164</v>
      </c>
      <c r="EL77" t="s">
        <v>2164</v>
      </c>
      <c r="EM77" t="s">
        <v>2176</v>
      </c>
      <c r="EN77" t="s">
        <v>1710</v>
      </c>
      <c r="EP77" t="s">
        <v>439</v>
      </c>
      <c r="EQ77" t="s">
        <v>440</v>
      </c>
      <c r="ES77" s="9" t="s">
        <v>1874</v>
      </c>
      <c r="FU77">
        <v>0</v>
      </c>
      <c r="FV77" s="3">
        <f t="shared" ref="FV77:FV108" si="27">+FU77/3000</f>
        <v>0</v>
      </c>
      <c r="FW77" t="s">
        <v>2177</v>
      </c>
      <c r="FX77">
        <v>101</v>
      </c>
      <c r="FY77" s="3">
        <f t="shared" ref="FY77:FY108" si="28">+FX77/1400</f>
        <v>7.2142857142857147E-2</v>
      </c>
      <c r="GA77">
        <v>0</v>
      </c>
      <c r="GB77" s="3">
        <f t="shared" ref="GB77:GB108" si="29">+GA77/2000</f>
        <v>0</v>
      </c>
      <c r="GC77" t="s">
        <v>452</v>
      </c>
      <c r="GD77">
        <f>60*AQ77</f>
        <v>120</v>
      </c>
      <c r="GE77" s="3">
        <f t="shared" ref="GE77:GE108" si="30">+GD77/15000</f>
        <v>8.0000000000000002E-3</v>
      </c>
      <c r="GF77" s="3">
        <f t="shared" ref="GF77:GF108" si="31">+FV77+FY77+GB77+GE77</f>
        <v>8.0142857142857155E-2</v>
      </c>
      <c r="GG77" s="3" t="str">
        <f t="shared" si="25"/>
        <v>ORDINARIO</v>
      </c>
    </row>
    <row r="78" spans="1:189" x14ac:dyDescent="0.3">
      <c r="A78">
        <v>77</v>
      </c>
      <c r="B78" t="s">
        <v>2230</v>
      </c>
      <c r="C78" t="s">
        <v>2358</v>
      </c>
      <c r="D78" t="s">
        <v>2231</v>
      </c>
      <c r="E78" t="s">
        <v>2681</v>
      </c>
      <c r="F78">
        <v>73310</v>
      </c>
      <c r="G78" t="s">
        <v>2196</v>
      </c>
      <c r="H78" t="s">
        <v>421</v>
      </c>
      <c r="I78" t="s">
        <v>2214</v>
      </c>
      <c r="J78" t="s">
        <v>2215</v>
      </c>
      <c r="K78" t="s">
        <v>2216</v>
      </c>
      <c r="L78">
        <v>2216678745</v>
      </c>
      <c r="M78" s="2" t="s">
        <v>2217</v>
      </c>
      <c r="N78" t="s">
        <v>2150</v>
      </c>
      <c r="O78" t="s">
        <v>428</v>
      </c>
      <c r="P78">
        <v>2</v>
      </c>
      <c r="Q78">
        <v>3</v>
      </c>
      <c r="R78" t="s">
        <v>2218</v>
      </c>
      <c r="S78">
        <v>1</v>
      </c>
      <c r="T78">
        <v>1</v>
      </c>
      <c r="U78">
        <v>2</v>
      </c>
      <c r="V78">
        <v>2</v>
      </c>
      <c r="W78">
        <v>0</v>
      </c>
      <c r="X78">
        <v>0</v>
      </c>
      <c r="Y78" t="s">
        <v>883</v>
      </c>
      <c r="Z78">
        <v>2500</v>
      </c>
      <c r="AA78">
        <v>2500</v>
      </c>
      <c r="AD78" t="s">
        <v>2113</v>
      </c>
      <c r="AO78" t="s">
        <v>2219</v>
      </c>
      <c r="AP78" t="s">
        <v>2220</v>
      </c>
      <c r="AQ78">
        <v>3</v>
      </c>
      <c r="AR78">
        <v>0</v>
      </c>
      <c r="AS78">
        <v>2</v>
      </c>
      <c r="AT78">
        <v>1</v>
      </c>
      <c r="AU78">
        <v>0</v>
      </c>
      <c r="AV78">
        <v>0</v>
      </c>
      <c r="AX78">
        <v>30</v>
      </c>
      <c r="AY78">
        <v>3</v>
      </c>
      <c r="BB78" s="3">
        <f t="shared" si="24"/>
        <v>31</v>
      </c>
      <c r="BC78">
        <v>1</v>
      </c>
      <c r="BD78" t="s">
        <v>739</v>
      </c>
      <c r="BE78">
        <v>11</v>
      </c>
      <c r="BF78" t="s">
        <v>2221</v>
      </c>
      <c r="BG78">
        <v>10</v>
      </c>
      <c r="BH78">
        <v>1</v>
      </c>
      <c r="BI78">
        <v>2</v>
      </c>
      <c r="BJ78" t="s">
        <v>2222</v>
      </c>
      <c r="BO78">
        <v>2</v>
      </c>
      <c r="BP78" t="s">
        <v>2223</v>
      </c>
      <c r="BS78" t="s">
        <v>2222</v>
      </c>
      <c r="CN78">
        <v>11</v>
      </c>
      <c r="CP78">
        <v>2</v>
      </c>
      <c r="CR78">
        <v>1</v>
      </c>
      <c r="CS78">
        <v>3</v>
      </c>
      <c r="CT78">
        <v>1</v>
      </c>
      <c r="CU78" s="3">
        <f t="shared" si="26"/>
        <v>5</v>
      </c>
      <c r="CV78">
        <v>5</v>
      </c>
      <c r="EG78">
        <v>25</v>
      </c>
      <c r="EH78" t="s">
        <v>2153</v>
      </c>
      <c r="EI78">
        <v>2024</v>
      </c>
      <c r="EJ78" t="s">
        <v>2224</v>
      </c>
      <c r="EK78" t="s">
        <v>544</v>
      </c>
      <c r="EL78" t="s">
        <v>2225</v>
      </c>
      <c r="EM78" t="s">
        <v>1870</v>
      </c>
      <c r="EN78" t="s">
        <v>796</v>
      </c>
      <c r="EP78" t="s">
        <v>439</v>
      </c>
      <c r="EQ78" t="s">
        <v>440</v>
      </c>
      <c r="ES78" s="9" t="s">
        <v>2226</v>
      </c>
      <c r="EV78" s="9" t="s">
        <v>2227</v>
      </c>
      <c r="EY78" s="9" t="s">
        <v>2228</v>
      </c>
      <c r="FB78" s="9" t="s">
        <v>2229</v>
      </c>
      <c r="FT78" t="s">
        <v>2004</v>
      </c>
      <c r="FU78">
        <v>4934</v>
      </c>
      <c r="FV78" s="3">
        <f t="shared" si="27"/>
        <v>1.6446666666666667</v>
      </c>
      <c r="FX78">
        <v>0</v>
      </c>
      <c r="FY78" s="3">
        <f t="shared" si="28"/>
        <v>0</v>
      </c>
      <c r="GA78">
        <v>0</v>
      </c>
      <c r="GB78" s="3">
        <f t="shared" si="29"/>
        <v>0</v>
      </c>
      <c r="GC78" t="s">
        <v>452</v>
      </c>
      <c r="GD78">
        <f>60*AQ78</f>
        <v>180</v>
      </c>
      <c r="GE78" s="3">
        <f t="shared" si="30"/>
        <v>1.2E-2</v>
      </c>
      <c r="GF78" s="3">
        <f t="shared" si="31"/>
        <v>1.6566666666666667</v>
      </c>
      <c r="GG78" s="3" t="str">
        <f t="shared" si="25"/>
        <v>ALTO</v>
      </c>
    </row>
    <row r="79" spans="1:189" x14ac:dyDescent="0.3">
      <c r="A79">
        <v>78</v>
      </c>
      <c r="B79" t="s">
        <v>2262</v>
      </c>
      <c r="C79" t="s">
        <v>541</v>
      </c>
      <c r="D79" t="s">
        <v>2261</v>
      </c>
      <c r="E79" t="s">
        <v>2682</v>
      </c>
      <c r="F79">
        <v>72000</v>
      </c>
      <c r="G79" t="s">
        <v>421</v>
      </c>
      <c r="H79" t="s">
        <v>421</v>
      </c>
      <c r="I79" t="s">
        <v>2263</v>
      </c>
      <c r="J79" t="s">
        <v>2264</v>
      </c>
      <c r="K79" t="s">
        <v>2265</v>
      </c>
      <c r="L79">
        <v>2222969953</v>
      </c>
      <c r="M79" s="8" t="s">
        <v>2026</v>
      </c>
      <c r="N79" t="s">
        <v>2150</v>
      </c>
      <c r="O79" t="s">
        <v>2268</v>
      </c>
      <c r="P79">
        <v>1</v>
      </c>
      <c r="Q79">
        <v>34</v>
      </c>
      <c r="R79" t="s">
        <v>2266</v>
      </c>
      <c r="S79">
        <v>1</v>
      </c>
      <c r="T79">
        <v>2</v>
      </c>
      <c r="U79">
        <v>2</v>
      </c>
      <c r="V79">
        <v>2</v>
      </c>
      <c r="W79">
        <v>1</v>
      </c>
      <c r="X79">
        <v>0</v>
      </c>
      <c r="Y79" t="s">
        <v>821</v>
      </c>
      <c r="Z79">
        <v>591</v>
      </c>
      <c r="AA79">
        <v>878</v>
      </c>
      <c r="AD79" t="s">
        <v>2113</v>
      </c>
      <c r="AO79" t="s">
        <v>2261</v>
      </c>
      <c r="AP79" t="s">
        <v>2267</v>
      </c>
      <c r="AQ79">
        <v>10</v>
      </c>
      <c r="AR79">
        <v>0</v>
      </c>
      <c r="AS79">
        <v>4</v>
      </c>
      <c r="AT79">
        <v>6</v>
      </c>
      <c r="AU79">
        <v>0</v>
      </c>
      <c r="AV79">
        <v>0</v>
      </c>
      <c r="AX79">
        <v>30</v>
      </c>
      <c r="AY79">
        <v>4</v>
      </c>
      <c r="BB79" s="3">
        <f t="shared" si="24"/>
        <v>33</v>
      </c>
      <c r="BC79">
        <v>2</v>
      </c>
      <c r="BD79" t="s">
        <v>2271</v>
      </c>
      <c r="BE79">
        <v>7</v>
      </c>
      <c r="BF79" t="s">
        <v>2272</v>
      </c>
      <c r="BG79">
        <v>6</v>
      </c>
      <c r="BH79">
        <v>1</v>
      </c>
      <c r="BO79">
        <v>1</v>
      </c>
      <c r="BP79" t="s">
        <v>1963</v>
      </c>
      <c r="BS79" t="s">
        <v>2273</v>
      </c>
      <c r="CN79">
        <v>17</v>
      </c>
      <c r="CO79">
        <v>2</v>
      </c>
      <c r="CP79">
        <v>2</v>
      </c>
      <c r="CS79">
        <v>2</v>
      </c>
      <c r="CT79">
        <v>3</v>
      </c>
      <c r="CU79" s="3">
        <f t="shared" si="26"/>
        <v>2</v>
      </c>
      <c r="CV79">
        <v>2</v>
      </c>
      <c r="EG79">
        <v>1</v>
      </c>
      <c r="EH79" t="s">
        <v>2270</v>
      </c>
      <c r="EI79">
        <v>2024</v>
      </c>
      <c r="EJ79" t="s">
        <v>2269</v>
      </c>
      <c r="EK79" t="s">
        <v>2274</v>
      </c>
      <c r="EL79" t="s">
        <v>2275</v>
      </c>
      <c r="EM79" t="s">
        <v>2277</v>
      </c>
      <c r="EN79" t="s">
        <v>2276</v>
      </c>
      <c r="EP79" t="s">
        <v>439</v>
      </c>
      <c r="EQ79" t="s">
        <v>440</v>
      </c>
      <c r="ES79" s="9" t="s">
        <v>2278</v>
      </c>
      <c r="EV79" s="9" t="s">
        <v>2279</v>
      </c>
      <c r="EY79" s="9" t="s">
        <v>2280</v>
      </c>
      <c r="FB79" s="9" t="s">
        <v>2281</v>
      </c>
      <c r="FE79" s="9" t="s">
        <v>2282</v>
      </c>
      <c r="FH79" s="9" t="s">
        <v>2283</v>
      </c>
      <c r="FK79" s="9" t="s">
        <v>2284</v>
      </c>
      <c r="FN79" s="9" t="s">
        <v>2285</v>
      </c>
      <c r="FQ79" s="9" t="s">
        <v>2286</v>
      </c>
      <c r="FT79" t="s">
        <v>2004</v>
      </c>
      <c r="FU79">
        <v>480</v>
      </c>
      <c r="FV79" s="3">
        <f t="shared" si="27"/>
        <v>0.16</v>
      </c>
      <c r="FX79">
        <v>0</v>
      </c>
      <c r="FY79" s="3">
        <f t="shared" si="28"/>
        <v>0</v>
      </c>
      <c r="GA79">
        <v>0</v>
      </c>
      <c r="GB79" s="3">
        <f t="shared" si="29"/>
        <v>0</v>
      </c>
      <c r="GC79" t="s">
        <v>452</v>
      </c>
      <c r="GD79">
        <v>1000</v>
      </c>
      <c r="GE79" s="3">
        <f t="shared" si="30"/>
        <v>6.6666666666666666E-2</v>
      </c>
      <c r="GF79" s="3">
        <f t="shared" si="31"/>
        <v>0.22666666666666668</v>
      </c>
      <c r="GG79" s="3" t="str">
        <f t="shared" si="25"/>
        <v>ORDINARIO</v>
      </c>
    </row>
    <row r="80" spans="1:189" x14ac:dyDescent="0.3">
      <c r="A80">
        <v>79</v>
      </c>
      <c r="B80" t="s">
        <v>2288</v>
      </c>
      <c r="C80" t="s">
        <v>565</v>
      </c>
      <c r="D80" t="s">
        <v>2287</v>
      </c>
      <c r="E80" t="s">
        <v>2683</v>
      </c>
      <c r="F80">
        <v>75160</v>
      </c>
      <c r="G80" t="s">
        <v>2293</v>
      </c>
      <c r="H80" t="s">
        <v>421</v>
      </c>
      <c r="I80" t="s">
        <v>2289</v>
      </c>
      <c r="J80" t="s">
        <v>2291</v>
      </c>
      <c r="K80" t="s">
        <v>2292</v>
      </c>
      <c r="L80">
        <v>2494510215</v>
      </c>
      <c r="M80" s="2" t="s">
        <v>2294</v>
      </c>
      <c r="N80" t="s">
        <v>2150</v>
      </c>
      <c r="O80" t="s">
        <v>2298</v>
      </c>
      <c r="P80">
        <v>2</v>
      </c>
      <c r="Q80">
        <v>9</v>
      </c>
      <c r="R80" t="s">
        <v>2295</v>
      </c>
      <c r="S80">
        <v>1</v>
      </c>
      <c r="T80">
        <v>1</v>
      </c>
      <c r="U80">
        <v>2</v>
      </c>
      <c r="V80">
        <v>2</v>
      </c>
      <c r="W80">
        <v>0</v>
      </c>
      <c r="X80">
        <v>0</v>
      </c>
      <c r="Y80" t="s">
        <v>883</v>
      </c>
      <c r="Z80">
        <v>3372.65</v>
      </c>
      <c r="AA80">
        <v>3372.65</v>
      </c>
      <c r="AC80" t="s">
        <v>2290</v>
      </c>
      <c r="AD80" t="s">
        <v>2113</v>
      </c>
      <c r="AO80" t="s">
        <v>2296</v>
      </c>
      <c r="AP80" t="s">
        <v>2297</v>
      </c>
      <c r="AQ80">
        <v>6</v>
      </c>
      <c r="AR80">
        <v>0</v>
      </c>
      <c r="AS80">
        <v>4</v>
      </c>
      <c r="AT80">
        <v>2</v>
      </c>
      <c r="AU80">
        <v>0</v>
      </c>
      <c r="AV80">
        <v>0</v>
      </c>
      <c r="AX80">
        <v>480</v>
      </c>
      <c r="AY80">
        <v>6</v>
      </c>
      <c r="BB80" s="3">
        <f t="shared" si="24"/>
        <v>13</v>
      </c>
      <c r="BC80">
        <v>1</v>
      </c>
      <c r="BD80" t="s">
        <v>739</v>
      </c>
      <c r="BE80">
        <v>7</v>
      </c>
      <c r="BF80" t="s">
        <v>2302</v>
      </c>
      <c r="BG80">
        <v>6</v>
      </c>
      <c r="BH80">
        <v>1</v>
      </c>
      <c r="BI80">
        <v>6</v>
      </c>
      <c r="BJ80" t="s">
        <v>2314</v>
      </c>
      <c r="BM80">
        <v>1</v>
      </c>
      <c r="BN80" t="s">
        <v>1579</v>
      </c>
      <c r="BO80">
        <v>1</v>
      </c>
      <c r="BP80" t="s">
        <v>738</v>
      </c>
      <c r="BS80" t="s">
        <v>739</v>
      </c>
      <c r="CN80">
        <v>4</v>
      </c>
      <c r="CT80">
        <v>1</v>
      </c>
      <c r="CU80" s="3">
        <f t="shared" si="26"/>
        <v>9</v>
      </c>
      <c r="CV80">
        <v>3</v>
      </c>
      <c r="CX80">
        <v>3</v>
      </c>
      <c r="CY80">
        <v>3</v>
      </c>
      <c r="DS80">
        <v>3</v>
      </c>
      <c r="DT80" t="s">
        <v>758</v>
      </c>
      <c r="DU80">
        <v>2</v>
      </c>
      <c r="DV80">
        <v>60000</v>
      </c>
      <c r="DW80">
        <v>30000</v>
      </c>
      <c r="EG80">
        <v>10</v>
      </c>
      <c r="EH80" t="s">
        <v>2270</v>
      </c>
      <c r="EI80">
        <v>2024</v>
      </c>
      <c r="EJ80" t="s">
        <v>2299</v>
      </c>
      <c r="EK80" t="s">
        <v>2300</v>
      </c>
      <c r="EL80" t="s">
        <v>2301</v>
      </c>
      <c r="EM80" t="s">
        <v>437</v>
      </c>
      <c r="EN80" t="s">
        <v>437</v>
      </c>
      <c r="EP80" t="s">
        <v>439</v>
      </c>
      <c r="EQ80" t="s">
        <v>440</v>
      </c>
      <c r="ES80" s="9" t="s">
        <v>2303</v>
      </c>
      <c r="EV80" t="s">
        <v>2304</v>
      </c>
      <c r="FB80" s="9" t="s">
        <v>2305</v>
      </c>
      <c r="FH80" s="9" t="s">
        <v>2306</v>
      </c>
      <c r="FN80" s="9" t="s">
        <v>2307</v>
      </c>
      <c r="FU80">
        <v>0</v>
      </c>
      <c r="FV80" s="3">
        <f t="shared" si="27"/>
        <v>0</v>
      </c>
      <c r="FW80" t="s">
        <v>451</v>
      </c>
      <c r="FX80">
        <v>60000</v>
      </c>
      <c r="FY80" s="3">
        <f t="shared" si="28"/>
        <v>42.857142857142854</v>
      </c>
      <c r="FZ80" t="s">
        <v>745</v>
      </c>
      <c r="GA80">
        <v>30060</v>
      </c>
      <c r="GB80" s="3">
        <f t="shared" si="29"/>
        <v>15.03</v>
      </c>
      <c r="GC80" t="s">
        <v>452</v>
      </c>
      <c r="GD80">
        <v>300</v>
      </c>
      <c r="GE80" s="3">
        <f t="shared" si="30"/>
        <v>0.02</v>
      </c>
      <c r="GF80" s="3">
        <f t="shared" si="31"/>
        <v>57.907142857142858</v>
      </c>
      <c r="GG80" s="3" t="str">
        <f t="shared" si="25"/>
        <v>ALTO</v>
      </c>
    </row>
    <row r="81" spans="1:189" x14ac:dyDescent="0.3">
      <c r="A81">
        <v>80</v>
      </c>
      <c r="B81" t="s">
        <v>2308</v>
      </c>
      <c r="C81" t="s">
        <v>565</v>
      </c>
      <c r="D81" t="s">
        <v>2287</v>
      </c>
      <c r="E81" t="s">
        <v>2684</v>
      </c>
      <c r="F81">
        <v>75020</v>
      </c>
      <c r="G81" t="s">
        <v>2310</v>
      </c>
      <c r="H81" t="s">
        <v>421</v>
      </c>
      <c r="I81" t="s">
        <v>2289</v>
      </c>
      <c r="J81" t="s">
        <v>2291</v>
      </c>
      <c r="K81" t="s">
        <v>2292</v>
      </c>
      <c r="L81">
        <v>2764770057</v>
      </c>
      <c r="M81" s="2" t="s">
        <v>2311</v>
      </c>
      <c r="N81" t="s">
        <v>2150</v>
      </c>
      <c r="O81" t="s">
        <v>2298</v>
      </c>
      <c r="P81">
        <v>2</v>
      </c>
      <c r="Q81">
        <v>32</v>
      </c>
      <c r="R81" t="s">
        <v>2312</v>
      </c>
      <c r="S81">
        <v>1</v>
      </c>
      <c r="T81">
        <v>2</v>
      </c>
      <c r="U81">
        <v>2</v>
      </c>
      <c r="V81">
        <v>2</v>
      </c>
      <c r="W81">
        <v>0</v>
      </c>
      <c r="X81">
        <v>0</v>
      </c>
      <c r="Y81" t="s">
        <v>457</v>
      </c>
      <c r="Z81">
        <v>1600</v>
      </c>
      <c r="AA81">
        <v>1600</v>
      </c>
      <c r="AC81" t="s">
        <v>2309</v>
      </c>
      <c r="AD81" t="s">
        <v>2113</v>
      </c>
      <c r="AO81" t="s">
        <v>2296</v>
      </c>
      <c r="AP81" t="s">
        <v>2313</v>
      </c>
      <c r="AQ81">
        <v>7</v>
      </c>
      <c r="AR81">
        <v>0</v>
      </c>
      <c r="AS81">
        <v>5</v>
      </c>
      <c r="AT81">
        <v>2</v>
      </c>
      <c r="AU81">
        <v>0</v>
      </c>
      <c r="AV81">
        <v>0</v>
      </c>
      <c r="AX81">
        <v>790</v>
      </c>
      <c r="AY81">
        <v>6</v>
      </c>
      <c r="BB81" s="3">
        <f t="shared" si="24"/>
        <v>9</v>
      </c>
      <c r="BE81">
        <v>7</v>
      </c>
      <c r="BF81" t="s">
        <v>2302</v>
      </c>
      <c r="BG81">
        <v>6</v>
      </c>
      <c r="BH81">
        <v>1</v>
      </c>
      <c r="BI81">
        <v>5</v>
      </c>
      <c r="BJ81" t="s">
        <v>2314</v>
      </c>
      <c r="BM81">
        <v>1</v>
      </c>
      <c r="BN81" t="s">
        <v>739</v>
      </c>
      <c r="CN81">
        <v>1</v>
      </c>
      <c r="CR81">
        <v>1</v>
      </c>
      <c r="CU81" s="3">
        <f t="shared" si="26"/>
        <v>13</v>
      </c>
      <c r="CV81">
        <v>7</v>
      </c>
      <c r="CY81">
        <v>6</v>
      </c>
      <c r="DS81">
        <v>4</v>
      </c>
      <c r="DT81" t="s">
        <v>758</v>
      </c>
      <c r="DU81">
        <v>3</v>
      </c>
      <c r="DV81">
        <v>40000</v>
      </c>
      <c r="DW81">
        <v>40000</v>
      </c>
      <c r="DX81">
        <v>40000</v>
      </c>
      <c r="EG81">
        <v>10</v>
      </c>
      <c r="EH81" t="s">
        <v>2270</v>
      </c>
      <c r="EI81">
        <v>2024</v>
      </c>
      <c r="EJ81" t="s">
        <v>2315</v>
      </c>
      <c r="EK81" t="s">
        <v>1786</v>
      </c>
      <c r="EL81" t="s">
        <v>2316</v>
      </c>
      <c r="EM81" t="s">
        <v>2186</v>
      </c>
      <c r="EN81" t="s">
        <v>2317</v>
      </c>
      <c r="EP81" t="s">
        <v>439</v>
      </c>
      <c r="EQ81" t="s">
        <v>440</v>
      </c>
      <c r="ES81" s="9" t="s">
        <v>2318</v>
      </c>
      <c r="EV81" s="9" t="s">
        <v>2319</v>
      </c>
      <c r="FB81" s="9" t="s">
        <v>2320</v>
      </c>
      <c r="FH81" s="9" t="s">
        <v>2321</v>
      </c>
      <c r="FN81" s="9" t="s">
        <v>2322</v>
      </c>
      <c r="FU81">
        <v>0</v>
      </c>
      <c r="FV81" s="3">
        <f t="shared" si="27"/>
        <v>0</v>
      </c>
      <c r="FW81" t="s">
        <v>451</v>
      </c>
      <c r="FX81">
        <v>80000</v>
      </c>
      <c r="FY81" s="3">
        <f t="shared" si="28"/>
        <v>57.142857142857146</v>
      </c>
      <c r="FZ81" t="s">
        <v>745</v>
      </c>
      <c r="GA81">
        <v>40080</v>
      </c>
      <c r="GB81" s="3">
        <f t="shared" si="29"/>
        <v>20.04</v>
      </c>
      <c r="GC81" t="s">
        <v>452</v>
      </c>
      <c r="GD81">
        <v>300</v>
      </c>
      <c r="GE81" s="3">
        <f t="shared" si="30"/>
        <v>0.02</v>
      </c>
      <c r="GF81" s="3">
        <f t="shared" si="31"/>
        <v>77.202857142857141</v>
      </c>
      <c r="GG81" s="3" t="str">
        <f t="shared" si="25"/>
        <v>ALTO</v>
      </c>
    </row>
    <row r="82" spans="1:189" x14ac:dyDescent="0.3">
      <c r="A82">
        <v>81</v>
      </c>
      <c r="B82" t="s">
        <v>2324</v>
      </c>
      <c r="C82" t="s">
        <v>565</v>
      </c>
      <c r="D82" t="s">
        <v>2323</v>
      </c>
      <c r="E82" t="s">
        <v>2685</v>
      </c>
      <c r="F82">
        <v>73740</v>
      </c>
      <c r="G82" t="s">
        <v>2327</v>
      </c>
      <c r="H82" t="s">
        <v>421</v>
      </c>
      <c r="I82" t="s">
        <v>2325</v>
      </c>
      <c r="J82" t="s">
        <v>2291</v>
      </c>
      <c r="K82" t="s">
        <v>2292</v>
      </c>
      <c r="L82">
        <v>2223716350</v>
      </c>
      <c r="M82" s="2" t="s">
        <v>2328</v>
      </c>
      <c r="N82" t="s">
        <v>2150</v>
      </c>
      <c r="O82" t="s">
        <v>428</v>
      </c>
      <c r="P82">
        <v>1</v>
      </c>
      <c r="Q82">
        <v>10</v>
      </c>
      <c r="R82" t="s">
        <v>2329</v>
      </c>
      <c r="S82">
        <v>1</v>
      </c>
      <c r="T82">
        <v>1</v>
      </c>
      <c r="U82">
        <v>2</v>
      </c>
      <c r="V82">
        <v>2</v>
      </c>
      <c r="W82">
        <v>0</v>
      </c>
      <c r="X82">
        <v>0</v>
      </c>
      <c r="Y82" t="s">
        <v>424</v>
      </c>
      <c r="Z82">
        <v>1000</v>
      </c>
      <c r="AA82">
        <v>1000</v>
      </c>
      <c r="AD82" t="s">
        <v>2113</v>
      </c>
      <c r="AO82" t="s">
        <v>2330</v>
      </c>
      <c r="AP82" t="s">
        <v>2348</v>
      </c>
      <c r="AQ82">
        <v>3</v>
      </c>
      <c r="AR82">
        <v>0</v>
      </c>
      <c r="AS82">
        <v>2</v>
      </c>
      <c r="AT82">
        <v>1</v>
      </c>
      <c r="AU82">
        <v>0</v>
      </c>
      <c r="AV82">
        <v>0</v>
      </c>
      <c r="AX82">
        <v>200</v>
      </c>
      <c r="AY82">
        <v>3</v>
      </c>
      <c r="BB82" s="3">
        <f t="shared" si="24"/>
        <v>16</v>
      </c>
      <c r="BC82">
        <v>1</v>
      </c>
      <c r="BD82" t="s">
        <v>739</v>
      </c>
      <c r="BE82">
        <v>6</v>
      </c>
      <c r="BF82" t="s">
        <v>2302</v>
      </c>
      <c r="BG82">
        <v>6</v>
      </c>
      <c r="BI82">
        <v>4</v>
      </c>
      <c r="BJ82" t="s">
        <v>2314</v>
      </c>
      <c r="CN82">
        <v>7</v>
      </c>
      <c r="CR82">
        <v>1</v>
      </c>
      <c r="CS82">
        <v>1</v>
      </c>
      <c r="CT82">
        <v>1</v>
      </c>
      <c r="CU82" s="3">
        <f t="shared" si="26"/>
        <v>3</v>
      </c>
      <c r="CV82">
        <v>1</v>
      </c>
      <c r="CX82">
        <v>1</v>
      </c>
      <c r="CY82">
        <v>1</v>
      </c>
      <c r="DS82">
        <v>1</v>
      </c>
      <c r="DT82" t="s">
        <v>758</v>
      </c>
      <c r="DU82">
        <v>2</v>
      </c>
      <c r="DV82">
        <v>40000</v>
      </c>
      <c r="DW82">
        <v>40000</v>
      </c>
      <c r="EG82">
        <v>15</v>
      </c>
      <c r="EH82" t="s">
        <v>2270</v>
      </c>
      <c r="EI82">
        <v>2024</v>
      </c>
      <c r="EJ82" t="s">
        <v>2331</v>
      </c>
      <c r="EK82" t="s">
        <v>2332</v>
      </c>
      <c r="EL82" t="s">
        <v>1419</v>
      </c>
      <c r="EM82" t="s">
        <v>2332</v>
      </c>
      <c r="EN82" t="s">
        <v>2332</v>
      </c>
      <c r="EP82" t="s">
        <v>439</v>
      </c>
      <c r="EQ82" t="s">
        <v>440</v>
      </c>
      <c r="ES82" s="9" t="s">
        <v>2349</v>
      </c>
      <c r="EV82" s="9" t="s">
        <v>2350</v>
      </c>
      <c r="FU82">
        <v>0</v>
      </c>
      <c r="FV82" s="3">
        <f t="shared" si="27"/>
        <v>0</v>
      </c>
      <c r="FW82" t="s">
        <v>451</v>
      </c>
      <c r="FX82">
        <v>40000</v>
      </c>
      <c r="FY82" s="3">
        <f t="shared" si="28"/>
        <v>28.571428571428573</v>
      </c>
      <c r="FZ82" t="s">
        <v>745</v>
      </c>
      <c r="GA82">
        <v>40050</v>
      </c>
      <c r="GB82" s="3">
        <f t="shared" si="29"/>
        <v>20.024999999999999</v>
      </c>
      <c r="GC82" t="s">
        <v>452</v>
      </c>
      <c r="GD82">
        <v>300</v>
      </c>
      <c r="GE82" s="3">
        <f t="shared" si="30"/>
        <v>0.02</v>
      </c>
      <c r="GF82" s="3">
        <f t="shared" si="31"/>
        <v>48.616428571428578</v>
      </c>
      <c r="GG82" s="3" t="str">
        <f t="shared" si="25"/>
        <v>ALTO</v>
      </c>
    </row>
    <row r="83" spans="1:189" x14ac:dyDescent="0.3">
      <c r="A83">
        <v>82</v>
      </c>
      <c r="B83" t="s">
        <v>2333</v>
      </c>
      <c r="C83" t="s">
        <v>565</v>
      </c>
      <c r="D83" t="s">
        <v>2287</v>
      </c>
      <c r="E83" t="s">
        <v>2686</v>
      </c>
      <c r="F83">
        <v>73680</v>
      </c>
      <c r="G83" t="s">
        <v>2335</v>
      </c>
      <c r="H83" t="s">
        <v>421</v>
      </c>
      <c r="I83" t="s">
        <v>2334</v>
      </c>
      <c r="J83" t="s">
        <v>2291</v>
      </c>
      <c r="K83" t="s">
        <v>2292</v>
      </c>
      <c r="L83">
        <v>2333142214</v>
      </c>
      <c r="M83" s="2" t="s">
        <v>2336</v>
      </c>
      <c r="N83" t="s">
        <v>2150</v>
      </c>
      <c r="O83" t="s">
        <v>2298</v>
      </c>
      <c r="P83">
        <v>2</v>
      </c>
      <c r="Q83">
        <v>41</v>
      </c>
      <c r="R83">
        <v>1983</v>
      </c>
      <c r="S83">
        <v>1</v>
      </c>
      <c r="T83">
        <v>1</v>
      </c>
      <c r="U83">
        <v>2</v>
      </c>
      <c r="V83">
        <v>2</v>
      </c>
      <c r="W83">
        <v>0</v>
      </c>
      <c r="X83">
        <v>0</v>
      </c>
      <c r="Y83" t="s">
        <v>424</v>
      </c>
      <c r="Z83">
        <v>1710</v>
      </c>
      <c r="AA83">
        <v>341</v>
      </c>
      <c r="AC83" t="s">
        <v>2351</v>
      </c>
      <c r="AD83" t="s">
        <v>2113</v>
      </c>
      <c r="AO83" t="s">
        <v>2296</v>
      </c>
      <c r="AP83" t="s">
        <v>2352</v>
      </c>
      <c r="AQ83">
        <v>6</v>
      </c>
      <c r="AR83">
        <v>0</v>
      </c>
      <c r="AS83">
        <v>5</v>
      </c>
      <c r="AT83">
        <v>1</v>
      </c>
      <c r="AU83">
        <v>0</v>
      </c>
      <c r="AV83">
        <v>0</v>
      </c>
      <c r="AX83">
        <v>300</v>
      </c>
      <c r="AY83">
        <v>6</v>
      </c>
      <c r="BB83" s="3">
        <f t="shared" si="24"/>
        <v>9</v>
      </c>
      <c r="BC83">
        <v>1</v>
      </c>
      <c r="BD83" t="s">
        <v>739</v>
      </c>
      <c r="BE83">
        <v>7</v>
      </c>
      <c r="BF83" t="s">
        <v>2302</v>
      </c>
      <c r="BG83">
        <v>6</v>
      </c>
      <c r="BH83">
        <v>1</v>
      </c>
      <c r="BI83">
        <v>5</v>
      </c>
      <c r="BJ83" t="s">
        <v>2314</v>
      </c>
      <c r="BM83">
        <v>1</v>
      </c>
      <c r="BN83" t="s">
        <v>1579</v>
      </c>
      <c r="CR83">
        <v>1</v>
      </c>
      <c r="CT83">
        <v>1</v>
      </c>
      <c r="CU83" s="3">
        <f t="shared" si="26"/>
        <v>9</v>
      </c>
      <c r="CV83">
        <v>3</v>
      </c>
      <c r="CX83">
        <v>3</v>
      </c>
      <c r="CY83">
        <v>3</v>
      </c>
      <c r="DS83">
        <v>2</v>
      </c>
      <c r="DT83" t="s">
        <v>758</v>
      </c>
      <c r="DU83">
        <v>3</v>
      </c>
      <c r="DV83">
        <v>40000</v>
      </c>
      <c r="DW83">
        <v>60000</v>
      </c>
      <c r="DX83">
        <v>40000</v>
      </c>
      <c r="EG83">
        <v>15</v>
      </c>
      <c r="EH83" t="s">
        <v>2270</v>
      </c>
      <c r="EI83">
        <v>2024</v>
      </c>
      <c r="EJ83" t="s">
        <v>2337</v>
      </c>
      <c r="EK83" t="s">
        <v>2338</v>
      </c>
      <c r="EL83" t="s">
        <v>2339</v>
      </c>
      <c r="EM83" t="s">
        <v>2340</v>
      </c>
      <c r="EN83" t="s">
        <v>2341</v>
      </c>
      <c r="EP83" t="s">
        <v>439</v>
      </c>
      <c r="EQ83" t="s">
        <v>440</v>
      </c>
      <c r="ES83" s="9" t="s">
        <v>2353</v>
      </c>
      <c r="EV83" s="9" t="s">
        <v>2354</v>
      </c>
      <c r="FB83" s="9" t="s">
        <v>2355</v>
      </c>
      <c r="FH83" s="9" t="s">
        <v>2356</v>
      </c>
      <c r="FN83" s="9" t="s">
        <v>2357</v>
      </c>
      <c r="FU83">
        <v>0</v>
      </c>
      <c r="FV83" s="3">
        <f t="shared" si="27"/>
        <v>0</v>
      </c>
      <c r="FW83" t="s">
        <v>451</v>
      </c>
      <c r="FX83">
        <v>100000</v>
      </c>
      <c r="FY83" s="3">
        <f t="shared" si="28"/>
        <v>71.428571428571431</v>
      </c>
      <c r="FZ83" t="s">
        <v>745</v>
      </c>
      <c r="GA83">
        <v>40035</v>
      </c>
      <c r="GB83" s="3">
        <f t="shared" si="29"/>
        <v>20.017499999999998</v>
      </c>
      <c r="GC83" t="s">
        <v>452</v>
      </c>
      <c r="GD83">
        <v>300</v>
      </c>
      <c r="GE83" s="3">
        <f t="shared" si="30"/>
        <v>0.02</v>
      </c>
      <c r="GF83" s="3">
        <f t="shared" si="31"/>
        <v>91.466071428571425</v>
      </c>
      <c r="GG83" s="3" t="str">
        <f t="shared" si="25"/>
        <v>ALTO</v>
      </c>
    </row>
    <row r="84" spans="1:189" x14ac:dyDescent="0.3">
      <c r="A84">
        <v>83</v>
      </c>
      <c r="B84" t="s">
        <v>2360</v>
      </c>
      <c r="C84" t="s">
        <v>541</v>
      </c>
      <c r="D84" t="s">
        <v>2359</v>
      </c>
      <c r="E84" t="s">
        <v>2687</v>
      </c>
      <c r="F84">
        <v>75200</v>
      </c>
      <c r="G84" t="s">
        <v>519</v>
      </c>
      <c r="H84" t="s">
        <v>421</v>
      </c>
      <c r="I84" t="s">
        <v>2361</v>
      </c>
      <c r="J84" t="s">
        <v>2362</v>
      </c>
      <c r="K84" t="s">
        <v>2363</v>
      </c>
      <c r="L84">
        <v>2241052056</v>
      </c>
      <c r="N84" t="s">
        <v>2150</v>
      </c>
      <c r="O84" t="s">
        <v>2366</v>
      </c>
      <c r="P84">
        <v>2</v>
      </c>
      <c r="Q84">
        <v>12</v>
      </c>
      <c r="R84" t="s">
        <v>2364</v>
      </c>
      <c r="S84">
        <v>1</v>
      </c>
      <c r="T84">
        <v>1</v>
      </c>
      <c r="U84">
        <v>1</v>
      </c>
      <c r="V84">
        <v>1</v>
      </c>
      <c r="W84">
        <v>0</v>
      </c>
      <c r="X84">
        <v>0</v>
      </c>
      <c r="Y84" t="s">
        <v>916</v>
      </c>
      <c r="Z84">
        <v>429.2</v>
      </c>
      <c r="AA84">
        <v>429.2</v>
      </c>
      <c r="AD84" t="s">
        <v>2113</v>
      </c>
      <c r="AO84" t="s">
        <v>2365</v>
      </c>
      <c r="AP84" t="s">
        <v>2409</v>
      </c>
      <c r="AQ84">
        <v>2</v>
      </c>
      <c r="AR84">
        <v>0</v>
      </c>
      <c r="AS84">
        <v>2</v>
      </c>
      <c r="AT84">
        <v>2</v>
      </c>
      <c r="AU84">
        <v>0</v>
      </c>
      <c r="AV84">
        <v>0</v>
      </c>
      <c r="AX84">
        <v>100</v>
      </c>
      <c r="AY84">
        <v>3</v>
      </c>
      <c r="BB84" s="3">
        <f t="shared" si="24"/>
        <v>24</v>
      </c>
      <c r="BC84">
        <v>3</v>
      </c>
      <c r="BD84" t="s">
        <v>2371</v>
      </c>
      <c r="BE84">
        <v>6</v>
      </c>
      <c r="BF84" t="s">
        <v>2368</v>
      </c>
      <c r="BG84">
        <v>3</v>
      </c>
      <c r="BH84">
        <v>3</v>
      </c>
      <c r="BO84">
        <v>1</v>
      </c>
      <c r="BP84" t="s">
        <v>738</v>
      </c>
      <c r="BS84" t="s">
        <v>2367</v>
      </c>
      <c r="BT84">
        <v>1</v>
      </c>
      <c r="BU84">
        <v>6</v>
      </c>
      <c r="BV84">
        <v>7</v>
      </c>
      <c r="BW84" t="s">
        <v>2369</v>
      </c>
      <c r="CN84">
        <v>10</v>
      </c>
      <c r="CP84">
        <v>2</v>
      </c>
      <c r="CS84">
        <v>2</v>
      </c>
      <c r="CT84">
        <v>2</v>
      </c>
      <c r="CU84" s="3">
        <f t="shared" si="26"/>
        <v>2</v>
      </c>
      <c r="CV84">
        <v>2</v>
      </c>
      <c r="CW84">
        <v>1</v>
      </c>
      <c r="EG84">
        <v>30</v>
      </c>
      <c r="EH84" t="s">
        <v>2270</v>
      </c>
      <c r="EI84">
        <v>2024</v>
      </c>
      <c r="EJ84" t="s">
        <v>2370</v>
      </c>
      <c r="EK84" t="s">
        <v>435</v>
      </c>
      <c r="EL84" t="s">
        <v>544</v>
      </c>
      <c r="EM84" t="s">
        <v>544</v>
      </c>
      <c r="EN84" t="s">
        <v>1711</v>
      </c>
      <c r="EP84" t="s">
        <v>439</v>
      </c>
      <c r="EQ84" t="s">
        <v>440</v>
      </c>
      <c r="ES84" s="9" t="s">
        <v>2410</v>
      </c>
      <c r="FB84" s="9" t="s">
        <v>2411</v>
      </c>
      <c r="FH84" s="9" t="s">
        <v>2412</v>
      </c>
      <c r="FU84">
        <v>0</v>
      </c>
      <c r="FV84" s="3">
        <f t="shared" si="27"/>
        <v>0</v>
      </c>
      <c r="FX84">
        <v>0</v>
      </c>
      <c r="FY84" s="3">
        <f t="shared" si="28"/>
        <v>0</v>
      </c>
      <c r="GA84">
        <v>0</v>
      </c>
      <c r="GB84" s="3">
        <f t="shared" si="29"/>
        <v>0</v>
      </c>
      <c r="GC84" t="s">
        <v>452</v>
      </c>
      <c r="GD84">
        <f>60*AQ84</f>
        <v>120</v>
      </c>
      <c r="GE84" s="3">
        <f t="shared" si="30"/>
        <v>8.0000000000000002E-3</v>
      </c>
      <c r="GF84" s="3">
        <f t="shared" si="31"/>
        <v>8.0000000000000002E-3</v>
      </c>
      <c r="GG84" s="3" t="str">
        <f t="shared" si="25"/>
        <v>ORDINARIO</v>
      </c>
    </row>
    <row r="85" spans="1:189" x14ac:dyDescent="0.3">
      <c r="A85">
        <v>84</v>
      </c>
      <c r="B85" t="s">
        <v>2413</v>
      </c>
      <c r="C85" t="s">
        <v>541</v>
      </c>
      <c r="D85" t="s">
        <v>2359</v>
      </c>
      <c r="E85" t="s">
        <v>2688</v>
      </c>
      <c r="F85">
        <v>75200</v>
      </c>
      <c r="G85" t="s">
        <v>519</v>
      </c>
      <c r="H85" t="s">
        <v>421</v>
      </c>
      <c r="I85" t="s">
        <v>2361</v>
      </c>
      <c r="J85" t="s">
        <v>2414</v>
      </c>
      <c r="K85" t="s">
        <v>2415</v>
      </c>
      <c r="L85">
        <v>2231011443</v>
      </c>
      <c r="N85" t="s">
        <v>2150</v>
      </c>
      <c r="O85" t="s">
        <v>2418</v>
      </c>
      <c r="P85">
        <v>2</v>
      </c>
      <c r="Q85">
        <v>14</v>
      </c>
      <c r="R85" t="s">
        <v>2416</v>
      </c>
      <c r="S85">
        <v>1</v>
      </c>
      <c r="T85">
        <v>2</v>
      </c>
      <c r="U85">
        <v>2</v>
      </c>
      <c r="V85">
        <v>2</v>
      </c>
      <c r="W85">
        <v>1</v>
      </c>
      <c r="X85">
        <v>0</v>
      </c>
      <c r="Y85" t="s">
        <v>916</v>
      </c>
      <c r="Z85">
        <v>300</v>
      </c>
      <c r="AA85">
        <v>550</v>
      </c>
      <c r="AD85" t="s">
        <v>2113</v>
      </c>
      <c r="AO85" t="s">
        <v>2365</v>
      </c>
      <c r="AP85" t="s">
        <v>2417</v>
      </c>
      <c r="AQ85">
        <v>22</v>
      </c>
      <c r="AR85">
        <v>0</v>
      </c>
      <c r="AS85">
        <v>5</v>
      </c>
      <c r="AT85">
        <v>17</v>
      </c>
      <c r="AU85">
        <v>0</v>
      </c>
      <c r="AV85">
        <v>0</v>
      </c>
      <c r="AX85">
        <v>300</v>
      </c>
      <c r="AY85">
        <v>3</v>
      </c>
      <c r="BB85" s="3">
        <f t="shared" si="24"/>
        <v>27</v>
      </c>
      <c r="BC85">
        <v>1</v>
      </c>
      <c r="BD85" t="s">
        <v>2419</v>
      </c>
      <c r="BE85">
        <v>11</v>
      </c>
      <c r="BF85" t="s">
        <v>2420</v>
      </c>
      <c r="BG85">
        <v>9</v>
      </c>
      <c r="BH85">
        <v>2</v>
      </c>
      <c r="BO85">
        <v>1</v>
      </c>
      <c r="BP85" t="s">
        <v>1963</v>
      </c>
      <c r="BS85" t="s">
        <v>2419</v>
      </c>
      <c r="BV85">
        <v>8</v>
      </c>
      <c r="BW85" t="s">
        <v>2421</v>
      </c>
      <c r="CN85">
        <v>5</v>
      </c>
      <c r="CO85">
        <v>1</v>
      </c>
      <c r="CP85">
        <v>5</v>
      </c>
      <c r="CR85">
        <v>1</v>
      </c>
      <c r="CS85">
        <v>2</v>
      </c>
      <c r="CT85">
        <v>1</v>
      </c>
      <c r="CU85" s="3">
        <f t="shared" si="26"/>
        <v>3</v>
      </c>
      <c r="CV85">
        <v>3</v>
      </c>
      <c r="EG85">
        <v>30</v>
      </c>
      <c r="EH85" t="s">
        <v>2270</v>
      </c>
      <c r="EI85">
        <v>2024</v>
      </c>
      <c r="EJ85" t="s">
        <v>2422</v>
      </c>
      <c r="EK85" t="s">
        <v>2423</v>
      </c>
      <c r="EL85" t="s">
        <v>2424</v>
      </c>
      <c r="EM85" t="s">
        <v>1751</v>
      </c>
      <c r="EN85" t="s">
        <v>1870</v>
      </c>
      <c r="EP85" t="s">
        <v>439</v>
      </c>
      <c r="EQ85" t="s">
        <v>440</v>
      </c>
      <c r="ES85" s="9" t="s">
        <v>2425</v>
      </c>
      <c r="EV85" s="9" t="s">
        <v>2426</v>
      </c>
      <c r="EY85" s="9" t="s">
        <v>2427</v>
      </c>
      <c r="FB85" s="9" t="s">
        <v>2428</v>
      </c>
      <c r="FE85" s="9" t="s">
        <v>2429</v>
      </c>
      <c r="FH85" s="9" t="s">
        <v>2430</v>
      </c>
      <c r="FK85" s="9" t="s">
        <v>2431</v>
      </c>
      <c r="FN85" s="9" t="s">
        <v>2432</v>
      </c>
      <c r="FQ85" s="9" t="s">
        <v>2433</v>
      </c>
      <c r="FU85">
        <v>0</v>
      </c>
      <c r="FV85" s="3">
        <f t="shared" si="27"/>
        <v>0</v>
      </c>
      <c r="FX85">
        <v>0</v>
      </c>
      <c r="FY85" s="3">
        <f t="shared" si="28"/>
        <v>0</v>
      </c>
      <c r="GA85">
        <v>0</v>
      </c>
      <c r="GB85" s="3">
        <f t="shared" si="29"/>
        <v>0</v>
      </c>
      <c r="GC85" t="s">
        <v>452</v>
      </c>
      <c r="GD85">
        <f>60*AQ85</f>
        <v>1320</v>
      </c>
      <c r="GE85" s="3">
        <f t="shared" si="30"/>
        <v>8.7999999999999995E-2</v>
      </c>
      <c r="GF85" s="3">
        <f t="shared" si="31"/>
        <v>8.7999999999999995E-2</v>
      </c>
      <c r="GG85" s="3" t="str">
        <f t="shared" si="25"/>
        <v>ORDINARIO</v>
      </c>
    </row>
    <row r="86" spans="1:189" x14ac:dyDescent="0.3">
      <c r="A86">
        <v>85</v>
      </c>
      <c r="B86" t="s">
        <v>2434</v>
      </c>
      <c r="C86" t="s">
        <v>541</v>
      </c>
      <c r="D86" t="s">
        <v>2359</v>
      </c>
      <c r="E86" t="s">
        <v>2689</v>
      </c>
      <c r="F86">
        <v>75200</v>
      </c>
      <c r="G86" t="s">
        <v>519</v>
      </c>
      <c r="H86" t="s">
        <v>421</v>
      </c>
      <c r="I86" t="s">
        <v>2361</v>
      </c>
      <c r="J86" t="s">
        <v>2435</v>
      </c>
      <c r="K86" t="s">
        <v>2435</v>
      </c>
      <c r="N86" t="s">
        <v>2150</v>
      </c>
      <c r="O86" t="s">
        <v>2438</v>
      </c>
      <c r="P86">
        <v>2</v>
      </c>
      <c r="Q86">
        <v>2</v>
      </c>
      <c r="R86" t="s">
        <v>2436</v>
      </c>
      <c r="S86">
        <v>1</v>
      </c>
      <c r="T86">
        <v>1</v>
      </c>
      <c r="U86">
        <v>2</v>
      </c>
      <c r="V86">
        <v>1</v>
      </c>
      <c r="W86">
        <v>0</v>
      </c>
      <c r="X86">
        <v>0</v>
      </c>
      <c r="Y86" t="s">
        <v>916</v>
      </c>
      <c r="Z86">
        <v>500</v>
      </c>
      <c r="AA86">
        <v>500</v>
      </c>
      <c r="AD86" t="s">
        <v>2113</v>
      </c>
      <c r="AO86" t="s">
        <v>2365</v>
      </c>
      <c r="AP86" t="s">
        <v>2437</v>
      </c>
      <c r="AQ86">
        <v>5</v>
      </c>
      <c r="AR86">
        <v>0</v>
      </c>
      <c r="AS86">
        <v>3</v>
      </c>
      <c r="AT86">
        <v>2</v>
      </c>
      <c r="AU86">
        <v>0</v>
      </c>
      <c r="AV86">
        <v>0</v>
      </c>
      <c r="AX86">
        <v>100</v>
      </c>
      <c r="AY86">
        <v>3</v>
      </c>
      <c r="BB86" s="3">
        <f t="shared" si="24"/>
        <v>22</v>
      </c>
      <c r="BC86">
        <v>2</v>
      </c>
      <c r="BD86" t="s">
        <v>2439</v>
      </c>
      <c r="BE86">
        <v>7</v>
      </c>
      <c r="BF86" t="s">
        <v>2440</v>
      </c>
      <c r="BG86">
        <v>4</v>
      </c>
      <c r="BH86">
        <v>3</v>
      </c>
      <c r="BO86">
        <v>1</v>
      </c>
      <c r="BP86" t="s">
        <v>738</v>
      </c>
      <c r="BS86" t="s">
        <v>2367</v>
      </c>
      <c r="BV86">
        <v>12</v>
      </c>
      <c r="BW86" t="s">
        <v>2441</v>
      </c>
      <c r="CN86">
        <v>8</v>
      </c>
      <c r="CP86">
        <v>1</v>
      </c>
      <c r="CR86">
        <v>1</v>
      </c>
      <c r="CS86">
        <v>2</v>
      </c>
      <c r="CT86">
        <v>3</v>
      </c>
      <c r="CU86" s="3">
        <f t="shared" si="26"/>
        <v>0</v>
      </c>
      <c r="CW86">
        <v>1</v>
      </c>
      <c r="DO86">
        <v>12</v>
      </c>
      <c r="DP86" t="s">
        <v>2442</v>
      </c>
      <c r="EG86">
        <v>30</v>
      </c>
      <c r="EH86" t="s">
        <v>2270</v>
      </c>
      <c r="EI86">
        <v>2024</v>
      </c>
      <c r="EJ86" t="s">
        <v>2443</v>
      </c>
      <c r="EK86" t="s">
        <v>2444</v>
      </c>
      <c r="EL86" t="s">
        <v>437</v>
      </c>
      <c r="EM86" t="s">
        <v>544</v>
      </c>
      <c r="EN86" t="s">
        <v>796</v>
      </c>
      <c r="EP86" t="s">
        <v>439</v>
      </c>
      <c r="EQ86" t="s">
        <v>440</v>
      </c>
      <c r="ES86" s="9" t="s">
        <v>2445</v>
      </c>
      <c r="EV86" s="9" t="s">
        <v>2446</v>
      </c>
      <c r="FB86" s="9" t="s">
        <v>2447</v>
      </c>
      <c r="FH86" s="9" t="s">
        <v>2448</v>
      </c>
      <c r="FU86">
        <v>0</v>
      </c>
      <c r="FV86" s="3">
        <f t="shared" si="27"/>
        <v>0</v>
      </c>
      <c r="FX86">
        <v>0</v>
      </c>
      <c r="FY86" s="3">
        <f t="shared" si="28"/>
        <v>0</v>
      </c>
      <c r="GA86">
        <v>0</v>
      </c>
      <c r="GB86" s="3">
        <f t="shared" si="29"/>
        <v>0</v>
      </c>
      <c r="GC86" t="s">
        <v>452</v>
      </c>
      <c r="GD86">
        <f>60*AQ86</f>
        <v>300</v>
      </c>
      <c r="GE86" s="3">
        <f t="shared" si="30"/>
        <v>0.02</v>
      </c>
      <c r="GF86" s="3">
        <f t="shared" si="31"/>
        <v>0.02</v>
      </c>
      <c r="GG86" s="3" t="str">
        <f t="shared" si="25"/>
        <v>ORDINARIO</v>
      </c>
    </row>
    <row r="87" spans="1:189" x14ac:dyDescent="0.3">
      <c r="A87">
        <v>86</v>
      </c>
      <c r="B87" t="s">
        <v>2449</v>
      </c>
      <c r="C87" t="s">
        <v>541</v>
      </c>
      <c r="D87" t="s">
        <v>2359</v>
      </c>
      <c r="E87" t="s">
        <v>2690</v>
      </c>
      <c r="F87">
        <v>75200</v>
      </c>
      <c r="G87" t="s">
        <v>519</v>
      </c>
      <c r="H87" t="s">
        <v>421</v>
      </c>
      <c r="I87" t="s">
        <v>2361</v>
      </c>
      <c r="J87" t="s">
        <v>2414</v>
      </c>
      <c r="K87" t="s">
        <v>2415</v>
      </c>
      <c r="L87">
        <v>2234212584</v>
      </c>
      <c r="N87" t="s">
        <v>2150</v>
      </c>
      <c r="O87" t="s">
        <v>2366</v>
      </c>
      <c r="P87">
        <v>2</v>
      </c>
      <c r="Q87">
        <v>14</v>
      </c>
      <c r="R87" t="s">
        <v>2416</v>
      </c>
      <c r="S87">
        <v>1</v>
      </c>
      <c r="T87">
        <v>2</v>
      </c>
      <c r="U87">
        <v>3</v>
      </c>
      <c r="V87">
        <v>3</v>
      </c>
      <c r="W87">
        <v>2</v>
      </c>
      <c r="X87">
        <v>0</v>
      </c>
      <c r="Y87" t="s">
        <v>424</v>
      </c>
      <c r="Z87">
        <v>1227</v>
      </c>
      <c r="AA87">
        <v>1000</v>
      </c>
      <c r="AD87" t="s">
        <v>2113</v>
      </c>
      <c r="AO87" t="s">
        <v>2365</v>
      </c>
      <c r="AP87" t="s">
        <v>2450</v>
      </c>
      <c r="AQ87">
        <v>22</v>
      </c>
      <c r="AR87">
        <v>0</v>
      </c>
      <c r="AS87">
        <v>9</v>
      </c>
      <c r="AT87">
        <v>13</v>
      </c>
      <c r="AU87">
        <v>0</v>
      </c>
      <c r="AV87">
        <v>0</v>
      </c>
      <c r="AX87">
        <v>300</v>
      </c>
      <c r="AY87">
        <v>3</v>
      </c>
      <c r="BB87" s="3">
        <f t="shared" si="24"/>
        <v>34</v>
      </c>
      <c r="BC87">
        <v>3</v>
      </c>
      <c r="BD87" t="s">
        <v>2451</v>
      </c>
      <c r="BE87">
        <v>11</v>
      </c>
      <c r="BF87" t="s">
        <v>2452</v>
      </c>
      <c r="BG87">
        <v>10</v>
      </c>
      <c r="BH87">
        <v>1</v>
      </c>
      <c r="BM87">
        <v>1</v>
      </c>
      <c r="BN87" t="s">
        <v>429</v>
      </c>
      <c r="BO87">
        <v>2</v>
      </c>
      <c r="BP87" t="s">
        <v>1963</v>
      </c>
      <c r="BS87" t="s">
        <v>2419</v>
      </c>
      <c r="BV87">
        <v>14</v>
      </c>
      <c r="BW87" t="s">
        <v>2452</v>
      </c>
      <c r="CN87">
        <v>13</v>
      </c>
      <c r="CP87">
        <v>2</v>
      </c>
      <c r="CR87">
        <v>1</v>
      </c>
      <c r="CS87">
        <v>2</v>
      </c>
      <c r="CT87">
        <v>3</v>
      </c>
      <c r="CU87" s="3">
        <f t="shared" si="26"/>
        <v>5</v>
      </c>
      <c r="CV87">
        <v>5</v>
      </c>
      <c r="CW87">
        <v>1</v>
      </c>
      <c r="EG87">
        <v>30</v>
      </c>
      <c r="EH87" t="s">
        <v>2270</v>
      </c>
      <c r="EI87">
        <v>2024</v>
      </c>
      <c r="EJ87" t="s">
        <v>2453</v>
      </c>
      <c r="EK87" t="s">
        <v>1965</v>
      </c>
      <c r="EL87" t="s">
        <v>2454</v>
      </c>
      <c r="EM87" t="s">
        <v>2455</v>
      </c>
      <c r="EN87" t="s">
        <v>2456</v>
      </c>
      <c r="EP87" t="s">
        <v>439</v>
      </c>
      <c r="EQ87" t="s">
        <v>440</v>
      </c>
      <c r="ES87" s="9" t="s">
        <v>2457</v>
      </c>
      <c r="EV87" s="9" t="s">
        <v>2458</v>
      </c>
      <c r="EY87" s="9" t="s">
        <v>2459</v>
      </c>
      <c r="FB87" s="9" t="s">
        <v>2460</v>
      </c>
      <c r="FE87" s="9" t="s">
        <v>2461</v>
      </c>
      <c r="FH87" s="9" t="s">
        <v>2462</v>
      </c>
      <c r="FK87" s="9" t="s">
        <v>2463</v>
      </c>
      <c r="FN87" s="9" t="s">
        <v>2464</v>
      </c>
      <c r="FQ87" s="9" t="s">
        <v>2465</v>
      </c>
      <c r="FU87">
        <v>0</v>
      </c>
      <c r="FV87" s="3">
        <f t="shared" si="27"/>
        <v>0</v>
      </c>
      <c r="FX87">
        <v>0</v>
      </c>
      <c r="FY87" s="3">
        <f t="shared" si="28"/>
        <v>0</v>
      </c>
      <c r="GA87">
        <v>0</v>
      </c>
      <c r="GB87" s="3">
        <f t="shared" si="29"/>
        <v>0</v>
      </c>
      <c r="GC87" t="s">
        <v>452</v>
      </c>
      <c r="GD87">
        <f>60*AQ87</f>
        <v>1320</v>
      </c>
      <c r="GE87" s="3">
        <f t="shared" si="30"/>
        <v>8.7999999999999995E-2</v>
      </c>
      <c r="GF87" s="3">
        <f t="shared" si="31"/>
        <v>8.7999999999999995E-2</v>
      </c>
      <c r="GG87" s="3" t="str">
        <f t="shared" si="25"/>
        <v>ORDINARIO</v>
      </c>
    </row>
    <row r="88" spans="1:189" x14ac:dyDescent="0.3">
      <c r="A88">
        <v>87</v>
      </c>
      <c r="B88" t="s">
        <v>2373</v>
      </c>
      <c r="C88" t="s">
        <v>541</v>
      </c>
      <c r="D88" t="s">
        <v>2372</v>
      </c>
      <c r="E88" t="s">
        <v>2691</v>
      </c>
      <c r="F88">
        <v>72370</v>
      </c>
      <c r="G88" t="s">
        <v>421</v>
      </c>
      <c r="H88" t="s">
        <v>421</v>
      </c>
      <c r="I88" t="s">
        <v>2374</v>
      </c>
      <c r="J88" t="s">
        <v>2375</v>
      </c>
      <c r="K88" t="s">
        <v>2376</v>
      </c>
      <c r="L88">
        <v>2228973166</v>
      </c>
      <c r="N88" t="s">
        <v>2380</v>
      </c>
      <c r="O88" t="s">
        <v>2381</v>
      </c>
      <c r="P88">
        <v>1</v>
      </c>
      <c r="Q88">
        <v>1</v>
      </c>
      <c r="R88" t="s">
        <v>2377</v>
      </c>
      <c r="S88">
        <v>1</v>
      </c>
      <c r="T88">
        <v>1</v>
      </c>
      <c r="U88">
        <v>1</v>
      </c>
      <c r="V88">
        <v>1</v>
      </c>
      <c r="W88">
        <v>0</v>
      </c>
      <c r="X88">
        <v>0</v>
      </c>
      <c r="Y88" t="s">
        <v>916</v>
      </c>
      <c r="Z88">
        <v>80</v>
      </c>
      <c r="AA88">
        <v>80</v>
      </c>
      <c r="AD88" t="s">
        <v>2113</v>
      </c>
      <c r="AO88" t="s">
        <v>2378</v>
      </c>
      <c r="AP88" t="s">
        <v>2379</v>
      </c>
      <c r="AQ88">
        <v>7</v>
      </c>
      <c r="AR88">
        <v>0</v>
      </c>
      <c r="AS88">
        <v>1</v>
      </c>
      <c r="AT88">
        <v>6</v>
      </c>
      <c r="AU88">
        <v>0</v>
      </c>
      <c r="AV88">
        <v>0</v>
      </c>
      <c r="AX88">
        <v>300</v>
      </c>
      <c r="AY88">
        <v>10</v>
      </c>
      <c r="BB88" s="3">
        <f t="shared" si="24"/>
        <v>7</v>
      </c>
      <c r="BC88">
        <v>1</v>
      </c>
      <c r="BD88" t="s">
        <v>1824</v>
      </c>
      <c r="BE88">
        <v>3</v>
      </c>
      <c r="BF88" t="s">
        <v>2382</v>
      </c>
      <c r="BG88">
        <v>2</v>
      </c>
      <c r="BH88">
        <v>1</v>
      </c>
      <c r="CN88">
        <v>1</v>
      </c>
      <c r="CR88">
        <v>1</v>
      </c>
      <c r="CS88">
        <v>1</v>
      </c>
      <c r="CU88" s="3">
        <f t="shared" si="26"/>
        <v>1</v>
      </c>
      <c r="CZ88">
        <v>1</v>
      </c>
      <c r="EG88">
        <v>1</v>
      </c>
      <c r="EH88" t="s">
        <v>2383</v>
      </c>
      <c r="EI88">
        <v>2024</v>
      </c>
      <c r="EJ88" t="s">
        <v>2384</v>
      </c>
      <c r="EK88" t="s">
        <v>2385</v>
      </c>
      <c r="EL88" t="s">
        <v>2386</v>
      </c>
      <c r="EM88" t="s">
        <v>565</v>
      </c>
      <c r="EN88" t="s">
        <v>796</v>
      </c>
      <c r="EP88" t="s">
        <v>439</v>
      </c>
      <c r="EQ88" t="s">
        <v>440</v>
      </c>
      <c r="ES88" s="9" t="s">
        <v>2387</v>
      </c>
      <c r="EV88" s="9" t="s">
        <v>2388</v>
      </c>
      <c r="FB88" s="9" t="s">
        <v>2389</v>
      </c>
      <c r="FH88" s="9" t="s">
        <v>2390</v>
      </c>
      <c r="FK88" s="9" t="s">
        <v>2391</v>
      </c>
      <c r="FN88" s="9" t="s">
        <v>2392</v>
      </c>
      <c r="FU88">
        <v>0</v>
      </c>
      <c r="FV88" s="3">
        <f t="shared" si="27"/>
        <v>0</v>
      </c>
      <c r="FX88">
        <v>0</v>
      </c>
      <c r="FY88" s="3">
        <f t="shared" si="28"/>
        <v>0</v>
      </c>
      <c r="GA88">
        <v>0</v>
      </c>
      <c r="GB88" s="3">
        <f t="shared" si="29"/>
        <v>0</v>
      </c>
      <c r="GC88" t="s">
        <v>452</v>
      </c>
      <c r="GD88">
        <f t="shared" ref="GD88:GD99" si="32">60*AQ88</f>
        <v>420</v>
      </c>
      <c r="GE88" s="3">
        <f t="shared" si="30"/>
        <v>2.8000000000000001E-2</v>
      </c>
      <c r="GF88" s="3">
        <f t="shared" si="31"/>
        <v>2.8000000000000001E-2</v>
      </c>
      <c r="GG88" s="3" t="str">
        <f t="shared" si="25"/>
        <v>ORDINARIO</v>
      </c>
    </row>
    <row r="89" spans="1:189" x14ac:dyDescent="0.3">
      <c r="A89">
        <v>88</v>
      </c>
      <c r="B89" t="s">
        <v>2393</v>
      </c>
      <c r="C89" t="s">
        <v>541</v>
      </c>
      <c r="D89" t="s">
        <v>2372</v>
      </c>
      <c r="E89" t="s">
        <v>2692</v>
      </c>
      <c r="F89">
        <v>72160</v>
      </c>
      <c r="G89" t="s">
        <v>421</v>
      </c>
      <c r="H89" t="s">
        <v>421</v>
      </c>
      <c r="I89" t="s">
        <v>2374</v>
      </c>
      <c r="J89" t="s">
        <v>2375</v>
      </c>
      <c r="K89" t="s">
        <v>2394</v>
      </c>
      <c r="L89">
        <v>2216677130</v>
      </c>
      <c r="N89" t="s">
        <v>2380</v>
      </c>
      <c r="O89" t="s">
        <v>2381</v>
      </c>
      <c r="P89">
        <v>1</v>
      </c>
      <c r="Q89">
        <v>20</v>
      </c>
      <c r="R89" t="s">
        <v>2395</v>
      </c>
      <c r="S89">
        <v>1</v>
      </c>
      <c r="T89">
        <v>3</v>
      </c>
      <c r="U89">
        <v>1</v>
      </c>
      <c r="V89">
        <v>1</v>
      </c>
      <c r="W89">
        <v>3</v>
      </c>
      <c r="X89">
        <v>0</v>
      </c>
      <c r="Y89" t="s">
        <v>2147</v>
      </c>
      <c r="Z89">
        <v>430</v>
      </c>
      <c r="AA89">
        <v>430</v>
      </c>
      <c r="AD89" t="s">
        <v>2113</v>
      </c>
      <c r="AO89" t="s">
        <v>2378</v>
      </c>
      <c r="AP89" t="s">
        <v>2396</v>
      </c>
      <c r="AQ89">
        <v>18</v>
      </c>
      <c r="AR89">
        <v>0</v>
      </c>
      <c r="AS89">
        <v>10</v>
      </c>
      <c r="AT89">
        <v>8</v>
      </c>
      <c r="AU89">
        <v>0</v>
      </c>
      <c r="AV89">
        <v>0</v>
      </c>
      <c r="AX89">
        <v>20</v>
      </c>
      <c r="AY89">
        <v>3</v>
      </c>
      <c r="BB89" s="3">
        <f t="shared" si="24"/>
        <v>23</v>
      </c>
      <c r="BC89">
        <v>1</v>
      </c>
      <c r="BD89" t="s">
        <v>739</v>
      </c>
      <c r="BE89">
        <v>11</v>
      </c>
      <c r="BF89" t="s">
        <v>1962</v>
      </c>
      <c r="BG89">
        <v>6</v>
      </c>
      <c r="BH89">
        <v>5</v>
      </c>
      <c r="BV89">
        <v>2</v>
      </c>
      <c r="BW89" t="s">
        <v>2408</v>
      </c>
      <c r="CN89">
        <v>6</v>
      </c>
      <c r="CP89">
        <v>4</v>
      </c>
      <c r="CS89">
        <v>1</v>
      </c>
      <c r="CT89">
        <v>1</v>
      </c>
      <c r="CU89" s="3">
        <f t="shared" si="26"/>
        <v>0</v>
      </c>
      <c r="EG89">
        <v>1</v>
      </c>
      <c r="EH89" t="s">
        <v>2383</v>
      </c>
      <c r="EI89">
        <v>2024</v>
      </c>
      <c r="EJ89" t="s">
        <v>2397</v>
      </c>
      <c r="EK89" t="s">
        <v>2398</v>
      </c>
      <c r="EL89" t="s">
        <v>796</v>
      </c>
      <c r="EM89" t="s">
        <v>1965</v>
      </c>
      <c r="EN89" t="s">
        <v>796</v>
      </c>
      <c r="EP89" t="s">
        <v>439</v>
      </c>
      <c r="EQ89" t="s">
        <v>440</v>
      </c>
      <c r="ES89" s="9" t="s">
        <v>2399</v>
      </c>
      <c r="EV89" s="9" t="s">
        <v>2400</v>
      </c>
      <c r="EY89" s="9" t="s">
        <v>2401</v>
      </c>
      <c r="FB89" s="9" t="s">
        <v>2402</v>
      </c>
      <c r="FE89" s="9" t="s">
        <v>2403</v>
      </c>
      <c r="FH89" s="9" t="s">
        <v>2404</v>
      </c>
      <c r="FK89" s="9" t="s">
        <v>2405</v>
      </c>
      <c r="FN89" s="9" t="s">
        <v>2406</v>
      </c>
      <c r="FQ89" s="9" t="s">
        <v>2407</v>
      </c>
      <c r="FU89">
        <v>0</v>
      </c>
      <c r="FV89" s="3">
        <f t="shared" si="27"/>
        <v>0</v>
      </c>
      <c r="FX89">
        <v>0</v>
      </c>
      <c r="FY89" s="3">
        <f t="shared" si="28"/>
        <v>0</v>
      </c>
      <c r="GA89">
        <v>0</v>
      </c>
      <c r="GB89" s="3">
        <f t="shared" si="29"/>
        <v>0</v>
      </c>
      <c r="GC89" t="s">
        <v>452</v>
      </c>
      <c r="GD89">
        <f t="shared" si="32"/>
        <v>1080</v>
      </c>
      <c r="GE89" s="3">
        <f t="shared" si="30"/>
        <v>7.1999999999999995E-2</v>
      </c>
      <c r="GF89" s="3">
        <f t="shared" si="31"/>
        <v>7.1999999999999995E-2</v>
      </c>
      <c r="GG89" s="3" t="str">
        <f t="shared" si="25"/>
        <v>ORDINARIO</v>
      </c>
    </row>
    <row r="90" spans="1:189" x14ac:dyDescent="0.3">
      <c r="A90">
        <v>89</v>
      </c>
      <c r="B90" t="s">
        <v>2466</v>
      </c>
      <c r="C90" t="s">
        <v>2104</v>
      </c>
      <c r="D90" t="s">
        <v>2092</v>
      </c>
      <c r="E90" t="s">
        <v>2693</v>
      </c>
      <c r="F90">
        <v>73880</v>
      </c>
      <c r="G90" t="s">
        <v>2467</v>
      </c>
      <c r="H90" t="s">
        <v>421</v>
      </c>
      <c r="I90" t="s">
        <v>2093</v>
      </c>
      <c r="J90" t="s">
        <v>2094</v>
      </c>
      <c r="K90" t="s">
        <v>2095</v>
      </c>
      <c r="L90">
        <v>2311161679</v>
      </c>
      <c r="M90" s="2" t="s">
        <v>2468</v>
      </c>
      <c r="N90" t="s">
        <v>2260</v>
      </c>
      <c r="O90" t="s">
        <v>2139</v>
      </c>
      <c r="P90">
        <v>1</v>
      </c>
      <c r="Q90">
        <v>9</v>
      </c>
      <c r="R90" t="s">
        <v>2470</v>
      </c>
      <c r="S90">
        <v>1</v>
      </c>
      <c r="T90">
        <v>1</v>
      </c>
      <c r="U90">
        <v>1</v>
      </c>
      <c r="V90">
        <v>1</v>
      </c>
      <c r="W90">
        <v>0</v>
      </c>
      <c r="X90">
        <v>0</v>
      </c>
      <c r="Y90" t="s">
        <v>2147</v>
      </c>
      <c r="Z90">
        <v>45</v>
      </c>
      <c r="AA90">
        <v>45</v>
      </c>
      <c r="AD90" t="s">
        <v>2113</v>
      </c>
      <c r="AO90" t="s">
        <v>2106</v>
      </c>
      <c r="AP90" t="s">
        <v>2469</v>
      </c>
      <c r="AQ90">
        <v>1</v>
      </c>
      <c r="AR90">
        <v>0</v>
      </c>
      <c r="AS90">
        <v>0</v>
      </c>
      <c r="AT90">
        <v>1</v>
      </c>
      <c r="AU90">
        <v>0</v>
      </c>
      <c r="AV90">
        <v>0</v>
      </c>
      <c r="AX90">
        <v>35</v>
      </c>
      <c r="AY90">
        <v>3</v>
      </c>
      <c r="BB90" s="3">
        <f t="shared" si="24"/>
        <v>10</v>
      </c>
      <c r="BC90">
        <v>1</v>
      </c>
      <c r="BD90" t="s">
        <v>429</v>
      </c>
      <c r="BE90">
        <v>2</v>
      </c>
      <c r="BF90" t="s">
        <v>2174</v>
      </c>
      <c r="BG90">
        <v>1</v>
      </c>
      <c r="BH90">
        <v>1</v>
      </c>
      <c r="BO90">
        <v>1</v>
      </c>
      <c r="BP90" t="s">
        <v>2130</v>
      </c>
      <c r="BS90" t="s">
        <v>2111</v>
      </c>
      <c r="BV90">
        <v>2</v>
      </c>
      <c r="BW90" t="s">
        <v>828</v>
      </c>
      <c r="CN90">
        <v>3</v>
      </c>
      <c r="CP90">
        <v>1</v>
      </c>
      <c r="CS90">
        <v>2</v>
      </c>
      <c r="CT90">
        <v>2</v>
      </c>
      <c r="CU90" s="3">
        <f t="shared" si="26"/>
        <v>1</v>
      </c>
      <c r="CV90">
        <v>1</v>
      </c>
      <c r="DO90">
        <v>2</v>
      </c>
      <c r="DP90" t="s">
        <v>2471</v>
      </c>
      <c r="EG90">
        <v>2</v>
      </c>
      <c r="EH90" t="s">
        <v>2383</v>
      </c>
      <c r="EI90">
        <v>2024</v>
      </c>
      <c r="EJ90" t="s">
        <v>2472</v>
      </c>
      <c r="EK90" t="s">
        <v>2473</v>
      </c>
      <c r="EL90" t="s">
        <v>2474</v>
      </c>
      <c r="EM90" t="s">
        <v>437</v>
      </c>
      <c r="EN90" t="s">
        <v>437</v>
      </c>
      <c r="EP90" t="s">
        <v>439</v>
      </c>
      <c r="EQ90" t="s">
        <v>440</v>
      </c>
      <c r="FU90">
        <v>0</v>
      </c>
      <c r="FV90" s="3">
        <f t="shared" si="27"/>
        <v>0</v>
      </c>
      <c r="FX90">
        <v>0</v>
      </c>
      <c r="FY90" s="3">
        <f t="shared" si="28"/>
        <v>0</v>
      </c>
      <c r="GA90">
        <v>0</v>
      </c>
      <c r="GB90" s="3">
        <f t="shared" si="29"/>
        <v>0</v>
      </c>
      <c r="GC90" t="s">
        <v>452</v>
      </c>
      <c r="GD90">
        <f t="shared" si="32"/>
        <v>60</v>
      </c>
      <c r="GE90" s="3">
        <f t="shared" si="30"/>
        <v>4.0000000000000001E-3</v>
      </c>
      <c r="GF90" s="3">
        <f t="shared" si="31"/>
        <v>4.0000000000000001E-3</v>
      </c>
      <c r="GG90" s="3" t="str">
        <f t="shared" si="25"/>
        <v>ORDINARIO</v>
      </c>
    </row>
    <row r="91" spans="1:189" x14ac:dyDescent="0.3">
      <c r="A91">
        <v>90</v>
      </c>
      <c r="B91" t="s">
        <v>2476</v>
      </c>
      <c r="C91" t="s">
        <v>541</v>
      </c>
      <c r="D91" t="s">
        <v>2475</v>
      </c>
      <c r="E91" t="s">
        <v>2694</v>
      </c>
      <c r="F91">
        <v>73870</v>
      </c>
      <c r="G91" t="s">
        <v>2467</v>
      </c>
      <c r="H91" t="s">
        <v>421</v>
      </c>
      <c r="I91" t="s">
        <v>2477</v>
      </c>
      <c r="J91" t="s">
        <v>2478</v>
      </c>
      <c r="K91" t="s">
        <v>2479</v>
      </c>
      <c r="L91">
        <v>2313130310</v>
      </c>
      <c r="M91" s="2" t="s">
        <v>2481</v>
      </c>
      <c r="N91" t="s">
        <v>2380</v>
      </c>
      <c r="O91" t="s">
        <v>2485</v>
      </c>
      <c r="P91">
        <v>1</v>
      </c>
      <c r="Q91">
        <v>6</v>
      </c>
      <c r="R91" t="s">
        <v>2482</v>
      </c>
      <c r="S91">
        <v>1</v>
      </c>
      <c r="T91">
        <v>2</v>
      </c>
      <c r="U91">
        <v>2</v>
      </c>
      <c r="V91">
        <v>2</v>
      </c>
      <c r="W91">
        <v>2</v>
      </c>
      <c r="X91">
        <v>0</v>
      </c>
      <c r="Y91" t="s">
        <v>424</v>
      </c>
      <c r="Z91">
        <v>12195</v>
      </c>
      <c r="AA91">
        <v>3438</v>
      </c>
      <c r="AD91" t="s">
        <v>2113</v>
      </c>
      <c r="AO91" t="s">
        <v>2483</v>
      </c>
      <c r="AP91" t="s">
        <v>2484</v>
      </c>
      <c r="AQ91">
        <v>21</v>
      </c>
      <c r="AR91">
        <v>0</v>
      </c>
      <c r="AS91">
        <v>14</v>
      </c>
      <c r="AT91">
        <v>7</v>
      </c>
      <c r="AU91">
        <v>0</v>
      </c>
      <c r="AV91">
        <v>0</v>
      </c>
      <c r="AX91">
        <v>15</v>
      </c>
      <c r="AY91">
        <v>2</v>
      </c>
      <c r="BB91" s="3">
        <f t="shared" si="24"/>
        <v>60</v>
      </c>
      <c r="BC91">
        <v>4</v>
      </c>
      <c r="BD91" t="s">
        <v>2486</v>
      </c>
      <c r="BE91">
        <v>26</v>
      </c>
      <c r="BF91" t="s">
        <v>2487</v>
      </c>
      <c r="BG91">
        <v>23</v>
      </c>
      <c r="BH91">
        <v>3</v>
      </c>
      <c r="BO91">
        <v>1</v>
      </c>
      <c r="BP91" t="s">
        <v>1963</v>
      </c>
      <c r="BS91" t="s">
        <v>2111</v>
      </c>
      <c r="BV91">
        <v>1</v>
      </c>
      <c r="BW91" t="s">
        <v>2488</v>
      </c>
      <c r="CN91">
        <v>22</v>
      </c>
      <c r="CP91">
        <v>4</v>
      </c>
      <c r="CR91">
        <v>1</v>
      </c>
      <c r="CS91">
        <v>2</v>
      </c>
      <c r="CT91">
        <v>4</v>
      </c>
      <c r="CU91" s="3">
        <f t="shared" si="26"/>
        <v>3</v>
      </c>
      <c r="CV91">
        <v>3</v>
      </c>
      <c r="EG91">
        <v>2</v>
      </c>
      <c r="EH91" t="s">
        <v>2383</v>
      </c>
      <c r="EI91">
        <v>2024</v>
      </c>
      <c r="EJ91" t="s">
        <v>2489</v>
      </c>
      <c r="EK91" t="s">
        <v>2490</v>
      </c>
      <c r="EL91" t="s">
        <v>2491</v>
      </c>
      <c r="EM91" t="s">
        <v>2490</v>
      </c>
      <c r="EN91" t="s">
        <v>2480</v>
      </c>
      <c r="EP91" t="s">
        <v>439</v>
      </c>
      <c r="EQ91" t="s">
        <v>440</v>
      </c>
      <c r="ES91" s="9" t="s">
        <v>2600</v>
      </c>
      <c r="EV91" s="9" t="s">
        <v>2596</v>
      </c>
      <c r="EY91" s="9" t="s">
        <v>2597</v>
      </c>
      <c r="FB91" s="9" t="s">
        <v>2598</v>
      </c>
      <c r="FE91" s="9" t="s">
        <v>2599</v>
      </c>
      <c r="FH91" s="9" t="s">
        <v>2600</v>
      </c>
      <c r="FK91" s="9" t="s">
        <v>2601</v>
      </c>
      <c r="FN91" s="9" t="s">
        <v>2602</v>
      </c>
      <c r="FQ91" s="9" t="s">
        <v>2603</v>
      </c>
      <c r="FT91" t="s">
        <v>2004</v>
      </c>
      <c r="FU91">
        <v>20</v>
      </c>
      <c r="FV91" s="3">
        <f t="shared" si="27"/>
        <v>6.6666666666666671E-3</v>
      </c>
      <c r="FX91">
        <v>0</v>
      </c>
      <c r="FY91" s="3">
        <f t="shared" si="28"/>
        <v>0</v>
      </c>
      <c r="FZ91" t="s">
        <v>2492</v>
      </c>
      <c r="GA91">
        <v>350</v>
      </c>
      <c r="GB91" s="3">
        <f t="shared" si="29"/>
        <v>0.17499999999999999</v>
      </c>
      <c r="GC91" t="s">
        <v>452</v>
      </c>
      <c r="GD91">
        <v>30000</v>
      </c>
      <c r="GE91" s="3">
        <f t="shared" si="30"/>
        <v>2</v>
      </c>
      <c r="GF91" s="3">
        <f t="shared" si="31"/>
        <v>2.1816666666666666</v>
      </c>
      <c r="GG91" s="3" t="str">
        <f t="shared" si="25"/>
        <v>ALTO</v>
      </c>
    </row>
    <row r="92" spans="1:189" x14ac:dyDescent="0.3">
      <c r="A92">
        <v>91</v>
      </c>
      <c r="B92" t="s">
        <v>2493</v>
      </c>
      <c r="C92" t="s">
        <v>541</v>
      </c>
      <c r="D92" t="s">
        <v>2493</v>
      </c>
      <c r="E92" t="s">
        <v>2695</v>
      </c>
      <c r="F92">
        <v>72090</v>
      </c>
      <c r="G92" t="s">
        <v>421</v>
      </c>
      <c r="H92" t="s">
        <v>421</v>
      </c>
      <c r="I92" t="s">
        <v>2494</v>
      </c>
      <c r="J92" t="s">
        <v>2495</v>
      </c>
      <c r="K92" t="s">
        <v>2496</v>
      </c>
      <c r="L92">
        <v>2212185540</v>
      </c>
      <c r="M92" s="2" t="s">
        <v>2497</v>
      </c>
      <c r="N92" t="s">
        <v>2150</v>
      </c>
      <c r="O92" t="s">
        <v>2522</v>
      </c>
      <c r="P92">
        <v>1</v>
      </c>
      <c r="Q92">
        <v>9</v>
      </c>
      <c r="R92" t="s">
        <v>2498</v>
      </c>
      <c r="S92">
        <v>2</v>
      </c>
      <c r="T92">
        <v>2</v>
      </c>
      <c r="U92">
        <v>4</v>
      </c>
      <c r="V92">
        <v>2</v>
      </c>
      <c r="W92">
        <v>2</v>
      </c>
      <c r="X92">
        <v>2</v>
      </c>
      <c r="Y92" t="s">
        <v>916</v>
      </c>
      <c r="Z92">
        <v>1259</v>
      </c>
      <c r="AA92">
        <v>1259</v>
      </c>
      <c r="AD92" t="s">
        <v>2499</v>
      </c>
      <c r="AO92" t="s">
        <v>2500</v>
      </c>
      <c r="AP92" t="s">
        <v>2523</v>
      </c>
      <c r="AQ92">
        <v>21</v>
      </c>
      <c r="AR92">
        <v>0</v>
      </c>
      <c r="AS92">
        <v>10</v>
      </c>
      <c r="AT92">
        <v>11</v>
      </c>
      <c r="AU92">
        <v>0</v>
      </c>
      <c r="AV92">
        <v>0</v>
      </c>
      <c r="AX92">
        <v>45</v>
      </c>
      <c r="AY92">
        <v>3</v>
      </c>
      <c r="BB92" s="3">
        <f t="shared" si="24"/>
        <v>73</v>
      </c>
      <c r="BC92">
        <v>4</v>
      </c>
      <c r="BD92" t="s">
        <v>1965</v>
      </c>
      <c r="BE92">
        <v>15</v>
      </c>
      <c r="BF92" t="s">
        <v>527</v>
      </c>
      <c r="BG92">
        <v>15</v>
      </c>
      <c r="BO92">
        <v>1</v>
      </c>
      <c r="BP92" t="s">
        <v>1963</v>
      </c>
      <c r="BS92" t="s">
        <v>739</v>
      </c>
      <c r="BV92">
        <v>1</v>
      </c>
      <c r="BW92" t="s">
        <v>739</v>
      </c>
      <c r="CN92">
        <v>37</v>
      </c>
      <c r="CO92">
        <v>2</v>
      </c>
      <c r="CP92">
        <v>7</v>
      </c>
      <c r="CR92">
        <v>1</v>
      </c>
      <c r="CS92">
        <v>6</v>
      </c>
      <c r="CT92">
        <v>1</v>
      </c>
      <c r="CU92" s="3">
        <f t="shared" si="26"/>
        <v>17</v>
      </c>
      <c r="CV92">
        <v>17</v>
      </c>
      <c r="EG92">
        <v>23</v>
      </c>
      <c r="EH92" t="s">
        <v>2383</v>
      </c>
      <c r="EI92">
        <v>2024</v>
      </c>
      <c r="EJ92" t="s">
        <v>2501</v>
      </c>
      <c r="EK92" t="s">
        <v>435</v>
      </c>
      <c r="EL92" t="s">
        <v>2502</v>
      </c>
      <c r="EM92" t="s">
        <v>796</v>
      </c>
      <c r="EN92" t="s">
        <v>796</v>
      </c>
      <c r="EP92" t="s">
        <v>439</v>
      </c>
      <c r="EQ92" t="s">
        <v>440</v>
      </c>
      <c r="ES92" s="9" t="s">
        <v>2524</v>
      </c>
      <c r="EV92" s="9" t="s">
        <v>2525</v>
      </c>
      <c r="EY92" s="9" t="s">
        <v>2526</v>
      </c>
      <c r="FB92" s="9" t="s">
        <v>2527</v>
      </c>
      <c r="FE92" s="9" t="s">
        <v>2528</v>
      </c>
      <c r="FH92" s="9" t="s">
        <v>2529</v>
      </c>
      <c r="FK92" s="9" t="s">
        <v>2530</v>
      </c>
      <c r="FN92" s="9" t="s">
        <v>2531</v>
      </c>
      <c r="FQ92" s="9" t="s">
        <v>2532</v>
      </c>
      <c r="FU92">
        <v>0</v>
      </c>
      <c r="FV92" s="3">
        <f t="shared" si="27"/>
        <v>0</v>
      </c>
      <c r="FX92">
        <v>0</v>
      </c>
      <c r="FY92" s="3">
        <f t="shared" si="28"/>
        <v>0</v>
      </c>
      <c r="GA92">
        <v>0</v>
      </c>
      <c r="GB92" s="3">
        <f t="shared" si="29"/>
        <v>0</v>
      </c>
      <c r="GC92" t="s">
        <v>452</v>
      </c>
      <c r="GD92">
        <f t="shared" si="32"/>
        <v>1260</v>
      </c>
      <c r="GE92" s="3">
        <f t="shared" si="30"/>
        <v>8.4000000000000005E-2</v>
      </c>
      <c r="GF92" s="3">
        <f t="shared" si="31"/>
        <v>8.4000000000000005E-2</v>
      </c>
      <c r="GG92" s="3" t="str">
        <f t="shared" si="25"/>
        <v>ORDINARIO</v>
      </c>
    </row>
    <row r="93" spans="1:189" x14ac:dyDescent="0.3">
      <c r="A93">
        <v>92</v>
      </c>
      <c r="B93" t="s">
        <v>2504</v>
      </c>
      <c r="C93" t="s">
        <v>541</v>
      </c>
      <c r="D93" t="s">
        <v>2503</v>
      </c>
      <c r="E93" t="s">
        <v>2696</v>
      </c>
      <c r="F93">
        <v>75480</v>
      </c>
      <c r="G93" t="s">
        <v>1544</v>
      </c>
      <c r="H93" t="s">
        <v>421</v>
      </c>
      <c r="I93" t="s">
        <v>2505</v>
      </c>
      <c r="J93" t="s">
        <v>2506</v>
      </c>
      <c r="K93" t="s">
        <v>2506</v>
      </c>
      <c r="L93">
        <v>2491597995</v>
      </c>
      <c r="M93" s="2" t="s">
        <v>2507</v>
      </c>
      <c r="N93" t="s">
        <v>2150</v>
      </c>
      <c r="O93" t="s">
        <v>2510</v>
      </c>
      <c r="P93">
        <v>1</v>
      </c>
      <c r="Q93">
        <v>5</v>
      </c>
      <c r="R93" t="s">
        <v>2508</v>
      </c>
      <c r="S93">
        <v>1</v>
      </c>
      <c r="T93">
        <v>2</v>
      </c>
      <c r="U93">
        <v>1</v>
      </c>
      <c r="V93">
        <v>1</v>
      </c>
      <c r="W93">
        <v>1</v>
      </c>
      <c r="X93">
        <v>0</v>
      </c>
      <c r="Y93" t="s">
        <v>457</v>
      </c>
      <c r="Z93">
        <v>741.81</v>
      </c>
      <c r="AA93">
        <v>741.81</v>
      </c>
      <c r="AD93" t="s">
        <v>2113</v>
      </c>
      <c r="AO93" t="s">
        <v>2595</v>
      </c>
      <c r="AP93" t="s">
        <v>2509</v>
      </c>
      <c r="AQ93">
        <v>7</v>
      </c>
      <c r="AR93">
        <v>0</v>
      </c>
      <c r="AS93">
        <v>2</v>
      </c>
      <c r="AT93">
        <v>5</v>
      </c>
      <c r="AU93">
        <v>0</v>
      </c>
      <c r="AV93">
        <v>0</v>
      </c>
      <c r="AX93">
        <v>214</v>
      </c>
      <c r="AY93">
        <v>50</v>
      </c>
      <c r="BB93" s="3">
        <f t="shared" si="24"/>
        <v>26</v>
      </c>
      <c r="BC93">
        <v>1</v>
      </c>
      <c r="BD93" t="s">
        <v>2511</v>
      </c>
      <c r="BE93">
        <v>11</v>
      </c>
      <c r="BF93" t="s">
        <v>2368</v>
      </c>
      <c r="BG93">
        <v>11</v>
      </c>
      <c r="BV93">
        <v>11</v>
      </c>
      <c r="BW93" t="s">
        <v>2368</v>
      </c>
      <c r="CN93">
        <v>11</v>
      </c>
      <c r="CP93">
        <v>1</v>
      </c>
      <c r="CS93">
        <v>2</v>
      </c>
      <c r="CT93">
        <v>1</v>
      </c>
      <c r="CU93" s="3">
        <f t="shared" si="26"/>
        <v>5</v>
      </c>
      <c r="CV93">
        <v>5</v>
      </c>
      <c r="DO93">
        <v>8</v>
      </c>
      <c r="DP93" t="s">
        <v>2368</v>
      </c>
      <c r="EG93">
        <v>20</v>
      </c>
      <c r="EH93" t="s">
        <v>2383</v>
      </c>
      <c r="EI93">
        <v>2024</v>
      </c>
      <c r="EJ93" t="s">
        <v>2512</v>
      </c>
      <c r="EK93" t="s">
        <v>435</v>
      </c>
      <c r="EL93" t="s">
        <v>2513</v>
      </c>
      <c r="EM93" t="s">
        <v>2515</v>
      </c>
      <c r="EN93" t="s">
        <v>2514</v>
      </c>
      <c r="EP93" t="s">
        <v>439</v>
      </c>
      <c r="EQ93" t="s">
        <v>440</v>
      </c>
      <c r="ES93" s="9" t="s">
        <v>2516</v>
      </c>
      <c r="EV93" s="9" t="s">
        <v>2517</v>
      </c>
      <c r="FB93" s="9" t="s">
        <v>2518</v>
      </c>
      <c r="FH93" s="9" t="s">
        <v>2519</v>
      </c>
      <c r="FK93" s="9" t="s">
        <v>2520</v>
      </c>
      <c r="FU93">
        <v>0</v>
      </c>
      <c r="FV93" s="3">
        <f t="shared" si="27"/>
        <v>0</v>
      </c>
      <c r="FX93">
        <v>0</v>
      </c>
      <c r="FY93" s="3">
        <f t="shared" si="28"/>
        <v>0</v>
      </c>
      <c r="GA93">
        <v>0</v>
      </c>
      <c r="GB93" s="3">
        <f t="shared" si="29"/>
        <v>0</v>
      </c>
      <c r="GC93" t="s">
        <v>2521</v>
      </c>
      <c r="GD93">
        <v>20000</v>
      </c>
      <c r="GE93" s="3">
        <f t="shared" si="30"/>
        <v>1.3333333333333333</v>
      </c>
      <c r="GF93" s="3">
        <f t="shared" si="31"/>
        <v>1.3333333333333333</v>
      </c>
      <c r="GG93" s="3" t="str">
        <f t="shared" si="25"/>
        <v>ALTO</v>
      </c>
    </row>
    <row r="94" spans="1:189" x14ac:dyDescent="0.3">
      <c r="A94">
        <v>93</v>
      </c>
      <c r="B94" t="s">
        <v>2533</v>
      </c>
      <c r="C94" t="s">
        <v>541</v>
      </c>
      <c r="D94" t="s">
        <v>1856</v>
      </c>
      <c r="E94" t="s">
        <v>2697</v>
      </c>
      <c r="F94">
        <v>72000</v>
      </c>
      <c r="G94" t="s">
        <v>421</v>
      </c>
      <c r="H94" t="s">
        <v>421</v>
      </c>
      <c r="I94" t="s">
        <v>1858</v>
      </c>
      <c r="J94" t="s">
        <v>2534</v>
      </c>
      <c r="K94" t="s">
        <v>2535</v>
      </c>
      <c r="L94">
        <v>2222321241</v>
      </c>
      <c r="N94" t="s">
        <v>2150</v>
      </c>
      <c r="O94" t="s">
        <v>2539</v>
      </c>
      <c r="P94">
        <v>1</v>
      </c>
      <c r="Q94">
        <v>11</v>
      </c>
      <c r="R94" t="s">
        <v>2537</v>
      </c>
      <c r="S94">
        <v>1</v>
      </c>
      <c r="T94">
        <v>2</v>
      </c>
      <c r="U94">
        <v>1</v>
      </c>
      <c r="V94">
        <v>1</v>
      </c>
      <c r="W94">
        <v>1</v>
      </c>
      <c r="X94">
        <v>0</v>
      </c>
      <c r="Y94" t="s">
        <v>821</v>
      </c>
      <c r="Z94">
        <v>84</v>
      </c>
      <c r="AA94">
        <v>84</v>
      </c>
      <c r="AD94" t="s">
        <v>2113</v>
      </c>
      <c r="AO94" t="s">
        <v>2556</v>
      </c>
      <c r="AP94" t="s">
        <v>2550</v>
      </c>
      <c r="AQ94">
        <v>3</v>
      </c>
      <c r="AR94">
        <v>0</v>
      </c>
      <c r="AS94">
        <v>2</v>
      </c>
      <c r="AT94">
        <v>1</v>
      </c>
      <c r="AU94">
        <v>0</v>
      </c>
      <c r="AV94">
        <v>0</v>
      </c>
      <c r="AX94">
        <v>30</v>
      </c>
      <c r="AY94">
        <v>1</v>
      </c>
      <c r="BB94" s="3">
        <f t="shared" si="24"/>
        <v>13</v>
      </c>
      <c r="BC94">
        <v>1</v>
      </c>
      <c r="BD94" t="s">
        <v>429</v>
      </c>
      <c r="BE94">
        <v>2</v>
      </c>
      <c r="BF94" t="s">
        <v>2554</v>
      </c>
      <c r="BG94">
        <v>2</v>
      </c>
      <c r="BO94">
        <v>1</v>
      </c>
      <c r="BP94" t="s">
        <v>1826</v>
      </c>
      <c r="BS94" t="s">
        <v>429</v>
      </c>
      <c r="BV94">
        <v>4</v>
      </c>
      <c r="BW94" t="s">
        <v>2368</v>
      </c>
      <c r="CN94">
        <v>6</v>
      </c>
      <c r="CP94">
        <v>1</v>
      </c>
      <c r="CS94">
        <v>2</v>
      </c>
      <c r="CT94">
        <v>2</v>
      </c>
      <c r="CU94" s="3">
        <f t="shared" si="26"/>
        <v>0</v>
      </c>
      <c r="CW94">
        <v>1</v>
      </c>
      <c r="DO94">
        <v>2</v>
      </c>
      <c r="DP94" t="s">
        <v>2553</v>
      </c>
      <c r="EG94">
        <v>27</v>
      </c>
      <c r="EH94" t="s">
        <v>2383</v>
      </c>
      <c r="EI94">
        <v>2024</v>
      </c>
      <c r="EJ94" t="s">
        <v>2540</v>
      </c>
      <c r="EK94" t="s">
        <v>2536</v>
      </c>
      <c r="EL94" t="s">
        <v>2455</v>
      </c>
      <c r="EM94" t="s">
        <v>2455</v>
      </c>
      <c r="EN94" t="s">
        <v>2455</v>
      </c>
      <c r="EP94" t="s">
        <v>439</v>
      </c>
      <c r="EQ94" t="s">
        <v>440</v>
      </c>
      <c r="ES94" s="9" t="s">
        <v>2551</v>
      </c>
      <c r="EV94" s="9" t="s">
        <v>2552</v>
      </c>
      <c r="FU94">
        <v>0</v>
      </c>
      <c r="FV94" s="3">
        <f t="shared" si="27"/>
        <v>0</v>
      </c>
      <c r="FX94">
        <v>0</v>
      </c>
      <c r="FY94" s="3">
        <f t="shared" si="28"/>
        <v>0</v>
      </c>
      <c r="GA94">
        <v>0</v>
      </c>
      <c r="GB94" s="3">
        <f t="shared" si="29"/>
        <v>0</v>
      </c>
      <c r="GC94" t="s">
        <v>452</v>
      </c>
      <c r="GD94">
        <f t="shared" si="32"/>
        <v>180</v>
      </c>
      <c r="GE94" s="3">
        <f t="shared" si="30"/>
        <v>1.2E-2</v>
      </c>
      <c r="GF94" s="3">
        <f t="shared" si="31"/>
        <v>1.2E-2</v>
      </c>
      <c r="GG94" s="3" t="str">
        <f t="shared" si="25"/>
        <v>ORDINARIO</v>
      </c>
    </row>
    <row r="95" spans="1:189" x14ac:dyDescent="0.3">
      <c r="A95">
        <v>94</v>
      </c>
      <c r="B95" t="s">
        <v>2573</v>
      </c>
      <c r="C95" t="s">
        <v>541</v>
      </c>
      <c r="D95" t="s">
        <v>1856</v>
      </c>
      <c r="E95" t="s">
        <v>2698</v>
      </c>
      <c r="F95">
        <v>72000</v>
      </c>
      <c r="G95" t="s">
        <v>421</v>
      </c>
      <c r="H95" t="s">
        <v>421</v>
      </c>
      <c r="I95" t="s">
        <v>1858</v>
      </c>
      <c r="J95" t="s">
        <v>2534</v>
      </c>
      <c r="K95" t="s">
        <v>2535</v>
      </c>
      <c r="L95">
        <v>2222324984</v>
      </c>
      <c r="N95" t="s">
        <v>2150</v>
      </c>
      <c r="O95" t="s">
        <v>2539</v>
      </c>
      <c r="P95">
        <v>1</v>
      </c>
      <c r="Q95">
        <v>11</v>
      </c>
      <c r="R95" t="s">
        <v>2537</v>
      </c>
      <c r="S95">
        <v>1</v>
      </c>
      <c r="T95">
        <v>2</v>
      </c>
      <c r="U95">
        <v>1</v>
      </c>
      <c r="V95">
        <v>1</v>
      </c>
      <c r="W95">
        <v>1</v>
      </c>
      <c r="X95">
        <v>0</v>
      </c>
      <c r="Y95" t="s">
        <v>821</v>
      </c>
      <c r="Z95">
        <v>35</v>
      </c>
      <c r="AA95">
        <v>35</v>
      </c>
      <c r="AD95" t="s">
        <v>2113</v>
      </c>
      <c r="AO95" t="s">
        <v>2556</v>
      </c>
      <c r="AP95" t="s">
        <v>2538</v>
      </c>
      <c r="AQ95">
        <v>10</v>
      </c>
      <c r="AR95">
        <v>0</v>
      </c>
      <c r="AS95">
        <v>2</v>
      </c>
      <c r="AT95">
        <v>8</v>
      </c>
      <c r="AU95">
        <v>0</v>
      </c>
      <c r="AV95">
        <v>0</v>
      </c>
      <c r="AX95">
        <v>30</v>
      </c>
      <c r="AY95">
        <v>1</v>
      </c>
      <c r="BB95" s="3">
        <f t="shared" si="24"/>
        <v>7</v>
      </c>
      <c r="BC95">
        <v>1</v>
      </c>
      <c r="BD95" t="s">
        <v>429</v>
      </c>
      <c r="BE95">
        <v>2</v>
      </c>
      <c r="BF95" t="s">
        <v>2554</v>
      </c>
      <c r="BG95">
        <v>2</v>
      </c>
      <c r="BO95">
        <v>1</v>
      </c>
      <c r="BP95" t="s">
        <v>1826</v>
      </c>
      <c r="BS95" t="s">
        <v>2111</v>
      </c>
      <c r="CN95">
        <v>1</v>
      </c>
      <c r="CP95">
        <v>1</v>
      </c>
      <c r="CS95">
        <v>1</v>
      </c>
      <c r="CT95">
        <v>1</v>
      </c>
      <c r="CU95" s="3">
        <f t="shared" si="26"/>
        <v>1</v>
      </c>
      <c r="CV95">
        <v>1</v>
      </c>
      <c r="CW95">
        <v>1</v>
      </c>
      <c r="EG95">
        <v>27</v>
      </c>
      <c r="EH95" t="s">
        <v>2383</v>
      </c>
      <c r="EI95">
        <v>2024</v>
      </c>
      <c r="EJ95" t="s">
        <v>2574</v>
      </c>
      <c r="EK95" t="s">
        <v>2455</v>
      </c>
      <c r="EL95" t="s">
        <v>2455</v>
      </c>
      <c r="EM95" t="s">
        <v>2455</v>
      </c>
      <c r="EN95" t="s">
        <v>2326</v>
      </c>
      <c r="EP95" t="s">
        <v>439</v>
      </c>
      <c r="EQ95" t="s">
        <v>440</v>
      </c>
      <c r="ES95" s="9" t="s">
        <v>2541</v>
      </c>
      <c r="EV95" s="9" t="s">
        <v>2542</v>
      </c>
      <c r="EY95" s="9" t="s">
        <v>2543</v>
      </c>
      <c r="FB95" s="9" t="s">
        <v>2544</v>
      </c>
      <c r="FE95" s="9" t="s">
        <v>2545</v>
      </c>
      <c r="FH95" s="9" t="s">
        <v>2546</v>
      </c>
      <c r="FK95" s="9" t="s">
        <v>2547</v>
      </c>
      <c r="FN95" s="9" t="s">
        <v>2548</v>
      </c>
      <c r="FQ95" s="9" t="s">
        <v>2549</v>
      </c>
      <c r="FU95">
        <v>0</v>
      </c>
      <c r="FV95" s="3">
        <f t="shared" si="27"/>
        <v>0</v>
      </c>
      <c r="FX95">
        <v>0</v>
      </c>
      <c r="FY95" s="3">
        <f t="shared" si="28"/>
        <v>0</v>
      </c>
      <c r="GA95">
        <v>0</v>
      </c>
      <c r="GB95" s="3">
        <f t="shared" si="29"/>
        <v>0</v>
      </c>
      <c r="GC95" t="s">
        <v>452</v>
      </c>
      <c r="GD95">
        <f t="shared" si="32"/>
        <v>600</v>
      </c>
      <c r="GE95" s="3">
        <f t="shared" si="30"/>
        <v>0.04</v>
      </c>
      <c r="GF95" s="3">
        <f t="shared" si="31"/>
        <v>0.04</v>
      </c>
      <c r="GG95" s="3" t="str">
        <f t="shared" si="25"/>
        <v>ORDINARIO</v>
      </c>
    </row>
    <row r="96" spans="1:189" x14ac:dyDescent="0.3">
      <c r="A96">
        <v>95</v>
      </c>
      <c r="B96" t="s">
        <v>2555</v>
      </c>
      <c r="C96" t="s">
        <v>541</v>
      </c>
      <c r="D96" t="s">
        <v>1856</v>
      </c>
      <c r="E96" t="s">
        <v>2699</v>
      </c>
      <c r="F96">
        <v>72000</v>
      </c>
      <c r="G96" t="s">
        <v>421</v>
      </c>
      <c r="H96" t="s">
        <v>421</v>
      </c>
      <c r="I96" t="s">
        <v>1858</v>
      </c>
      <c r="J96" t="s">
        <v>2534</v>
      </c>
      <c r="K96" t="s">
        <v>2535</v>
      </c>
      <c r="L96">
        <v>2222321241</v>
      </c>
      <c r="N96" t="s">
        <v>2150</v>
      </c>
      <c r="O96" t="s">
        <v>2539</v>
      </c>
      <c r="P96">
        <v>1</v>
      </c>
      <c r="Q96">
        <v>11</v>
      </c>
      <c r="R96" t="s">
        <v>2537</v>
      </c>
      <c r="S96">
        <v>1</v>
      </c>
      <c r="T96">
        <v>1</v>
      </c>
      <c r="U96">
        <v>1</v>
      </c>
      <c r="V96">
        <v>1</v>
      </c>
      <c r="W96">
        <v>0</v>
      </c>
      <c r="X96">
        <v>0</v>
      </c>
      <c r="Y96" t="s">
        <v>821</v>
      </c>
      <c r="Z96">
        <v>60</v>
      </c>
      <c r="AA96">
        <v>60</v>
      </c>
      <c r="AD96" t="s">
        <v>2113</v>
      </c>
      <c r="AO96" t="s">
        <v>2556</v>
      </c>
      <c r="AP96" t="s">
        <v>2557</v>
      </c>
      <c r="AQ96">
        <v>4</v>
      </c>
      <c r="AR96">
        <v>0</v>
      </c>
      <c r="AS96">
        <v>1</v>
      </c>
      <c r="AT96">
        <v>3</v>
      </c>
      <c r="AU96">
        <v>0</v>
      </c>
      <c r="AV96">
        <v>0</v>
      </c>
      <c r="AX96">
        <v>30</v>
      </c>
      <c r="AY96">
        <v>1</v>
      </c>
      <c r="BB96" s="3">
        <f t="shared" si="24"/>
        <v>12</v>
      </c>
      <c r="BC96">
        <v>2</v>
      </c>
      <c r="BD96" t="s">
        <v>429</v>
      </c>
      <c r="BE96">
        <v>2</v>
      </c>
      <c r="BF96" t="s">
        <v>2554</v>
      </c>
      <c r="BG96">
        <v>1</v>
      </c>
      <c r="BH96">
        <v>1</v>
      </c>
      <c r="BO96">
        <v>1</v>
      </c>
      <c r="BP96" t="s">
        <v>1826</v>
      </c>
      <c r="BS96" t="s">
        <v>429</v>
      </c>
      <c r="BV96">
        <v>2</v>
      </c>
      <c r="BW96" t="s">
        <v>2368</v>
      </c>
      <c r="CN96">
        <v>3</v>
      </c>
      <c r="CP96">
        <v>2</v>
      </c>
      <c r="CS96">
        <v>2</v>
      </c>
      <c r="CT96">
        <v>1</v>
      </c>
      <c r="CU96" s="3">
        <f t="shared" si="26"/>
        <v>2</v>
      </c>
      <c r="CV96">
        <v>2</v>
      </c>
      <c r="CW96">
        <v>1</v>
      </c>
      <c r="EG96">
        <v>27</v>
      </c>
      <c r="EH96" t="s">
        <v>2383</v>
      </c>
      <c r="EI96">
        <v>2024</v>
      </c>
      <c r="EJ96" t="s">
        <v>2558</v>
      </c>
      <c r="EK96" t="s">
        <v>2455</v>
      </c>
      <c r="EL96" t="s">
        <v>2455</v>
      </c>
      <c r="EM96" t="s">
        <v>1601</v>
      </c>
      <c r="EN96" t="s">
        <v>2455</v>
      </c>
      <c r="EP96" t="s">
        <v>439</v>
      </c>
      <c r="EQ96" t="s">
        <v>440</v>
      </c>
      <c r="ES96" s="9" t="s">
        <v>2559</v>
      </c>
      <c r="EV96" s="9" t="s">
        <v>2560</v>
      </c>
      <c r="FB96" s="9" t="s">
        <v>2561</v>
      </c>
      <c r="FU96">
        <v>0</v>
      </c>
      <c r="FV96" s="3">
        <f t="shared" si="27"/>
        <v>0</v>
      </c>
      <c r="FX96">
        <v>0</v>
      </c>
      <c r="FY96" s="3">
        <f t="shared" si="28"/>
        <v>0</v>
      </c>
      <c r="GA96">
        <v>0</v>
      </c>
      <c r="GB96" s="3">
        <f t="shared" si="29"/>
        <v>0</v>
      </c>
      <c r="GC96" t="s">
        <v>452</v>
      </c>
      <c r="GD96">
        <f t="shared" si="32"/>
        <v>240</v>
      </c>
      <c r="GE96" s="3">
        <f t="shared" si="30"/>
        <v>1.6E-2</v>
      </c>
      <c r="GF96" s="3">
        <f t="shared" si="31"/>
        <v>1.6E-2</v>
      </c>
      <c r="GG96" s="3" t="str">
        <f t="shared" si="25"/>
        <v>ORDINARIO</v>
      </c>
    </row>
    <row r="97" spans="1:189" x14ac:dyDescent="0.3">
      <c r="A97">
        <v>96</v>
      </c>
      <c r="B97" t="s">
        <v>2562</v>
      </c>
      <c r="C97" t="s">
        <v>541</v>
      </c>
      <c r="D97" t="s">
        <v>1856</v>
      </c>
      <c r="E97" t="s">
        <v>2700</v>
      </c>
      <c r="F97">
        <v>72030</v>
      </c>
      <c r="G97" t="s">
        <v>421</v>
      </c>
      <c r="H97" t="s">
        <v>421</v>
      </c>
      <c r="I97" t="s">
        <v>1858</v>
      </c>
      <c r="J97" t="s">
        <v>2534</v>
      </c>
      <c r="K97" t="s">
        <v>2535</v>
      </c>
      <c r="L97">
        <v>2222900743</v>
      </c>
      <c r="N97" t="s">
        <v>2150</v>
      </c>
      <c r="O97" t="s">
        <v>2539</v>
      </c>
      <c r="P97">
        <v>1</v>
      </c>
      <c r="Q97">
        <v>34</v>
      </c>
      <c r="R97" s="10" t="s">
        <v>2266</v>
      </c>
      <c r="S97">
        <v>1</v>
      </c>
      <c r="T97">
        <v>1</v>
      </c>
      <c r="U97">
        <v>1</v>
      </c>
      <c r="V97">
        <v>1</v>
      </c>
      <c r="W97">
        <v>0</v>
      </c>
      <c r="X97">
        <v>0</v>
      </c>
      <c r="Y97" t="s">
        <v>821</v>
      </c>
      <c r="Z97">
        <v>57</v>
      </c>
      <c r="AA97">
        <v>57</v>
      </c>
      <c r="AD97" t="s">
        <v>2113</v>
      </c>
      <c r="AO97" t="s">
        <v>2556</v>
      </c>
      <c r="AP97" t="s">
        <v>2563</v>
      </c>
      <c r="AQ97">
        <v>7</v>
      </c>
      <c r="AR97">
        <v>0</v>
      </c>
      <c r="AS97">
        <v>1</v>
      </c>
      <c r="AT97">
        <v>6</v>
      </c>
      <c r="AU97">
        <v>0</v>
      </c>
      <c r="AV97">
        <v>0</v>
      </c>
      <c r="AX97">
        <v>30</v>
      </c>
      <c r="AY97">
        <v>1</v>
      </c>
      <c r="BB97" s="3">
        <f t="shared" si="24"/>
        <v>8</v>
      </c>
      <c r="BC97">
        <v>1</v>
      </c>
      <c r="BD97" t="s">
        <v>429</v>
      </c>
      <c r="BE97">
        <v>2</v>
      </c>
      <c r="BF97" t="s">
        <v>2564</v>
      </c>
      <c r="BG97">
        <v>2</v>
      </c>
      <c r="BO97">
        <v>1</v>
      </c>
      <c r="BP97" t="s">
        <v>1826</v>
      </c>
      <c r="BS97" t="s">
        <v>429</v>
      </c>
      <c r="BV97">
        <v>3</v>
      </c>
      <c r="BW97" t="s">
        <v>2368</v>
      </c>
      <c r="CN97">
        <v>2</v>
      </c>
      <c r="CP97">
        <v>1</v>
      </c>
      <c r="CS97">
        <v>1</v>
      </c>
      <c r="CT97">
        <v>1</v>
      </c>
      <c r="CU97" s="3">
        <f t="shared" si="26"/>
        <v>1</v>
      </c>
      <c r="CV97">
        <v>1</v>
      </c>
      <c r="CW97">
        <v>1</v>
      </c>
      <c r="EG97">
        <v>27</v>
      </c>
      <c r="EH97" t="s">
        <v>2383</v>
      </c>
      <c r="EI97">
        <v>2024</v>
      </c>
      <c r="EJ97" t="s">
        <v>2565</v>
      </c>
      <c r="EK97" t="s">
        <v>2566</v>
      </c>
      <c r="EL97" t="s">
        <v>2567</v>
      </c>
      <c r="EM97" t="s">
        <v>2455</v>
      </c>
      <c r="EN97" t="s">
        <v>2455</v>
      </c>
      <c r="EP97" t="s">
        <v>439</v>
      </c>
      <c r="EQ97" t="s">
        <v>440</v>
      </c>
      <c r="ES97" s="9" t="s">
        <v>2568</v>
      </c>
      <c r="EV97" s="9" t="s">
        <v>2569</v>
      </c>
      <c r="FB97" s="9" t="s">
        <v>2570</v>
      </c>
      <c r="FH97" s="9" t="s">
        <v>2571</v>
      </c>
      <c r="FN97" s="9" t="s">
        <v>2572</v>
      </c>
      <c r="FU97">
        <v>0</v>
      </c>
      <c r="FV97" s="3">
        <f t="shared" si="27"/>
        <v>0</v>
      </c>
      <c r="FX97">
        <v>0</v>
      </c>
      <c r="FY97" s="3">
        <f t="shared" si="28"/>
        <v>0</v>
      </c>
      <c r="GA97">
        <v>0</v>
      </c>
      <c r="GB97" s="3">
        <f t="shared" si="29"/>
        <v>0</v>
      </c>
      <c r="GC97" t="s">
        <v>452</v>
      </c>
      <c r="GD97">
        <f t="shared" si="32"/>
        <v>420</v>
      </c>
      <c r="GE97" s="3">
        <f t="shared" si="30"/>
        <v>2.8000000000000001E-2</v>
      </c>
      <c r="GF97" s="3">
        <f t="shared" si="31"/>
        <v>2.8000000000000001E-2</v>
      </c>
      <c r="GG97" s="3" t="str">
        <f t="shared" si="25"/>
        <v>ORDINARIO</v>
      </c>
    </row>
    <row r="98" spans="1:189" x14ac:dyDescent="0.3">
      <c r="A98">
        <v>97</v>
      </c>
      <c r="B98" t="s">
        <v>2575</v>
      </c>
      <c r="C98" t="s">
        <v>541</v>
      </c>
      <c r="D98" t="s">
        <v>1856</v>
      </c>
      <c r="E98" t="s">
        <v>2701</v>
      </c>
      <c r="F98">
        <v>72000</v>
      </c>
      <c r="G98" t="s">
        <v>421</v>
      </c>
      <c r="H98" t="s">
        <v>421</v>
      </c>
      <c r="I98" t="s">
        <v>1858</v>
      </c>
      <c r="J98" t="s">
        <v>2534</v>
      </c>
      <c r="K98" t="s">
        <v>2535</v>
      </c>
      <c r="L98">
        <v>2222321241</v>
      </c>
      <c r="N98" t="s">
        <v>2150</v>
      </c>
      <c r="O98" t="s">
        <v>2539</v>
      </c>
      <c r="P98">
        <v>1</v>
      </c>
      <c r="Q98">
        <v>11</v>
      </c>
      <c r="R98" t="s">
        <v>2537</v>
      </c>
      <c r="S98">
        <v>1</v>
      </c>
      <c r="T98">
        <v>2</v>
      </c>
      <c r="U98">
        <v>1</v>
      </c>
      <c r="V98">
        <v>1</v>
      </c>
      <c r="W98">
        <v>1</v>
      </c>
      <c r="X98">
        <v>0</v>
      </c>
      <c r="Y98" t="s">
        <v>821</v>
      </c>
      <c r="Z98">
        <v>82</v>
      </c>
      <c r="AA98">
        <v>82</v>
      </c>
      <c r="AD98" t="s">
        <v>2113</v>
      </c>
      <c r="AO98" t="s">
        <v>2556</v>
      </c>
      <c r="AP98" t="s">
        <v>2576</v>
      </c>
      <c r="AQ98">
        <v>4</v>
      </c>
      <c r="AR98">
        <v>0</v>
      </c>
      <c r="AS98">
        <v>3</v>
      </c>
      <c r="AT98">
        <v>1</v>
      </c>
      <c r="AU98">
        <v>0</v>
      </c>
      <c r="AV98">
        <v>0</v>
      </c>
      <c r="AX98">
        <v>30</v>
      </c>
      <c r="AY98">
        <v>1</v>
      </c>
      <c r="BB98" s="3">
        <f t="shared" ref="BB98:BB129" si="33">+BC98+BE98+BO98+CN98+CO98+CP98+CQ98+CR98+CS98+DG98</f>
        <v>9</v>
      </c>
      <c r="BC98">
        <v>1</v>
      </c>
      <c r="BD98" t="s">
        <v>429</v>
      </c>
      <c r="BE98">
        <v>2</v>
      </c>
      <c r="BF98" t="s">
        <v>2564</v>
      </c>
      <c r="BG98">
        <v>2</v>
      </c>
      <c r="BO98">
        <v>1</v>
      </c>
      <c r="BP98" t="s">
        <v>1826</v>
      </c>
      <c r="BS98" t="s">
        <v>429</v>
      </c>
      <c r="BV98">
        <v>2</v>
      </c>
      <c r="BW98" t="s">
        <v>2368</v>
      </c>
      <c r="CN98">
        <v>2</v>
      </c>
      <c r="CP98">
        <v>2</v>
      </c>
      <c r="CS98">
        <v>1</v>
      </c>
      <c r="CT98">
        <v>1</v>
      </c>
      <c r="CU98" s="3">
        <f t="shared" si="26"/>
        <v>1</v>
      </c>
      <c r="CV98">
        <v>1</v>
      </c>
      <c r="CW98">
        <v>1</v>
      </c>
      <c r="EG98">
        <v>27</v>
      </c>
      <c r="EH98" t="s">
        <v>2383</v>
      </c>
      <c r="EI98">
        <v>2024</v>
      </c>
      <c r="EJ98" t="s">
        <v>2540</v>
      </c>
      <c r="EK98" t="s">
        <v>2577</v>
      </c>
      <c r="EL98" t="s">
        <v>2455</v>
      </c>
      <c r="EM98" t="s">
        <v>2536</v>
      </c>
      <c r="EN98" t="s">
        <v>2455</v>
      </c>
      <c r="EP98" t="s">
        <v>439</v>
      </c>
      <c r="EQ98" t="s">
        <v>440</v>
      </c>
      <c r="ES98" s="9" t="s">
        <v>2578</v>
      </c>
      <c r="EV98" s="9" t="s">
        <v>2579</v>
      </c>
      <c r="FB98" s="9" t="s">
        <v>2580</v>
      </c>
      <c r="FU98">
        <v>0</v>
      </c>
      <c r="FV98" s="3">
        <f t="shared" si="27"/>
        <v>0</v>
      </c>
      <c r="FX98">
        <v>0</v>
      </c>
      <c r="FY98" s="3">
        <f t="shared" si="28"/>
        <v>0</v>
      </c>
      <c r="GA98">
        <v>0</v>
      </c>
      <c r="GB98" s="3">
        <f t="shared" si="29"/>
        <v>0</v>
      </c>
      <c r="GC98" t="s">
        <v>452</v>
      </c>
      <c r="GD98">
        <f t="shared" si="32"/>
        <v>240</v>
      </c>
      <c r="GE98" s="3">
        <f t="shared" si="30"/>
        <v>1.6E-2</v>
      </c>
      <c r="GF98" s="3">
        <f t="shared" si="31"/>
        <v>1.6E-2</v>
      </c>
      <c r="GG98" s="3" t="str">
        <f t="shared" ref="GG98:GG129" si="34">IF(AA98&gt;=3000,"ALTO",IF(GF98&gt;=1,"ALTO","ORDINARIO"))</f>
        <v>ORDINARIO</v>
      </c>
    </row>
    <row r="99" spans="1:189" x14ac:dyDescent="0.3">
      <c r="A99">
        <v>98</v>
      </c>
      <c r="B99" t="s">
        <v>2581</v>
      </c>
      <c r="C99" t="s">
        <v>541</v>
      </c>
      <c r="D99" t="s">
        <v>1856</v>
      </c>
      <c r="E99" t="s">
        <v>2702</v>
      </c>
      <c r="F99">
        <v>72030</v>
      </c>
      <c r="G99" t="s">
        <v>421</v>
      </c>
      <c r="H99" t="s">
        <v>421</v>
      </c>
      <c r="I99" t="s">
        <v>1858</v>
      </c>
      <c r="J99" t="s">
        <v>2534</v>
      </c>
      <c r="K99" t="s">
        <v>2535</v>
      </c>
      <c r="L99">
        <v>2222265130</v>
      </c>
      <c r="M99" s="2" t="s">
        <v>2582</v>
      </c>
      <c r="N99" t="s">
        <v>2150</v>
      </c>
      <c r="O99" t="s">
        <v>2539</v>
      </c>
      <c r="P99">
        <v>1</v>
      </c>
      <c r="Q99">
        <v>34</v>
      </c>
      <c r="R99" t="s">
        <v>2583</v>
      </c>
      <c r="S99">
        <v>1</v>
      </c>
      <c r="T99">
        <v>1</v>
      </c>
      <c r="U99">
        <v>1</v>
      </c>
      <c r="V99">
        <v>1</v>
      </c>
      <c r="W99">
        <v>0</v>
      </c>
      <c r="X99">
        <v>0</v>
      </c>
      <c r="Y99" t="s">
        <v>821</v>
      </c>
      <c r="Z99">
        <v>37</v>
      </c>
      <c r="AA99">
        <v>37</v>
      </c>
      <c r="AD99" t="s">
        <v>2113</v>
      </c>
      <c r="AO99" t="s">
        <v>2556</v>
      </c>
      <c r="AP99" t="s">
        <v>2584</v>
      </c>
      <c r="AQ99">
        <v>6</v>
      </c>
      <c r="AR99">
        <v>0</v>
      </c>
      <c r="AS99">
        <v>2</v>
      </c>
      <c r="AT99">
        <v>4</v>
      </c>
      <c r="AU99">
        <v>0</v>
      </c>
      <c r="AV99">
        <v>0</v>
      </c>
      <c r="AX99">
        <v>30</v>
      </c>
      <c r="AY99">
        <v>1</v>
      </c>
      <c r="BB99" s="3">
        <f t="shared" si="33"/>
        <v>7</v>
      </c>
      <c r="BC99">
        <v>1</v>
      </c>
      <c r="BD99" t="s">
        <v>429</v>
      </c>
      <c r="BE99">
        <v>2</v>
      </c>
      <c r="BF99" t="s">
        <v>2564</v>
      </c>
      <c r="BG99">
        <v>2</v>
      </c>
      <c r="BO99">
        <v>1</v>
      </c>
      <c r="BP99" t="s">
        <v>1826</v>
      </c>
      <c r="BS99" t="s">
        <v>429</v>
      </c>
      <c r="BV99">
        <v>3</v>
      </c>
      <c r="BW99" t="s">
        <v>2368</v>
      </c>
      <c r="CN99">
        <v>1</v>
      </c>
      <c r="CP99">
        <v>1</v>
      </c>
      <c r="CS99">
        <v>1</v>
      </c>
      <c r="CT99">
        <v>1</v>
      </c>
      <c r="CU99" s="3">
        <f t="shared" si="26"/>
        <v>1</v>
      </c>
      <c r="CV99">
        <v>1</v>
      </c>
      <c r="EG99">
        <v>27</v>
      </c>
      <c r="EH99" t="s">
        <v>2383</v>
      </c>
      <c r="EI99">
        <v>2024</v>
      </c>
      <c r="EJ99" t="s">
        <v>2585</v>
      </c>
      <c r="EK99" t="s">
        <v>2455</v>
      </c>
      <c r="EL99" t="s">
        <v>2567</v>
      </c>
      <c r="EM99" t="s">
        <v>2455</v>
      </c>
      <c r="EN99" t="s">
        <v>2455</v>
      </c>
      <c r="EP99" t="s">
        <v>439</v>
      </c>
      <c r="EQ99" t="s">
        <v>440</v>
      </c>
      <c r="ES99" s="9" t="s">
        <v>2586</v>
      </c>
      <c r="EV99" s="9" t="s">
        <v>2587</v>
      </c>
      <c r="FB99" s="9" t="s">
        <v>2588</v>
      </c>
      <c r="FH99" s="9" t="s">
        <v>2589</v>
      </c>
      <c r="FN99" s="9" t="s">
        <v>2590</v>
      </c>
      <c r="FU99">
        <v>0</v>
      </c>
      <c r="FV99" s="3">
        <f t="shared" si="27"/>
        <v>0</v>
      </c>
      <c r="FX99">
        <v>0</v>
      </c>
      <c r="FY99" s="3">
        <f t="shared" si="28"/>
        <v>0</v>
      </c>
      <c r="GA99">
        <v>0</v>
      </c>
      <c r="GB99" s="3">
        <f t="shared" si="29"/>
        <v>0</v>
      </c>
      <c r="GC99" t="s">
        <v>452</v>
      </c>
      <c r="GD99">
        <f t="shared" si="32"/>
        <v>360</v>
      </c>
      <c r="GE99" s="3">
        <f t="shared" si="30"/>
        <v>2.4E-2</v>
      </c>
      <c r="GF99" s="3">
        <f t="shared" si="31"/>
        <v>2.4E-2</v>
      </c>
      <c r="GG99" s="3" t="str">
        <f t="shared" si="34"/>
        <v>ORDINARIO</v>
      </c>
    </row>
    <row r="100" spans="1:189" x14ac:dyDescent="0.3">
      <c r="A100">
        <v>99</v>
      </c>
      <c r="BB100" s="3">
        <f t="shared" si="33"/>
        <v>0</v>
      </c>
      <c r="CU100" s="3">
        <f t="shared" si="26"/>
        <v>0</v>
      </c>
      <c r="FV100" s="3">
        <f t="shared" si="27"/>
        <v>0</v>
      </c>
      <c r="FY100" s="3">
        <f t="shared" si="28"/>
        <v>0</v>
      </c>
      <c r="GB100" s="3">
        <f t="shared" si="29"/>
        <v>0</v>
      </c>
      <c r="GE100" s="3">
        <f t="shared" si="30"/>
        <v>0</v>
      </c>
      <c r="GF100" s="3">
        <f t="shared" si="31"/>
        <v>0</v>
      </c>
      <c r="GG100" s="3" t="str">
        <f t="shared" si="34"/>
        <v>ORDINARIO</v>
      </c>
    </row>
    <row r="101" spans="1:189" x14ac:dyDescent="0.3">
      <c r="A101">
        <v>100</v>
      </c>
      <c r="BB101" s="3">
        <f t="shared" si="33"/>
        <v>0</v>
      </c>
      <c r="CU101" s="3">
        <f t="shared" si="26"/>
        <v>0</v>
      </c>
      <c r="FV101" s="3">
        <f t="shared" si="27"/>
        <v>0</v>
      </c>
      <c r="FY101" s="3">
        <f t="shared" si="28"/>
        <v>0</v>
      </c>
      <c r="GB101" s="3">
        <f t="shared" si="29"/>
        <v>0</v>
      </c>
      <c r="GE101" s="3">
        <f t="shared" si="30"/>
        <v>0</v>
      </c>
      <c r="GF101" s="3">
        <f t="shared" si="31"/>
        <v>0</v>
      </c>
      <c r="GG101" s="3" t="str">
        <f t="shared" si="34"/>
        <v>ORDINARIO</v>
      </c>
    </row>
    <row r="102" spans="1:189" x14ac:dyDescent="0.3">
      <c r="A102">
        <v>101</v>
      </c>
      <c r="BB102" s="3">
        <f t="shared" si="33"/>
        <v>0</v>
      </c>
      <c r="CU102" s="3">
        <f t="shared" si="26"/>
        <v>0</v>
      </c>
      <c r="FV102" s="3">
        <f t="shared" si="27"/>
        <v>0</v>
      </c>
      <c r="FY102" s="3">
        <f t="shared" si="28"/>
        <v>0</v>
      </c>
      <c r="GB102" s="3">
        <f t="shared" si="29"/>
        <v>0</v>
      </c>
      <c r="GE102" s="3">
        <f t="shared" si="30"/>
        <v>0</v>
      </c>
      <c r="GF102" s="3">
        <f t="shared" si="31"/>
        <v>0</v>
      </c>
      <c r="GG102" s="3" t="str">
        <f t="shared" si="34"/>
        <v>ORDINARIO</v>
      </c>
    </row>
    <row r="103" spans="1:189" x14ac:dyDescent="0.3">
      <c r="A103">
        <v>102</v>
      </c>
      <c r="BB103" s="3">
        <f t="shared" si="33"/>
        <v>0</v>
      </c>
      <c r="CU103" s="3">
        <f t="shared" si="26"/>
        <v>0</v>
      </c>
      <c r="FV103" s="3">
        <f t="shared" si="27"/>
        <v>0</v>
      </c>
      <c r="FY103" s="3">
        <f t="shared" si="28"/>
        <v>0</v>
      </c>
      <c r="GB103" s="3">
        <f t="shared" si="29"/>
        <v>0</v>
      </c>
      <c r="GE103" s="3">
        <f t="shared" si="30"/>
        <v>0</v>
      </c>
      <c r="GF103" s="3">
        <f t="shared" si="31"/>
        <v>0</v>
      </c>
      <c r="GG103" s="3" t="str">
        <f t="shared" si="34"/>
        <v>ORDINARIO</v>
      </c>
    </row>
    <row r="104" spans="1:189" x14ac:dyDescent="0.3">
      <c r="A104">
        <v>103</v>
      </c>
      <c r="BB104" s="3">
        <f t="shared" si="33"/>
        <v>0</v>
      </c>
      <c r="CU104" s="3">
        <f t="shared" si="26"/>
        <v>0</v>
      </c>
      <c r="FV104" s="3">
        <f t="shared" si="27"/>
        <v>0</v>
      </c>
      <c r="FY104" s="3">
        <f t="shared" si="28"/>
        <v>0</v>
      </c>
      <c r="GB104" s="3">
        <f t="shared" si="29"/>
        <v>0</v>
      </c>
      <c r="GE104" s="3">
        <f t="shared" si="30"/>
        <v>0</v>
      </c>
      <c r="GF104" s="3">
        <f t="shared" si="31"/>
        <v>0</v>
      </c>
      <c r="GG104" s="3" t="str">
        <f t="shared" si="34"/>
        <v>ORDINARIO</v>
      </c>
    </row>
    <row r="105" spans="1:189" x14ac:dyDescent="0.3">
      <c r="A105">
        <v>104</v>
      </c>
      <c r="BB105" s="3">
        <f t="shared" si="33"/>
        <v>0</v>
      </c>
      <c r="CU105" s="3">
        <f t="shared" si="26"/>
        <v>0</v>
      </c>
      <c r="FV105" s="3">
        <f t="shared" si="27"/>
        <v>0</v>
      </c>
      <c r="FY105" s="3">
        <f t="shared" si="28"/>
        <v>0</v>
      </c>
      <c r="GB105" s="3">
        <f t="shared" si="29"/>
        <v>0</v>
      </c>
      <c r="GE105" s="3">
        <f t="shared" si="30"/>
        <v>0</v>
      </c>
      <c r="GF105" s="3">
        <f t="shared" si="31"/>
        <v>0</v>
      </c>
      <c r="GG105" s="3" t="str">
        <f t="shared" si="34"/>
        <v>ORDINARIO</v>
      </c>
    </row>
    <row r="106" spans="1:189" x14ac:dyDescent="0.3">
      <c r="A106">
        <v>105</v>
      </c>
      <c r="BB106" s="3">
        <f t="shared" si="33"/>
        <v>0</v>
      </c>
      <c r="CU106" s="3">
        <f t="shared" si="26"/>
        <v>0</v>
      </c>
      <c r="FV106" s="3">
        <f t="shared" si="27"/>
        <v>0</v>
      </c>
      <c r="FY106" s="3">
        <f t="shared" si="28"/>
        <v>0</v>
      </c>
      <c r="GB106" s="3">
        <f t="shared" si="29"/>
        <v>0</v>
      </c>
      <c r="GE106" s="3">
        <f t="shared" si="30"/>
        <v>0</v>
      </c>
      <c r="GF106" s="3">
        <f t="shared" si="31"/>
        <v>0</v>
      </c>
      <c r="GG106" s="3" t="str">
        <f t="shared" si="34"/>
        <v>ORDINARIO</v>
      </c>
    </row>
    <row r="107" spans="1:189" x14ac:dyDescent="0.3">
      <c r="A107">
        <v>106</v>
      </c>
      <c r="BB107" s="3">
        <f t="shared" si="33"/>
        <v>0</v>
      </c>
      <c r="CU107" s="3">
        <f t="shared" si="26"/>
        <v>0</v>
      </c>
      <c r="FV107" s="3">
        <f t="shared" si="27"/>
        <v>0</v>
      </c>
      <c r="FY107" s="3">
        <f t="shared" si="28"/>
        <v>0</v>
      </c>
      <c r="GB107" s="3">
        <f t="shared" si="29"/>
        <v>0</v>
      </c>
      <c r="GE107" s="3">
        <f t="shared" si="30"/>
        <v>0</v>
      </c>
      <c r="GF107" s="3">
        <f t="shared" si="31"/>
        <v>0</v>
      </c>
      <c r="GG107" s="3" t="str">
        <f t="shared" si="34"/>
        <v>ORDINARIO</v>
      </c>
    </row>
    <row r="108" spans="1:189" x14ac:dyDescent="0.3">
      <c r="A108">
        <v>107</v>
      </c>
      <c r="BB108" s="3">
        <f t="shared" si="33"/>
        <v>0</v>
      </c>
      <c r="CU108" s="3">
        <f t="shared" si="26"/>
        <v>0</v>
      </c>
      <c r="FV108" s="3">
        <f t="shared" si="27"/>
        <v>0</v>
      </c>
      <c r="FY108" s="3">
        <f t="shared" si="28"/>
        <v>0</v>
      </c>
      <c r="GB108" s="3">
        <f t="shared" si="29"/>
        <v>0</v>
      </c>
      <c r="GE108" s="3">
        <f t="shared" si="30"/>
        <v>0</v>
      </c>
      <c r="GF108" s="3">
        <f t="shared" si="31"/>
        <v>0</v>
      </c>
      <c r="GG108" s="3" t="str">
        <f t="shared" si="34"/>
        <v>ORDINARIO</v>
      </c>
    </row>
    <row r="109" spans="1:189" x14ac:dyDescent="0.3">
      <c r="A109">
        <v>108</v>
      </c>
      <c r="BB109" s="3">
        <f t="shared" si="33"/>
        <v>0</v>
      </c>
      <c r="CU109" s="3">
        <f t="shared" ref="CU109:CU140" si="35">+CV109+CX109+CY109+CZ109+DA109</f>
        <v>0</v>
      </c>
      <c r="FV109" s="3">
        <f t="shared" ref="FV109:FV140" si="36">+FU109/3000</f>
        <v>0</v>
      </c>
      <c r="FY109" s="3">
        <f t="shared" ref="FY109:FY140" si="37">+FX109/1400</f>
        <v>0</v>
      </c>
      <c r="GB109" s="3">
        <f t="shared" ref="GB109:GB140" si="38">+GA109/2000</f>
        <v>0</v>
      </c>
      <c r="GE109" s="3">
        <f t="shared" ref="GE109:GE140" si="39">+GD109/15000</f>
        <v>0</v>
      </c>
      <c r="GF109" s="3">
        <f t="shared" ref="GF109:GF140" si="40">+FV109+FY109+GB109+GE109</f>
        <v>0</v>
      </c>
      <c r="GG109" s="3" t="str">
        <f t="shared" si="34"/>
        <v>ORDINARIO</v>
      </c>
    </row>
    <row r="110" spans="1:189" x14ac:dyDescent="0.3">
      <c r="A110">
        <v>109</v>
      </c>
      <c r="BB110" s="3">
        <f t="shared" si="33"/>
        <v>0</v>
      </c>
      <c r="CU110" s="3">
        <f t="shared" si="35"/>
        <v>0</v>
      </c>
      <c r="FV110" s="3">
        <f t="shared" si="36"/>
        <v>0</v>
      </c>
      <c r="FY110" s="3">
        <f t="shared" si="37"/>
        <v>0</v>
      </c>
      <c r="GB110" s="3">
        <f t="shared" si="38"/>
        <v>0</v>
      </c>
      <c r="GE110" s="3">
        <f t="shared" si="39"/>
        <v>0</v>
      </c>
      <c r="GF110" s="3">
        <f t="shared" si="40"/>
        <v>0</v>
      </c>
      <c r="GG110" s="3" t="str">
        <f t="shared" si="34"/>
        <v>ORDINARIO</v>
      </c>
    </row>
    <row r="111" spans="1:189" x14ac:dyDescent="0.3">
      <c r="A111">
        <v>110</v>
      </c>
      <c r="BB111" s="3">
        <f t="shared" si="33"/>
        <v>0</v>
      </c>
      <c r="CU111" s="3">
        <f t="shared" si="35"/>
        <v>0</v>
      </c>
      <c r="FV111" s="3">
        <f t="shared" si="36"/>
        <v>0</v>
      </c>
      <c r="FY111" s="3">
        <f t="shared" si="37"/>
        <v>0</v>
      </c>
      <c r="GB111" s="3">
        <f t="shared" si="38"/>
        <v>0</v>
      </c>
      <c r="GE111" s="3">
        <f t="shared" si="39"/>
        <v>0</v>
      </c>
      <c r="GF111" s="3">
        <f t="shared" si="40"/>
        <v>0</v>
      </c>
      <c r="GG111" s="3" t="str">
        <f t="shared" si="34"/>
        <v>ORDINARIO</v>
      </c>
    </row>
    <row r="112" spans="1:189" x14ac:dyDescent="0.3">
      <c r="A112">
        <v>111</v>
      </c>
      <c r="BB112" s="3">
        <f t="shared" si="33"/>
        <v>0</v>
      </c>
      <c r="CU112" s="3">
        <f t="shared" si="35"/>
        <v>0</v>
      </c>
      <c r="FV112" s="3">
        <f t="shared" si="36"/>
        <v>0</v>
      </c>
      <c r="FY112" s="3">
        <f t="shared" si="37"/>
        <v>0</v>
      </c>
      <c r="GB112" s="3">
        <f t="shared" si="38"/>
        <v>0</v>
      </c>
      <c r="GE112" s="3">
        <f t="shared" si="39"/>
        <v>0</v>
      </c>
      <c r="GF112" s="3">
        <f t="shared" si="40"/>
        <v>0</v>
      </c>
      <c r="GG112" s="3" t="str">
        <f t="shared" si="34"/>
        <v>ORDINARIO</v>
      </c>
    </row>
    <row r="113" spans="1:189" x14ac:dyDescent="0.3">
      <c r="A113">
        <v>112</v>
      </c>
      <c r="BB113" s="3">
        <f t="shared" si="33"/>
        <v>0</v>
      </c>
      <c r="CU113" s="3">
        <f t="shared" si="35"/>
        <v>0</v>
      </c>
      <c r="FV113" s="3">
        <f t="shared" si="36"/>
        <v>0</v>
      </c>
      <c r="FY113" s="3">
        <f t="shared" si="37"/>
        <v>0</v>
      </c>
      <c r="GB113" s="3">
        <f t="shared" si="38"/>
        <v>0</v>
      </c>
      <c r="GE113" s="3">
        <f t="shared" si="39"/>
        <v>0</v>
      </c>
      <c r="GF113" s="3">
        <f t="shared" si="40"/>
        <v>0</v>
      </c>
      <c r="GG113" s="3" t="str">
        <f t="shared" si="34"/>
        <v>ORDINARIO</v>
      </c>
    </row>
    <row r="114" spans="1:189" x14ac:dyDescent="0.3">
      <c r="A114">
        <v>113</v>
      </c>
      <c r="BB114" s="3">
        <f t="shared" si="33"/>
        <v>0</v>
      </c>
      <c r="CU114" s="3">
        <f t="shared" si="35"/>
        <v>0</v>
      </c>
      <c r="FV114" s="3">
        <f t="shared" si="36"/>
        <v>0</v>
      </c>
      <c r="FY114" s="3">
        <f t="shared" si="37"/>
        <v>0</v>
      </c>
      <c r="GB114" s="3">
        <f t="shared" si="38"/>
        <v>0</v>
      </c>
      <c r="GE114" s="3">
        <f t="shared" si="39"/>
        <v>0</v>
      </c>
      <c r="GF114" s="3">
        <f t="shared" si="40"/>
        <v>0</v>
      </c>
      <c r="GG114" s="3" t="str">
        <f t="shared" si="34"/>
        <v>ORDINARIO</v>
      </c>
    </row>
    <row r="115" spans="1:189" x14ac:dyDescent="0.3">
      <c r="A115">
        <v>114</v>
      </c>
      <c r="BB115" s="3">
        <f t="shared" si="33"/>
        <v>0</v>
      </c>
      <c r="CU115" s="3">
        <f t="shared" si="35"/>
        <v>0</v>
      </c>
      <c r="FV115" s="3">
        <f t="shared" si="36"/>
        <v>0</v>
      </c>
      <c r="FY115" s="3">
        <f t="shared" si="37"/>
        <v>0</v>
      </c>
      <c r="GB115" s="3">
        <f t="shared" si="38"/>
        <v>0</v>
      </c>
      <c r="GE115" s="3">
        <f t="shared" si="39"/>
        <v>0</v>
      </c>
      <c r="GF115" s="3">
        <f t="shared" si="40"/>
        <v>0</v>
      </c>
      <c r="GG115" s="3" t="str">
        <f t="shared" si="34"/>
        <v>ORDINARIO</v>
      </c>
    </row>
    <row r="116" spans="1:189" x14ac:dyDescent="0.3">
      <c r="A116">
        <v>115</v>
      </c>
      <c r="BB116" s="3">
        <f t="shared" si="33"/>
        <v>0</v>
      </c>
      <c r="CU116" s="3">
        <f t="shared" si="35"/>
        <v>0</v>
      </c>
      <c r="FV116" s="3">
        <f t="shared" si="36"/>
        <v>0</v>
      </c>
      <c r="FY116" s="3">
        <f t="shared" si="37"/>
        <v>0</v>
      </c>
      <c r="GB116" s="3">
        <f t="shared" si="38"/>
        <v>0</v>
      </c>
      <c r="GE116" s="3">
        <f t="shared" si="39"/>
        <v>0</v>
      </c>
      <c r="GF116" s="3">
        <f t="shared" si="40"/>
        <v>0</v>
      </c>
      <c r="GG116" s="3" t="str">
        <f t="shared" si="34"/>
        <v>ORDINARIO</v>
      </c>
    </row>
    <row r="117" spans="1:189" x14ac:dyDescent="0.3">
      <c r="A117">
        <v>116</v>
      </c>
      <c r="BB117" s="3">
        <f t="shared" si="33"/>
        <v>0</v>
      </c>
      <c r="CU117" s="3">
        <f t="shared" si="35"/>
        <v>0</v>
      </c>
      <c r="FV117" s="3">
        <f t="shared" si="36"/>
        <v>0</v>
      </c>
      <c r="FY117" s="3">
        <f t="shared" si="37"/>
        <v>0</v>
      </c>
      <c r="GB117" s="3">
        <f t="shared" si="38"/>
        <v>0</v>
      </c>
      <c r="GE117" s="3">
        <f t="shared" si="39"/>
        <v>0</v>
      </c>
      <c r="GF117" s="3">
        <f t="shared" si="40"/>
        <v>0</v>
      </c>
      <c r="GG117" s="3" t="str">
        <f t="shared" si="34"/>
        <v>ORDINARIO</v>
      </c>
    </row>
    <row r="118" spans="1:189" x14ac:dyDescent="0.3">
      <c r="A118">
        <v>117</v>
      </c>
      <c r="BB118" s="3">
        <f t="shared" si="33"/>
        <v>0</v>
      </c>
      <c r="CU118" s="3">
        <f t="shared" si="35"/>
        <v>0</v>
      </c>
      <c r="FV118" s="3">
        <f t="shared" si="36"/>
        <v>0</v>
      </c>
      <c r="FY118" s="3">
        <f t="shared" si="37"/>
        <v>0</v>
      </c>
      <c r="GB118" s="3">
        <f t="shared" si="38"/>
        <v>0</v>
      </c>
      <c r="GE118" s="3">
        <f t="shared" si="39"/>
        <v>0</v>
      </c>
      <c r="GF118" s="3">
        <f t="shared" si="40"/>
        <v>0</v>
      </c>
      <c r="GG118" s="3" t="str">
        <f t="shared" si="34"/>
        <v>ORDINARIO</v>
      </c>
    </row>
    <row r="119" spans="1:189" x14ac:dyDescent="0.3">
      <c r="A119">
        <v>118</v>
      </c>
      <c r="BB119" s="3">
        <f t="shared" si="33"/>
        <v>0</v>
      </c>
      <c r="CU119" s="3">
        <f t="shared" si="35"/>
        <v>0</v>
      </c>
      <c r="FV119" s="3">
        <f t="shared" si="36"/>
        <v>0</v>
      </c>
      <c r="FY119" s="3">
        <f t="shared" si="37"/>
        <v>0</v>
      </c>
      <c r="GB119" s="3">
        <f t="shared" si="38"/>
        <v>0</v>
      </c>
      <c r="GE119" s="3">
        <f t="shared" si="39"/>
        <v>0</v>
      </c>
      <c r="GF119" s="3">
        <f t="shared" si="40"/>
        <v>0</v>
      </c>
      <c r="GG119" s="3" t="str">
        <f t="shared" si="34"/>
        <v>ORDINARIO</v>
      </c>
    </row>
    <row r="120" spans="1:189" x14ac:dyDescent="0.3">
      <c r="A120">
        <v>119</v>
      </c>
      <c r="BB120" s="3">
        <f t="shared" si="33"/>
        <v>0</v>
      </c>
      <c r="CU120" s="3">
        <f t="shared" si="35"/>
        <v>0</v>
      </c>
      <c r="FV120" s="3">
        <f t="shared" si="36"/>
        <v>0</v>
      </c>
      <c r="FY120" s="3">
        <f t="shared" si="37"/>
        <v>0</v>
      </c>
      <c r="GB120" s="3">
        <f t="shared" si="38"/>
        <v>0</v>
      </c>
      <c r="GE120" s="3">
        <f t="shared" si="39"/>
        <v>0</v>
      </c>
      <c r="GF120" s="3">
        <f t="shared" si="40"/>
        <v>0</v>
      </c>
      <c r="GG120" s="3" t="str">
        <f t="shared" si="34"/>
        <v>ORDINARIO</v>
      </c>
    </row>
    <row r="121" spans="1:189" x14ac:dyDescent="0.3">
      <c r="A121">
        <v>120</v>
      </c>
      <c r="BB121" s="3">
        <f t="shared" si="33"/>
        <v>0</v>
      </c>
      <c r="CU121" s="3">
        <f t="shared" si="35"/>
        <v>0</v>
      </c>
      <c r="FV121" s="3">
        <f t="shared" si="36"/>
        <v>0</v>
      </c>
      <c r="FY121" s="3">
        <f t="shared" si="37"/>
        <v>0</v>
      </c>
      <c r="GB121" s="3">
        <f t="shared" si="38"/>
        <v>0</v>
      </c>
      <c r="GE121" s="3">
        <f t="shared" si="39"/>
        <v>0</v>
      </c>
      <c r="GF121" s="3">
        <f t="shared" si="40"/>
        <v>0</v>
      </c>
      <c r="GG121" s="3" t="str">
        <f t="shared" si="34"/>
        <v>ORDINARIO</v>
      </c>
    </row>
    <row r="122" spans="1:189" x14ac:dyDescent="0.3">
      <c r="A122">
        <v>121</v>
      </c>
      <c r="BB122" s="3">
        <f t="shared" si="33"/>
        <v>0</v>
      </c>
      <c r="CU122" s="3">
        <f t="shared" si="35"/>
        <v>0</v>
      </c>
      <c r="FV122" s="3">
        <f t="shared" si="36"/>
        <v>0</v>
      </c>
      <c r="FY122" s="3">
        <f t="shared" si="37"/>
        <v>0</v>
      </c>
      <c r="GB122" s="3">
        <f t="shared" si="38"/>
        <v>0</v>
      </c>
      <c r="GE122" s="3">
        <f t="shared" si="39"/>
        <v>0</v>
      </c>
      <c r="GF122" s="3">
        <f t="shared" si="40"/>
        <v>0</v>
      </c>
      <c r="GG122" s="3" t="str">
        <f t="shared" si="34"/>
        <v>ORDINARIO</v>
      </c>
    </row>
    <row r="123" spans="1:189" x14ac:dyDescent="0.3">
      <c r="A123">
        <v>122</v>
      </c>
      <c r="BB123" s="3">
        <f t="shared" si="33"/>
        <v>0</v>
      </c>
      <c r="CU123" s="3">
        <f t="shared" si="35"/>
        <v>0</v>
      </c>
      <c r="FV123" s="3">
        <f t="shared" si="36"/>
        <v>0</v>
      </c>
      <c r="FY123" s="3">
        <f t="shared" si="37"/>
        <v>0</v>
      </c>
      <c r="GB123" s="3">
        <f t="shared" si="38"/>
        <v>0</v>
      </c>
      <c r="GE123" s="3">
        <f t="shared" si="39"/>
        <v>0</v>
      </c>
      <c r="GF123" s="3">
        <f t="shared" si="40"/>
        <v>0</v>
      </c>
      <c r="GG123" s="3" t="str">
        <f t="shared" si="34"/>
        <v>ORDINARIO</v>
      </c>
    </row>
    <row r="124" spans="1:189" x14ac:dyDescent="0.3">
      <c r="A124">
        <v>123</v>
      </c>
      <c r="BB124" s="3">
        <f t="shared" si="33"/>
        <v>0</v>
      </c>
      <c r="CU124" s="3">
        <f t="shared" si="35"/>
        <v>0</v>
      </c>
      <c r="FV124" s="3">
        <f t="shared" si="36"/>
        <v>0</v>
      </c>
      <c r="FY124" s="3">
        <f t="shared" si="37"/>
        <v>0</v>
      </c>
      <c r="GB124" s="3">
        <f t="shared" si="38"/>
        <v>0</v>
      </c>
      <c r="GE124" s="3">
        <f t="shared" si="39"/>
        <v>0</v>
      </c>
      <c r="GF124" s="3">
        <f t="shared" si="40"/>
        <v>0</v>
      </c>
      <c r="GG124" s="3" t="str">
        <f t="shared" si="34"/>
        <v>ORDINARIO</v>
      </c>
    </row>
    <row r="125" spans="1:189" x14ac:dyDescent="0.3">
      <c r="A125">
        <v>124</v>
      </c>
      <c r="BB125" s="3">
        <f t="shared" si="33"/>
        <v>0</v>
      </c>
      <c r="CU125" s="3">
        <f t="shared" si="35"/>
        <v>0</v>
      </c>
      <c r="FV125" s="3">
        <f t="shared" si="36"/>
        <v>0</v>
      </c>
      <c r="FY125" s="3">
        <f t="shared" si="37"/>
        <v>0</v>
      </c>
      <c r="GB125" s="3">
        <f t="shared" si="38"/>
        <v>0</v>
      </c>
      <c r="GE125" s="3">
        <f t="shared" si="39"/>
        <v>0</v>
      </c>
      <c r="GF125" s="3">
        <f t="shared" si="40"/>
        <v>0</v>
      </c>
      <c r="GG125" s="3" t="str">
        <f t="shared" si="34"/>
        <v>ORDINARIO</v>
      </c>
    </row>
    <row r="126" spans="1:189" x14ac:dyDescent="0.3">
      <c r="A126">
        <v>125</v>
      </c>
      <c r="BB126" s="3">
        <f t="shared" si="33"/>
        <v>0</v>
      </c>
      <c r="CU126" s="3">
        <f t="shared" si="35"/>
        <v>0</v>
      </c>
      <c r="FV126" s="3">
        <f t="shared" si="36"/>
        <v>0</v>
      </c>
      <c r="FY126" s="3">
        <f t="shared" si="37"/>
        <v>0</v>
      </c>
      <c r="GB126" s="3">
        <f t="shared" si="38"/>
        <v>0</v>
      </c>
      <c r="GE126" s="3">
        <f t="shared" si="39"/>
        <v>0</v>
      </c>
      <c r="GF126" s="3">
        <f t="shared" si="40"/>
        <v>0</v>
      </c>
      <c r="GG126" s="3" t="str">
        <f t="shared" si="34"/>
        <v>ORDINARIO</v>
      </c>
    </row>
    <row r="127" spans="1:189" x14ac:dyDescent="0.3">
      <c r="A127">
        <v>126</v>
      </c>
      <c r="BB127" s="3">
        <f t="shared" si="33"/>
        <v>0</v>
      </c>
      <c r="CU127" s="3">
        <f t="shared" si="35"/>
        <v>0</v>
      </c>
      <c r="FV127" s="3">
        <f t="shared" si="36"/>
        <v>0</v>
      </c>
      <c r="FY127" s="3">
        <f t="shared" si="37"/>
        <v>0</v>
      </c>
      <c r="GB127" s="3">
        <f t="shared" si="38"/>
        <v>0</v>
      </c>
      <c r="GE127" s="3">
        <f t="shared" si="39"/>
        <v>0</v>
      </c>
      <c r="GF127" s="3">
        <f t="shared" si="40"/>
        <v>0</v>
      </c>
      <c r="GG127" s="3" t="str">
        <f t="shared" si="34"/>
        <v>ORDINARIO</v>
      </c>
    </row>
    <row r="128" spans="1:189" x14ac:dyDescent="0.3">
      <c r="A128">
        <v>127</v>
      </c>
      <c r="BB128" s="3">
        <f t="shared" si="33"/>
        <v>0</v>
      </c>
      <c r="CU128" s="3">
        <f t="shared" si="35"/>
        <v>0</v>
      </c>
      <c r="FV128" s="3">
        <f t="shared" si="36"/>
        <v>0</v>
      </c>
      <c r="FY128" s="3">
        <f t="shared" si="37"/>
        <v>0</v>
      </c>
      <c r="GB128" s="3">
        <f t="shared" si="38"/>
        <v>0</v>
      </c>
      <c r="GE128" s="3">
        <f t="shared" si="39"/>
        <v>0</v>
      </c>
      <c r="GF128" s="3">
        <f t="shared" si="40"/>
        <v>0</v>
      </c>
      <c r="GG128" s="3" t="str">
        <f t="shared" si="34"/>
        <v>ORDINARIO</v>
      </c>
    </row>
    <row r="129" spans="1:189" x14ac:dyDescent="0.3">
      <c r="A129">
        <v>128</v>
      </c>
      <c r="BB129" s="3">
        <f t="shared" si="33"/>
        <v>0</v>
      </c>
      <c r="CU129" s="3">
        <f t="shared" si="35"/>
        <v>0</v>
      </c>
      <c r="FV129" s="3">
        <f t="shared" si="36"/>
        <v>0</v>
      </c>
      <c r="FY129" s="3">
        <f t="shared" si="37"/>
        <v>0</v>
      </c>
      <c r="GB129" s="3">
        <f t="shared" si="38"/>
        <v>0</v>
      </c>
      <c r="GE129" s="3">
        <f t="shared" si="39"/>
        <v>0</v>
      </c>
      <c r="GF129" s="3">
        <f t="shared" si="40"/>
        <v>0</v>
      </c>
      <c r="GG129" s="3" t="str">
        <f t="shared" si="34"/>
        <v>ORDINARIO</v>
      </c>
    </row>
    <row r="130" spans="1:189" x14ac:dyDescent="0.3">
      <c r="A130">
        <v>129</v>
      </c>
      <c r="BB130" s="3">
        <f t="shared" ref="BB130:BB161" si="41">+BC130+BE130+BO130+CN130+CO130+CP130+CQ130+CR130+CS130+DG130</f>
        <v>0</v>
      </c>
      <c r="CU130" s="3">
        <f t="shared" si="35"/>
        <v>0</v>
      </c>
      <c r="FV130" s="3">
        <f t="shared" si="36"/>
        <v>0</v>
      </c>
      <c r="FY130" s="3">
        <f t="shared" si="37"/>
        <v>0</v>
      </c>
      <c r="GB130" s="3">
        <f t="shared" si="38"/>
        <v>0</v>
      </c>
      <c r="GE130" s="3">
        <f t="shared" si="39"/>
        <v>0</v>
      </c>
      <c r="GF130" s="3">
        <f t="shared" si="40"/>
        <v>0</v>
      </c>
      <c r="GG130" s="3" t="str">
        <f t="shared" ref="GG130:GG161" si="42">IF(AA130&gt;=3000,"ALTO",IF(GF130&gt;=1,"ALTO","ORDINARIO"))</f>
        <v>ORDINARIO</v>
      </c>
    </row>
    <row r="131" spans="1:189" x14ac:dyDescent="0.3">
      <c r="A131">
        <v>130</v>
      </c>
      <c r="BB131" s="3">
        <f t="shared" si="41"/>
        <v>0</v>
      </c>
      <c r="CU131" s="3">
        <f t="shared" si="35"/>
        <v>0</v>
      </c>
      <c r="FV131" s="3">
        <f t="shared" si="36"/>
        <v>0</v>
      </c>
      <c r="FY131" s="3">
        <f t="shared" si="37"/>
        <v>0</v>
      </c>
      <c r="GB131" s="3">
        <f t="shared" si="38"/>
        <v>0</v>
      </c>
      <c r="GE131" s="3">
        <f t="shared" si="39"/>
        <v>0</v>
      </c>
      <c r="GF131" s="3">
        <f t="shared" si="40"/>
        <v>0</v>
      </c>
      <c r="GG131" s="3" t="str">
        <f t="shared" si="42"/>
        <v>ORDINARIO</v>
      </c>
    </row>
    <row r="132" spans="1:189" x14ac:dyDescent="0.3">
      <c r="A132">
        <v>131</v>
      </c>
      <c r="BB132" s="3">
        <f t="shared" si="41"/>
        <v>0</v>
      </c>
      <c r="CU132" s="3">
        <f t="shared" si="35"/>
        <v>0</v>
      </c>
      <c r="FV132" s="3">
        <f t="shared" si="36"/>
        <v>0</v>
      </c>
      <c r="FY132" s="3">
        <f t="shared" si="37"/>
        <v>0</v>
      </c>
      <c r="GB132" s="3">
        <f t="shared" si="38"/>
        <v>0</v>
      </c>
      <c r="GE132" s="3">
        <f t="shared" si="39"/>
        <v>0</v>
      </c>
      <c r="GF132" s="3">
        <f t="shared" si="40"/>
        <v>0</v>
      </c>
      <c r="GG132" s="3" t="str">
        <f t="shared" si="42"/>
        <v>ORDINARIO</v>
      </c>
    </row>
    <row r="133" spans="1:189" x14ac:dyDescent="0.3">
      <c r="A133">
        <v>132</v>
      </c>
      <c r="BB133" s="3">
        <f t="shared" si="41"/>
        <v>0</v>
      </c>
      <c r="CU133" s="3">
        <f t="shared" si="35"/>
        <v>0</v>
      </c>
      <c r="FV133" s="3">
        <f t="shared" si="36"/>
        <v>0</v>
      </c>
      <c r="FY133" s="3">
        <f t="shared" si="37"/>
        <v>0</v>
      </c>
      <c r="GB133" s="3">
        <f t="shared" si="38"/>
        <v>0</v>
      </c>
      <c r="GE133" s="3">
        <f t="shared" si="39"/>
        <v>0</v>
      </c>
      <c r="GF133" s="3">
        <f t="shared" si="40"/>
        <v>0</v>
      </c>
      <c r="GG133" s="3" t="str">
        <f t="shared" si="42"/>
        <v>ORDINARIO</v>
      </c>
    </row>
    <row r="134" spans="1:189" x14ac:dyDescent="0.3">
      <c r="A134">
        <v>133</v>
      </c>
      <c r="BB134" s="3">
        <f t="shared" si="41"/>
        <v>0</v>
      </c>
      <c r="CU134" s="3">
        <f t="shared" si="35"/>
        <v>0</v>
      </c>
      <c r="FV134" s="3">
        <f t="shared" si="36"/>
        <v>0</v>
      </c>
      <c r="FY134" s="3">
        <f t="shared" si="37"/>
        <v>0</v>
      </c>
      <c r="GB134" s="3">
        <f t="shared" si="38"/>
        <v>0</v>
      </c>
      <c r="GE134" s="3">
        <f t="shared" si="39"/>
        <v>0</v>
      </c>
      <c r="GF134" s="3">
        <f t="shared" si="40"/>
        <v>0</v>
      </c>
      <c r="GG134" s="3" t="str">
        <f t="shared" si="42"/>
        <v>ORDINARIO</v>
      </c>
    </row>
    <row r="135" spans="1:189" x14ac:dyDescent="0.3">
      <c r="A135">
        <v>134</v>
      </c>
      <c r="BB135" s="3">
        <f t="shared" si="41"/>
        <v>0</v>
      </c>
      <c r="CU135" s="3">
        <f t="shared" si="35"/>
        <v>0</v>
      </c>
      <c r="FV135" s="3">
        <f t="shared" si="36"/>
        <v>0</v>
      </c>
      <c r="FY135" s="3">
        <f t="shared" si="37"/>
        <v>0</v>
      </c>
      <c r="GB135" s="3">
        <f t="shared" si="38"/>
        <v>0</v>
      </c>
      <c r="GE135" s="3">
        <f t="shared" si="39"/>
        <v>0</v>
      </c>
      <c r="GF135" s="3">
        <f t="shared" si="40"/>
        <v>0</v>
      </c>
      <c r="GG135" s="3" t="str">
        <f t="shared" si="42"/>
        <v>ORDINARIO</v>
      </c>
    </row>
    <row r="136" spans="1:189" x14ac:dyDescent="0.3">
      <c r="A136">
        <v>135</v>
      </c>
      <c r="BB136" s="3">
        <f t="shared" si="41"/>
        <v>0</v>
      </c>
      <c r="CU136" s="3">
        <f t="shared" si="35"/>
        <v>0</v>
      </c>
      <c r="FV136" s="3">
        <f t="shared" si="36"/>
        <v>0</v>
      </c>
      <c r="FY136" s="3">
        <f t="shared" si="37"/>
        <v>0</v>
      </c>
      <c r="GB136" s="3">
        <f t="shared" si="38"/>
        <v>0</v>
      </c>
      <c r="GE136" s="3">
        <f t="shared" si="39"/>
        <v>0</v>
      </c>
      <c r="GF136" s="3">
        <f t="shared" si="40"/>
        <v>0</v>
      </c>
      <c r="GG136" s="3" t="str">
        <f t="shared" si="42"/>
        <v>ORDINARIO</v>
      </c>
    </row>
    <row r="137" spans="1:189" x14ac:dyDescent="0.3">
      <c r="A137">
        <v>136</v>
      </c>
      <c r="BB137" s="3">
        <f t="shared" si="41"/>
        <v>0</v>
      </c>
      <c r="CU137" s="3">
        <f t="shared" si="35"/>
        <v>0</v>
      </c>
      <c r="FV137" s="3">
        <f t="shared" si="36"/>
        <v>0</v>
      </c>
      <c r="FY137" s="3">
        <f t="shared" si="37"/>
        <v>0</v>
      </c>
      <c r="GB137" s="3">
        <f t="shared" si="38"/>
        <v>0</v>
      </c>
      <c r="GE137" s="3">
        <f t="shared" si="39"/>
        <v>0</v>
      </c>
      <c r="GF137" s="3">
        <f t="shared" si="40"/>
        <v>0</v>
      </c>
      <c r="GG137" s="3" t="str">
        <f t="shared" si="42"/>
        <v>ORDINARIO</v>
      </c>
    </row>
    <row r="138" spans="1:189" x14ac:dyDescent="0.3">
      <c r="A138">
        <v>137</v>
      </c>
      <c r="BB138" s="3">
        <f t="shared" si="41"/>
        <v>0</v>
      </c>
      <c r="CU138" s="3">
        <f t="shared" si="35"/>
        <v>0</v>
      </c>
      <c r="FV138" s="3">
        <f t="shared" si="36"/>
        <v>0</v>
      </c>
      <c r="FY138" s="3">
        <f t="shared" si="37"/>
        <v>0</v>
      </c>
      <c r="GB138" s="3">
        <f t="shared" si="38"/>
        <v>0</v>
      </c>
      <c r="GE138" s="3">
        <f t="shared" si="39"/>
        <v>0</v>
      </c>
      <c r="GF138" s="3">
        <f t="shared" si="40"/>
        <v>0</v>
      </c>
      <c r="GG138" s="3" t="str">
        <f t="shared" si="42"/>
        <v>ORDINARIO</v>
      </c>
    </row>
    <row r="139" spans="1:189" x14ac:dyDescent="0.3">
      <c r="A139">
        <v>138</v>
      </c>
      <c r="BB139" s="3">
        <f t="shared" si="41"/>
        <v>0</v>
      </c>
      <c r="CU139" s="3">
        <f t="shared" si="35"/>
        <v>0</v>
      </c>
      <c r="FV139" s="3">
        <f t="shared" si="36"/>
        <v>0</v>
      </c>
      <c r="FY139" s="3">
        <f t="shared" si="37"/>
        <v>0</v>
      </c>
      <c r="GB139" s="3">
        <f t="shared" si="38"/>
        <v>0</v>
      </c>
      <c r="GE139" s="3">
        <f t="shared" si="39"/>
        <v>0</v>
      </c>
      <c r="GF139" s="3">
        <f t="shared" si="40"/>
        <v>0</v>
      </c>
      <c r="GG139" s="3" t="str">
        <f t="shared" si="42"/>
        <v>ORDINARIO</v>
      </c>
    </row>
    <row r="140" spans="1:189" x14ac:dyDescent="0.3">
      <c r="A140">
        <v>139</v>
      </c>
      <c r="BB140" s="3">
        <f t="shared" si="41"/>
        <v>0</v>
      </c>
      <c r="CU140" s="3">
        <f t="shared" si="35"/>
        <v>0</v>
      </c>
      <c r="FV140" s="3">
        <f t="shared" si="36"/>
        <v>0</v>
      </c>
      <c r="FY140" s="3">
        <f t="shared" si="37"/>
        <v>0</v>
      </c>
      <c r="GB140" s="3">
        <f t="shared" si="38"/>
        <v>0</v>
      </c>
      <c r="GE140" s="3">
        <f t="shared" si="39"/>
        <v>0</v>
      </c>
      <c r="GF140" s="3">
        <f t="shared" si="40"/>
        <v>0</v>
      </c>
      <c r="GG140" s="3" t="str">
        <f t="shared" si="42"/>
        <v>ORDINARIO</v>
      </c>
    </row>
    <row r="141" spans="1:189" x14ac:dyDescent="0.3">
      <c r="A141">
        <v>140</v>
      </c>
      <c r="BB141" s="3">
        <f t="shared" si="41"/>
        <v>0</v>
      </c>
      <c r="CU141" s="3">
        <f t="shared" ref="CU141:CU172" si="43">+CV141+CX141+CY141+CZ141+DA141</f>
        <v>0</v>
      </c>
      <c r="FV141" s="3">
        <f t="shared" ref="FV141:FV172" si="44">+FU141/3000</f>
        <v>0</v>
      </c>
      <c r="FY141" s="3">
        <f t="shared" ref="FY141:FY172" si="45">+FX141/1400</f>
        <v>0</v>
      </c>
      <c r="GB141" s="3">
        <f t="shared" ref="GB141:GB172" si="46">+GA141/2000</f>
        <v>0</v>
      </c>
      <c r="GE141" s="3">
        <f t="shared" ref="GE141:GE172" si="47">+GD141/15000</f>
        <v>0</v>
      </c>
      <c r="GF141" s="3">
        <f t="shared" ref="GF141:GF172" si="48">+FV141+FY141+GB141+GE141</f>
        <v>0</v>
      </c>
      <c r="GG141" s="3" t="str">
        <f t="shared" si="42"/>
        <v>ORDINARIO</v>
      </c>
    </row>
    <row r="142" spans="1:189" x14ac:dyDescent="0.3">
      <c r="A142">
        <v>141</v>
      </c>
      <c r="BB142" s="3">
        <f t="shared" si="41"/>
        <v>0</v>
      </c>
      <c r="CU142" s="3">
        <f t="shared" si="43"/>
        <v>0</v>
      </c>
      <c r="FV142" s="3">
        <f t="shared" si="44"/>
        <v>0</v>
      </c>
      <c r="FY142" s="3">
        <f t="shared" si="45"/>
        <v>0</v>
      </c>
      <c r="GB142" s="3">
        <f t="shared" si="46"/>
        <v>0</v>
      </c>
      <c r="GE142" s="3">
        <f t="shared" si="47"/>
        <v>0</v>
      </c>
      <c r="GF142" s="3">
        <f t="shared" si="48"/>
        <v>0</v>
      </c>
      <c r="GG142" s="3" t="str">
        <f t="shared" si="42"/>
        <v>ORDINARIO</v>
      </c>
    </row>
    <row r="143" spans="1:189" x14ac:dyDescent="0.3">
      <c r="A143">
        <v>142</v>
      </c>
      <c r="BB143" s="3">
        <f t="shared" si="41"/>
        <v>0</v>
      </c>
      <c r="CU143" s="3">
        <f t="shared" si="43"/>
        <v>0</v>
      </c>
      <c r="FV143" s="3">
        <f t="shared" si="44"/>
        <v>0</v>
      </c>
      <c r="FY143" s="3">
        <f t="shared" si="45"/>
        <v>0</v>
      </c>
      <c r="GB143" s="3">
        <f t="shared" si="46"/>
        <v>0</v>
      </c>
      <c r="GE143" s="3">
        <f t="shared" si="47"/>
        <v>0</v>
      </c>
      <c r="GF143" s="3">
        <f t="shared" si="48"/>
        <v>0</v>
      </c>
      <c r="GG143" s="3" t="str">
        <f t="shared" si="42"/>
        <v>ORDINARIO</v>
      </c>
    </row>
    <row r="144" spans="1:189" x14ac:dyDescent="0.3">
      <c r="A144">
        <v>143</v>
      </c>
      <c r="BB144" s="3">
        <f t="shared" si="41"/>
        <v>0</v>
      </c>
      <c r="CU144" s="3">
        <f t="shared" si="43"/>
        <v>0</v>
      </c>
      <c r="FV144" s="3">
        <f t="shared" si="44"/>
        <v>0</v>
      </c>
      <c r="FY144" s="3">
        <f t="shared" si="45"/>
        <v>0</v>
      </c>
      <c r="GB144" s="3">
        <f t="shared" si="46"/>
        <v>0</v>
      </c>
      <c r="GE144" s="3">
        <f t="shared" si="47"/>
        <v>0</v>
      </c>
      <c r="GF144" s="3">
        <f t="shared" si="48"/>
        <v>0</v>
      </c>
      <c r="GG144" s="3" t="str">
        <f t="shared" si="42"/>
        <v>ORDINARIO</v>
      </c>
    </row>
    <row r="145" spans="1:189" x14ac:dyDescent="0.3">
      <c r="A145">
        <v>144</v>
      </c>
      <c r="BB145" s="3">
        <f t="shared" si="41"/>
        <v>0</v>
      </c>
      <c r="CU145" s="3">
        <f t="shared" si="43"/>
        <v>0</v>
      </c>
      <c r="FV145" s="3">
        <f t="shared" si="44"/>
        <v>0</v>
      </c>
      <c r="FY145" s="3">
        <f t="shared" si="45"/>
        <v>0</v>
      </c>
      <c r="GB145" s="3">
        <f t="shared" si="46"/>
        <v>0</v>
      </c>
      <c r="GE145" s="3">
        <f t="shared" si="47"/>
        <v>0</v>
      </c>
      <c r="GF145" s="3">
        <f t="shared" si="48"/>
        <v>0</v>
      </c>
      <c r="GG145" s="3" t="str">
        <f t="shared" si="42"/>
        <v>ORDINARIO</v>
      </c>
    </row>
    <row r="146" spans="1:189" x14ac:dyDescent="0.3">
      <c r="A146">
        <v>145</v>
      </c>
      <c r="BB146" s="3">
        <f t="shared" si="41"/>
        <v>0</v>
      </c>
      <c r="CU146" s="3">
        <f t="shared" si="43"/>
        <v>0</v>
      </c>
      <c r="FV146" s="3">
        <f t="shared" si="44"/>
        <v>0</v>
      </c>
      <c r="FY146" s="3">
        <f t="shared" si="45"/>
        <v>0</v>
      </c>
      <c r="GB146" s="3">
        <f t="shared" si="46"/>
        <v>0</v>
      </c>
      <c r="GE146" s="3">
        <f t="shared" si="47"/>
        <v>0</v>
      </c>
      <c r="GF146" s="3">
        <f t="shared" si="48"/>
        <v>0</v>
      </c>
      <c r="GG146" s="3" t="str">
        <f t="shared" si="42"/>
        <v>ORDINARIO</v>
      </c>
    </row>
    <row r="147" spans="1:189" x14ac:dyDescent="0.3">
      <c r="A147">
        <v>146</v>
      </c>
      <c r="BB147" s="3">
        <f t="shared" si="41"/>
        <v>0</v>
      </c>
      <c r="CU147" s="3">
        <f t="shared" si="43"/>
        <v>0</v>
      </c>
      <c r="FV147" s="3">
        <f t="shared" si="44"/>
        <v>0</v>
      </c>
      <c r="FY147" s="3">
        <f t="shared" si="45"/>
        <v>0</v>
      </c>
      <c r="GB147" s="3">
        <f t="shared" si="46"/>
        <v>0</v>
      </c>
      <c r="GE147" s="3">
        <f t="shared" si="47"/>
        <v>0</v>
      </c>
      <c r="GF147" s="3">
        <f t="shared" si="48"/>
        <v>0</v>
      </c>
      <c r="GG147" s="3" t="str">
        <f t="shared" si="42"/>
        <v>ORDINARIO</v>
      </c>
    </row>
    <row r="148" spans="1:189" x14ac:dyDescent="0.3">
      <c r="A148">
        <v>147</v>
      </c>
      <c r="BB148" s="3">
        <f t="shared" si="41"/>
        <v>0</v>
      </c>
      <c r="CU148" s="3">
        <f t="shared" si="43"/>
        <v>0</v>
      </c>
      <c r="FV148" s="3">
        <f t="shared" si="44"/>
        <v>0</v>
      </c>
      <c r="FY148" s="3">
        <f t="shared" si="45"/>
        <v>0</v>
      </c>
      <c r="GB148" s="3">
        <f t="shared" si="46"/>
        <v>0</v>
      </c>
      <c r="GE148" s="3">
        <f t="shared" si="47"/>
        <v>0</v>
      </c>
      <c r="GF148" s="3">
        <f t="shared" si="48"/>
        <v>0</v>
      </c>
      <c r="GG148" s="3" t="str">
        <f t="shared" si="42"/>
        <v>ORDINARIO</v>
      </c>
    </row>
    <row r="149" spans="1:189" x14ac:dyDescent="0.3">
      <c r="A149">
        <v>148</v>
      </c>
      <c r="BB149" s="3">
        <f t="shared" si="41"/>
        <v>0</v>
      </c>
      <c r="CU149" s="3">
        <f t="shared" si="43"/>
        <v>0</v>
      </c>
      <c r="FV149" s="3">
        <f t="shared" si="44"/>
        <v>0</v>
      </c>
      <c r="FY149" s="3">
        <f t="shared" si="45"/>
        <v>0</v>
      </c>
      <c r="GB149" s="3">
        <f t="shared" si="46"/>
        <v>0</v>
      </c>
      <c r="GE149" s="3">
        <f t="shared" si="47"/>
        <v>0</v>
      </c>
      <c r="GF149" s="3">
        <f t="shared" si="48"/>
        <v>0</v>
      </c>
      <c r="GG149" s="3" t="str">
        <f t="shared" si="42"/>
        <v>ORDINARIO</v>
      </c>
    </row>
    <row r="150" spans="1:189" x14ac:dyDescent="0.3">
      <c r="A150">
        <v>149</v>
      </c>
      <c r="BB150" s="3">
        <f t="shared" si="41"/>
        <v>0</v>
      </c>
      <c r="CU150" s="3">
        <f t="shared" si="43"/>
        <v>0</v>
      </c>
      <c r="FV150" s="3">
        <f t="shared" si="44"/>
        <v>0</v>
      </c>
      <c r="FY150" s="3">
        <f t="shared" si="45"/>
        <v>0</v>
      </c>
      <c r="GB150" s="3">
        <f t="shared" si="46"/>
        <v>0</v>
      </c>
      <c r="GE150" s="3">
        <f t="shared" si="47"/>
        <v>0</v>
      </c>
      <c r="GF150" s="3">
        <f t="shared" si="48"/>
        <v>0</v>
      </c>
      <c r="GG150" s="3" t="str">
        <f t="shared" si="42"/>
        <v>ORDINARIO</v>
      </c>
    </row>
    <row r="151" spans="1:189" x14ac:dyDescent="0.3">
      <c r="A151">
        <v>150</v>
      </c>
      <c r="BB151" s="3">
        <f t="shared" si="41"/>
        <v>0</v>
      </c>
      <c r="CU151" s="3">
        <f t="shared" si="43"/>
        <v>0</v>
      </c>
      <c r="FV151" s="3">
        <f t="shared" si="44"/>
        <v>0</v>
      </c>
      <c r="FY151" s="3">
        <f t="shared" si="45"/>
        <v>0</v>
      </c>
      <c r="GB151" s="3">
        <f t="shared" si="46"/>
        <v>0</v>
      </c>
      <c r="GE151" s="3">
        <f t="shared" si="47"/>
        <v>0</v>
      </c>
      <c r="GF151" s="3">
        <f t="shared" si="48"/>
        <v>0</v>
      </c>
      <c r="GG151" s="3" t="str">
        <f t="shared" si="42"/>
        <v>ORDINARIO</v>
      </c>
    </row>
    <row r="152" spans="1:189" x14ac:dyDescent="0.3">
      <c r="A152">
        <v>151</v>
      </c>
      <c r="BB152" s="3">
        <f t="shared" si="41"/>
        <v>0</v>
      </c>
      <c r="CU152" s="3">
        <f t="shared" si="43"/>
        <v>0</v>
      </c>
      <c r="FV152" s="3">
        <f t="shared" si="44"/>
        <v>0</v>
      </c>
      <c r="FY152" s="3">
        <f t="shared" si="45"/>
        <v>0</v>
      </c>
      <c r="GB152" s="3">
        <f t="shared" si="46"/>
        <v>0</v>
      </c>
      <c r="GE152" s="3">
        <f t="shared" si="47"/>
        <v>0</v>
      </c>
      <c r="GF152" s="3">
        <f t="shared" si="48"/>
        <v>0</v>
      </c>
      <c r="GG152" s="3" t="str">
        <f t="shared" si="42"/>
        <v>ORDINARIO</v>
      </c>
    </row>
    <row r="153" spans="1:189" x14ac:dyDescent="0.3">
      <c r="A153">
        <v>152</v>
      </c>
      <c r="BB153" s="3">
        <f t="shared" si="41"/>
        <v>0</v>
      </c>
      <c r="CU153" s="3">
        <f t="shared" si="43"/>
        <v>0</v>
      </c>
      <c r="FV153" s="3">
        <f t="shared" si="44"/>
        <v>0</v>
      </c>
      <c r="FY153" s="3">
        <f t="shared" si="45"/>
        <v>0</v>
      </c>
      <c r="GB153" s="3">
        <f t="shared" si="46"/>
        <v>0</v>
      </c>
      <c r="GE153" s="3">
        <f t="shared" si="47"/>
        <v>0</v>
      </c>
      <c r="GF153" s="3">
        <f t="shared" si="48"/>
        <v>0</v>
      </c>
      <c r="GG153" s="3" t="str">
        <f t="shared" si="42"/>
        <v>ORDINARIO</v>
      </c>
    </row>
    <row r="154" spans="1:189" x14ac:dyDescent="0.3">
      <c r="A154">
        <v>153</v>
      </c>
      <c r="BB154" s="3">
        <f t="shared" si="41"/>
        <v>0</v>
      </c>
      <c r="CU154" s="3">
        <f t="shared" si="43"/>
        <v>0</v>
      </c>
      <c r="FV154" s="3">
        <f t="shared" si="44"/>
        <v>0</v>
      </c>
      <c r="FY154" s="3">
        <f t="shared" si="45"/>
        <v>0</v>
      </c>
      <c r="GB154" s="3">
        <f t="shared" si="46"/>
        <v>0</v>
      </c>
      <c r="GE154" s="3">
        <f t="shared" si="47"/>
        <v>0</v>
      </c>
      <c r="GF154" s="3">
        <f t="shared" si="48"/>
        <v>0</v>
      </c>
      <c r="GG154" s="3" t="str">
        <f t="shared" si="42"/>
        <v>ORDINARIO</v>
      </c>
    </row>
    <row r="155" spans="1:189" x14ac:dyDescent="0.3">
      <c r="A155">
        <v>154</v>
      </c>
      <c r="BB155" s="3">
        <f t="shared" si="41"/>
        <v>0</v>
      </c>
      <c r="CU155" s="3">
        <f t="shared" si="43"/>
        <v>0</v>
      </c>
      <c r="FV155" s="3">
        <f t="shared" si="44"/>
        <v>0</v>
      </c>
      <c r="FY155" s="3">
        <f t="shared" si="45"/>
        <v>0</v>
      </c>
      <c r="GB155" s="3">
        <f t="shared" si="46"/>
        <v>0</v>
      </c>
      <c r="GE155" s="3">
        <f t="shared" si="47"/>
        <v>0</v>
      </c>
      <c r="GF155" s="3">
        <f t="shared" si="48"/>
        <v>0</v>
      </c>
      <c r="GG155" s="3" t="str">
        <f t="shared" si="42"/>
        <v>ORDINARIO</v>
      </c>
    </row>
    <row r="156" spans="1:189" x14ac:dyDescent="0.3">
      <c r="A156">
        <v>155</v>
      </c>
      <c r="BB156" s="3">
        <f t="shared" si="41"/>
        <v>0</v>
      </c>
      <c r="CU156" s="3">
        <f t="shared" si="43"/>
        <v>0</v>
      </c>
      <c r="FV156" s="3">
        <f t="shared" si="44"/>
        <v>0</v>
      </c>
      <c r="FY156" s="3">
        <f t="shared" si="45"/>
        <v>0</v>
      </c>
      <c r="GB156" s="3">
        <f t="shared" si="46"/>
        <v>0</v>
      </c>
      <c r="GE156" s="3">
        <f t="shared" si="47"/>
        <v>0</v>
      </c>
      <c r="GF156" s="3">
        <f t="shared" si="48"/>
        <v>0</v>
      </c>
      <c r="GG156" s="3" t="str">
        <f t="shared" si="42"/>
        <v>ORDINARIO</v>
      </c>
    </row>
    <row r="157" spans="1:189" x14ac:dyDescent="0.3">
      <c r="A157">
        <v>156</v>
      </c>
      <c r="BB157" s="3">
        <f t="shared" si="41"/>
        <v>0</v>
      </c>
      <c r="CU157" s="3">
        <f t="shared" si="43"/>
        <v>0</v>
      </c>
      <c r="FV157" s="3">
        <f t="shared" si="44"/>
        <v>0</v>
      </c>
      <c r="FY157" s="3">
        <f t="shared" si="45"/>
        <v>0</v>
      </c>
      <c r="GB157" s="3">
        <f t="shared" si="46"/>
        <v>0</v>
      </c>
      <c r="GE157" s="3">
        <f t="shared" si="47"/>
        <v>0</v>
      </c>
      <c r="GF157" s="3">
        <f t="shared" si="48"/>
        <v>0</v>
      </c>
      <c r="GG157" s="3" t="str">
        <f t="shared" si="42"/>
        <v>ORDINARIO</v>
      </c>
    </row>
    <row r="158" spans="1:189" x14ac:dyDescent="0.3">
      <c r="A158">
        <v>157</v>
      </c>
      <c r="BB158" s="3">
        <f t="shared" si="41"/>
        <v>0</v>
      </c>
      <c r="CU158" s="3">
        <f t="shared" si="43"/>
        <v>0</v>
      </c>
      <c r="FV158" s="3">
        <f t="shared" si="44"/>
        <v>0</v>
      </c>
      <c r="FY158" s="3">
        <f t="shared" si="45"/>
        <v>0</v>
      </c>
      <c r="GB158" s="3">
        <f t="shared" si="46"/>
        <v>0</v>
      </c>
      <c r="GE158" s="3">
        <f t="shared" si="47"/>
        <v>0</v>
      </c>
      <c r="GF158" s="3">
        <f t="shared" si="48"/>
        <v>0</v>
      </c>
      <c r="GG158" s="3" t="str">
        <f t="shared" si="42"/>
        <v>ORDINARIO</v>
      </c>
    </row>
    <row r="159" spans="1:189" x14ac:dyDescent="0.3">
      <c r="A159">
        <v>158</v>
      </c>
      <c r="BB159" s="3">
        <f t="shared" si="41"/>
        <v>0</v>
      </c>
      <c r="CU159" s="3">
        <f t="shared" si="43"/>
        <v>0</v>
      </c>
      <c r="FV159" s="3">
        <f t="shared" si="44"/>
        <v>0</v>
      </c>
      <c r="FY159" s="3">
        <f t="shared" si="45"/>
        <v>0</v>
      </c>
      <c r="GB159" s="3">
        <f t="shared" si="46"/>
        <v>0</v>
      </c>
      <c r="GE159" s="3">
        <f t="shared" si="47"/>
        <v>0</v>
      </c>
      <c r="GF159" s="3">
        <f t="shared" si="48"/>
        <v>0</v>
      </c>
      <c r="GG159" s="3" t="str">
        <f t="shared" si="42"/>
        <v>ORDINARIO</v>
      </c>
    </row>
    <row r="160" spans="1:189" x14ac:dyDescent="0.3">
      <c r="A160">
        <v>159</v>
      </c>
      <c r="BB160" s="3">
        <f t="shared" si="41"/>
        <v>0</v>
      </c>
      <c r="CU160" s="3">
        <f t="shared" si="43"/>
        <v>0</v>
      </c>
      <c r="FV160" s="3">
        <f t="shared" si="44"/>
        <v>0</v>
      </c>
      <c r="FY160" s="3">
        <f t="shared" si="45"/>
        <v>0</v>
      </c>
      <c r="GB160" s="3">
        <f t="shared" si="46"/>
        <v>0</v>
      </c>
      <c r="GE160" s="3">
        <f t="shared" si="47"/>
        <v>0</v>
      </c>
      <c r="GF160" s="3">
        <f t="shared" si="48"/>
        <v>0</v>
      </c>
      <c r="GG160" s="3" t="str">
        <f t="shared" si="42"/>
        <v>ORDINARIO</v>
      </c>
    </row>
    <row r="161" spans="1:189" x14ac:dyDescent="0.3">
      <c r="A161">
        <v>160</v>
      </c>
      <c r="BB161" s="3">
        <f t="shared" si="41"/>
        <v>0</v>
      </c>
      <c r="CU161" s="3">
        <f t="shared" si="43"/>
        <v>0</v>
      </c>
      <c r="FV161" s="3">
        <f t="shared" si="44"/>
        <v>0</v>
      </c>
      <c r="FY161" s="3">
        <f t="shared" si="45"/>
        <v>0</v>
      </c>
      <c r="GB161" s="3">
        <f t="shared" si="46"/>
        <v>0</v>
      </c>
      <c r="GE161" s="3">
        <f t="shared" si="47"/>
        <v>0</v>
      </c>
      <c r="GF161" s="3">
        <f t="shared" si="48"/>
        <v>0</v>
      </c>
      <c r="GG161" s="3" t="str">
        <f t="shared" si="42"/>
        <v>ORDINARIO</v>
      </c>
    </row>
    <row r="162" spans="1:189" x14ac:dyDescent="0.3">
      <c r="A162">
        <v>161</v>
      </c>
      <c r="BB162" s="3">
        <f t="shared" ref="BB162:BB193" si="49">+BC162+BE162+BO162+CN162+CO162+CP162+CQ162+CR162+CS162+DG162</f>
        <v>0</v>
      </c>
      <c r="CU162" s="3">
        <f t="shared" si="43"/>
        <v>0</v>
      </c>
      <c r="FV162" s="3">
        <f t="shared" si="44"/>
        <v>0</v>
      </c>
      <c r="FY162" s="3">
        <f t="shared" si="45"/>
        <v>0</v>
      </c>
      <c r="GB162" s="3">
        <f t="shared" si="46"/>
        <v>0</v>
      </c>
      <c r="GE162" s="3">
        <f t="shared" si="47"/>
        <v>0</v>
      </c>
      <c r="GF162" s="3">
        <f t="shared" si="48"/>
        <v>0</v>
      </c>
      <c r="GG162" s="3" t="str">
        <f t="shared" ref="GG162:GG193" si="50">IF(AA162&gt;=3000,"ALTO",IF(GF162&gt;=1,"ALTO","ORDINARIO"))</f>
        <v>ORDINARIO</v>
      </c>
    </row>
    <row r="163" spans="1:189" x14ac:dyDescent="0.3">
      <c r="A163">
        <v>162</v>
      </c>
      <c r="BB163" s="3">
        <f t="shared" si="49"/>
        <v>0</v>
      </c>
      <c r="CU163" s="3">
        <f t="shared" si="43"/>
        <v>0</v>
      </c>
      <c r="FV163" s="3">
        <f t="shared" si="44"/>
        <v>0</v>
      </c>
      <c r="FY163" s="3">
        <f t="shared" si="45"/>
        <v>0</v>
      </c>
      <c r="GB163" s="3">
        <f t="shared" si="46"/>
        <v>0</v>
      </c>
      <c r="GE163" s="3">
        <f t="shared" si="47"/>
        <v>0</v>
      </c>
      <c r="GF163" s="3">
        <f t="shared" si="48"/>
        <v>0</v>
      </c>
      <c r="GG163" s="3" t="str">
        <f t="shared" si="50"/>
        <v>ORDINARIO</v>
      </c>
    </row>
    <row r="164" spans="1:189" x14ac:dyDescent="0.3">
      <c r="A164">
        <v>163</v>
      </c>
      <c r="BB164" s="3">
        <f t="shared" si="49"/>
        <v>0</v>
      </c>
      <c r="CU164" s="3">
        <f t="shared" si="43"/>
        <v>0</v>
      </c>
      <c r="FV164" s="3">
        <f t="shared" si="44"/>
        <v>0</v>
      </c>
      <c r="FY164" s="3">
        <f t="shared" si="45"/>
        <v>0</v>
      </c>
      <c r="GB164" s="3">
        <f t="shared" si="46"/>
        <v>0</v>
      </c>
      <c r="GE164" s="3">
        <f t="shared" si="47"/>
        <v>0</v>
      </c>
      <c r="GF164" s="3">
        <f t="shared" si="48"/>
        <v>0</v>
      </c>
      <c r="GG164" s="3" t="str">
        <f t="shared" si="50"/>
        <v>ORDINARIO</v>
      </c>
    </row>
    <row r="165" spans="1:189" x14ac:dyDescent="0.3">
      <c r="A165">
        <v>164</v>
      </c>
      <c r="BB165" s="3">
        <f t="shared" si="49"/>
        <v>0</v>
      </c>
      <c r="CU165" s="3">
        <f t="shared" si="43"/>
        <v>0</v>
      </c>
      <c r="FV165" s="3">
        <f t="shared" si="44"/>
        <v>0</v>
      </c>
      <c r="FY165" s="3">
        <f t="shared" si="45"/>
        <v>0</v>
      </c>
      <c r="GB165" s="3">
        <f t="shared" si="46"/>
        <v>0</v>
      </c>
      <c r="GE165" s="3">
        <f t="shared" si="47"/>
        <v>0</v>
      </c>
      <c r="GF165" s="3">
        <f t="shared" si="48"/>
        <v>0</v>
      </c>
      <c r="GG165" s="3" t="str">
        <f t="shared" si="50"/>
        <v>ORDINARIO</v>
      </c>
    </row>
    <row r="166" spans="1:189" x14ac:dyDescent="0.3">
      <c r="A166">
        <v>165</v>
      </c>
      <c r="BB166" s="3">
        <f t="shared" si="49"/>
        <v>0</v>
      </c>
      <c r="CU166" s="3">
        <f t="shared" si="43"/>
        <v>0</v>
      </c>
      <c r="FV166" s="3">
        <f t="shared" si="44"/>
        <v>0</v>
      </c>
      <c r="FY166" s="3">
        <f t="shared" si="45"/>
        <v>0</v>
      </c>
      <c r="GB166" s="3">
        <f t="shared" si="46"/>
        <v>0</v>
      </c>
      <c r="GE166" s="3">
        <f t="shared" si="47"/>
        <v>0</v>
      </c>
      <c r="GF166" s="3">
        <f t="shared" si="48"/>
        <v>0</v>
      </c>
      <c r="GG166" s="3" t="str">
        <f t="shared" si="50"/>
        <v>ORDINARIO</v>
      </c>
    </row>
    <row r="167" spans="1:189" x14ac:dyDescent="0.3">
      <c r="A167">
        <v>166</v>
      </c>
      <c r="BB167" s="3">
        <f t="shared" si="49"/>
        <v>0</v>
      </c>
      <c r="CU167" s="3">
        <f t="shared" si="43"/>
        <v>0</v>
      </c>
      <c r="FV167" s="3">
        <f t="shared" si="44"/>
        <v>0</v>
      </c>
      <c r="FY167" s="3">
        <f t="shared" si="45"/>
        <v>0</v>
      </c>
      <c r="GB167" s="3">
        <f t="shared" si="46"/>
        <v>0</v>
      </c>
      <c r="GE167" s="3">
        <f t="shared" si="47"/>
        <v>0</v>
      </c>
      <c r="GF167" s="3">
        <f t="shared" si="48"/>
        <v>0</v>
      </c>
      <c r="GG167" s="3" t="str">
        <f t="shared" si="50"/>
        <v>ORDINARIO</v>
      </c>
    </row>
    <row r="168" spans="1:189" x14ac:dyDescent="0.3">
      <c r="A168">
        <v>167</v>
      </c>
      <c r="BB168" s="3">
        <f t="shared" si="49"/>
        <v>0</v>
      </c>
      <c r="CU168" s="3">
        <f t="shared" si="43"/>
        <v>0</v>
      </c>
      <c r="FV168" s="3">
        <f t="shared" si="44"/>
        <v>0</v>
      </c>
      <c r="FY168" s="3">
        <f t="shared" si="45"/>
        <v>0</v>
      </c>
      <c r="GB168" s="3">
        <f t="shared" si="46"/>
        <v>0</v>
      </c>
      <c r="GE168" s="3">
        <f t="shared" si="47"/>
        <v>0</v>
      </c>
      <c r="GF168" s="3">
        <f t="shared" si="48"/>
        <v>0</v>
      </c>
      <c r="GG168" s="3" t="str">
        <f t="shared" si="50"/>
        <v>ORDINARIO</v>
      </c>
    </row>
    <row r="169" spans="1:189" x14ac:dyDescent="0.3">
      <c r="A169">
        <v>168</v>
      </c>
      <c r="BB169" s="3">
        <f t="shared" si="49"/>
        <v>0</v>
      </c>
      <c r="CU169" s="3">
        <f t="shared" si="43"/>
        <v>0</v>
      </c>
      <c r="FV169" s="3">
        <f t="shared" si="44"/>
        <v>0</v>
      </c>
      <c r="FY169" s="3">
        <f t="shared" si="45"/>
        <v>0</v>
      </c>
      <c r="GB169" s="3">
        <f t="shared" si="46"/>
        <v>0</v>
      </c>
      <c r="GE169" s="3">
        <f t="shared" si="47"/>
        <v>0</v>
      </c>
      <c r="GF169" s="3">
        <f t="shared" si="48"/>
        <v>0</v>
      </c>
      <c r="GG169" s="3" t="str">
        <f t="shared" si="50"/>
        <v>ORDINARIO</v>
      </c>
    </row>
    <row r="170" spans="1:189" x14ac:dyDescent="0.3">
      <c r="A170">
        <v>169</v>
      </c>
      <c r="BB170" s="3">
        <f t="shared" si="49"/>
        <v>0</v>
      </c>
      <c r="CU170" s="3">
        <f t="shared" si="43"/>
        <v>0</v>
      </c>
      <c r="FV170" s="3">
        <f t="shared" si="44"/>
        <v>0</v>
      </c>
      <c r="FY170" s="3">
        <f t="shared" si="45"/>
        <v>0</v>
      </c>
      <c r="GB170" s="3">
        <f t="shared" si="46"/>
        <v>0</v>
      </c>
      <c r="GE170" s="3">
        <f t="shared" si="47"/>
        <v>0</v>
      </c>
      <c r="GF170" s="3">
        <f t="shared" si="48"/>
        <v>0</v>
      </c>
      <c r="GG170" s="3" t="str">
        <f t="shared" si="50"/>
        <v>ORDINARIO</v>
      </c>
    </row>
    <row r="171" spans="1:189" x14ac:dyDescent="0.3">
      <c r="A171">
        <v>170</v>
      </c>
      <c r="BB171" s="3">
        <f t="shared" si="49"/>
        <v>0</v>
      </c>
      <c r="CU171" s="3">
        <f t="shared" si="43"/>
        <v>0</v>
      </c>
      <c r="FV171" s="3">
        <f t="shared" si="44"/>
        <v>0</v>
      </c>
      <c r="FY171" s="3">
        <f t="shared" si="45"/>
        <v>0</v>
      </c>
      <c r="GB171" s="3">
        <f t="shared" si="46"/>
        <v>0</v>
      </c>
      <c r="GE171" s="3">
        <f t="shared" si="47"/>
        <v>0</v>
      </c>
      <c r="GF171" s="3">
        <f t="shared" si="48"/>
        <v>0</v>
      </c>
      <c r="GG171" s="3" t="str">
        <f t="shared" si="50"/>
        <v>ORDINARIO</v>
      </c>
    </row>
    <row r="172" spans="1:189" x14ac:dyDescent="0.3">
      <c r="A172">
        <v>171</v>
      </c>
      <c r="BB172" s="3">
        <f t="shared" si="49"/>
        <v>0</v>
      </c>
      <c r="CU172" s="3">
        <f t="shared" si="43"/>
        <v>0</v>
      </c>
      <c r="FV172" s="3">
        <f t="shared" si="44"/>
        <v>0</v>
      </c>
      <c r="FY172" s="3">
        <f t="shared" si="45"/>
        <v>0</v>
      </c>
      <c r="GB172" s="3">
        <f t="shared" si="46"/>
        <v>0</v>
      </c>
      <c r="GE172" s="3">
        <f t="shared" si="47"/>
        <v>0</v>
      </c>
      <c r="GF172" s="3">
        <f t="shared" si="48"/>
        <v>0</v>
      </c>
      <c r="GG172" s="3" t="str">
        <f t="shared" si="50"/>
        <v>ORDINARIO</v>
      </c>
    </row>
    <row r="173" spans="1:189" x14ac:dyDescent="0.3">
      <c r="A173">
        <v>172</v>
      </c>
      <c r="BB173" s="3">
        <f t="shared" si="49"/>
        <v>0</v>
      </c>
      <c r="CU173" s="3">
        <f t="shared" ref="CU173:CU197" si="51">+CV173+CX173+CY173+CZ173+DA173</f>
        <v>0</v>
      </c>
      <c r="FV173" s="3">
        <f t="shared" ref="FV173:FV197" si="52">+FU173/3000</f>
        <v>0</v>
      </c>
      <c r="FY173" s="3">
        <f t="shared" ref="FY173:FY197" si="53">+FX173/1400</f>
        <v>0</v>
      </c>
      <c r="GB173" s="3">
        <f t="shared" ref="GB173:GB197" si="54">+GA173/2000</f>
        <v>0</v>
      </c>
      <c r="GE173" s="3">
        <f t="shared" ref="GE173:GE197" si="55">+GD173/15000</f>
        <v>0</v>
      </c>
      <c r="GF173" s="3">
        <f t="shared" ref="GF173:GF197" si="56">+FV173+FY173+GB173+GE173</f>
        <v>0</v>
      </c>
      <c r="GG173" s="3" t="str">
        <f t="shared" si="50"/>
        <v>ORDINARIO</v>
      </c>
    </row>
    <row r="174" spans="1:189" x14ac:dyDescent="0.3">
      <c r="A174">
        <v>173</v>
      </c>
      <c r="BB174" s="3">
        <f t="shared" si="49"/>
        <v>0</v>
      </c>
      <c r="CU174" s="3">
        <f t="shared" si="51"/>
        <v>0</v>
      </c>
      <c r="FV174" s="3">
        <f t="shared" si="52"/>
        <v>0</v>
      </c>
      <c r="FY174" s="3">
        <f t="shared" si="53"/>
        <v>0</v>
      </c>
      <c r="GB174" s="3">
        <f t="shared" si="54"/>
        <v>0</v>
      </c>
      <c r="GE174" s="3">
        <f t="shared" si="55"/>
        <v>0</v>
      </c>
      <c r="GF174" s="3">
        <f t="shared" si="56"/>
        <v>0</v>
      </c>
      <c r="GG174" s="3" t="str">
        <f t="shared" si="50"/>
        <v>ORDINARIO</v>
      </c>
    </row>
    <row r="175" spans="1:189" x14ac:dyDescent="0.3">
      <c r="A175">
        <v>174</v>
      </c>
      <c r="BB175" s="3">
        <f t="shared" si="49"/>
        <v>0</v>
      </c>
      <c r="CU175" s="3">
        <f t="shared" si="51"/>
        <v>0</v>
      </c>
      <c r="FV175" s="3">
        <f t="shared" si="52"/>
        <v>0</v>
      </c>
      <c r="FY175" s="3">
        <f t="shared" si="53"/>
        <v>0</v>
      </c>
      <c r="GB175" s="3">
        <f t="shared" si="54"/>
        <v>0</v>
      </c>
      <c r="GE175" s="3">
        <f t="shared" si="55"/>
        <v>0</v>
      </c>
      <c r="GF175" s="3">
        <f t="shared" si="56"/>
        <v>0</v>
      </c>
      <c r="GG175" s="3" t="str">
        <f t="shared" si="50"/>
        <v>ORDINARIO</v>
      </c>
    </row>
    <row r="176" spans="1:189" x14ac:dyDescent="0.3">
      <c r="A176">
        <v>175</v>
      </c>
      <c r="BB176" s="3">
        <f t="shared" si="49"/>
        <v>0</v>
      </c>
      <c r="CU176" s="3">
        <f t="shared" si="51"/>
        <v>0</v>
      </c>
      <c r="FV176" s="3">
        <f t="shared" si="52"/>
        <v>0</v>
      </c>
      <c r="FY176" s="3">
        <f t="shared" si="53"/>
        <v>0</v>
      </c>
      <c r="GB176" s="3">
        <f t="shared" si="54"/>
        <v>0</v>
      </c>
      <c r="GE176" s="3">
        <f t="shared" si="55"/>
        <v>0</v>
      </c>
      <c r="GF176" s="3">
        <f t="shared" si="56"/>
        <v>0</v>
      </c>
      <c r="GG176" s="3" t="str">
        <f t="shared" si="50"/>
        <v>ORDINARIO</v>
      </c>
    </row>
    <row r="177" spans="1:189" x14ac:dyDescent="0.3">
      <c r="A177">
        <v>176</v>
      </c>
      <c r="BB177" s="3">
        <f t="shared" si="49"/>
        <v>0</v>
      </c>
      <c r="CU177" s="3">
        <f t="shared" si="51"/>
        <v>0</v>
      </c>
      <c r="FV177" s="3">
        <f t="shared" si="52"/>
        <v>0</v>
      </c>
      <c r="FY177" s="3">
        <f t="shared" si="53"/>
        <v>0</v>
      </c>
      <c r="GB177" s="3">
        <f t="shared" si="54"/>
        <v>0</v>
      </c>
      <c r="GE177" s="3">
        <f t="shared" si="55"/>
        <v>0</v>
      </c>
      <c r="GF177" s="3">
        <f t="shared" si="56"/>
        <v>0</v>
      </c>
      <c r="GG177" s="3" t="str">
        <f t="shared" si="50"/>
        <v>ORDINARIO</v>
      </c>
    </row>
    <row r="178" spans="1:189" x14ac:dyDescent="0.3">
      <c r="A178">
        <v>177</v>
      </c>
      <c r="BB178" s="3">
        <f t="shared" si="49"/>
        <v>0</v>
      </c>
      <c r="CU178" s="3">
        <f t="shared" si="51"/>
        <v>0</v>
      </c>
      <c r="FV178" s="3">
        <f t="shared" si="52"/>
        <v>0</v>
      </c>
      <c r="FY178" s="3">
        <f t="shared" si="53"/>
        <v>0</v>
      </c>
      <c r="GB178" s="3">
        <f t="shared" si="54"/>
        <v>0</v>
      </c>
      <c r="GE178" s="3">
        <f t="shared" si="55"/>
        <v>0</v>
      </c>
      <c r="GF178" s="3">
        <f t="shared" si="56"/>
        <v>0</v>
      </c>
      <c r="GG178" s="3" t="str">
        <f t="shared" si="50"/>
        <v>ORDINARIO</v>
      </c>
    </row>
    <row r="179" spans="1:189" x14ac:dyDescent="0.3">
      <c r="A179">
        <v>178</v>
      </c>
      <c r="BB179" s="3">
        <f t="shared" si="49"/>
        <v>0</v>
      </c>
      <c r="CU179" s="3">
        <f t="shared" si="51"/>
        <v>0</v>
      </c>
      <c r="FV179" s="3">
        <f t="shared" si="52"/>
        <v>0</v>
      </c>
      <c r="FY179" s="3">
        <f t="shared" si="53"/>
        <v>0</v>
      </c>
      <c r="GB179" s="3">
        <f t="shared" si="54"/>
        <v>0</v>
      </c>
      <c r="GE179" s="3">
        <f t="shared" si="55"/>
        <v>0</v>
      </c>
      <c r="GF179" s="3">
        <f t="shared" si="56"/>
        <v>0</v>
      </c>
      <c r="GG179" s="3" t="str">
        <f t="shared" si="50"/>
        <v>ORDINARIO</v>
      </c>
    </row>
    <row r="180" spans="1:189" x14ac:dyDescent="0.3">
      <c r="A180">
        <v>179</v>
      </c>
      <c r="BB180" s="3">
        <f t="shared" si="49"/>
        <v>0</v>
      </c>
      <c r="CU180" s="3">
        <f t="shared" si="51"/>
        <v>0</v>
      </c>
      <c r="FV180" s="3">
        <f t="shared" si="52"/>
        <v>0</v>
      </c>
      <c r="FY180" s="3">
        <f t="shared" si="53"/>
        <v>0</v>
      </c>
      <c r="GB180" s="3">
        <f t="shared" si="54"/>
        <v>0</v>
      </c>
      <c r="GE180" s="3">
        <f t="shared" si="55"/>
        <v>0</v>
      </c>
      <c r="GF180" s="3">
        <f t="shared" si="56"/>
        <v>0</v>
      </c>
      <c r="GG180" s="3" t="str">
        <f t="shared" si="50"/>
        <v>ORDINARIO</v>
      </c>
    </row>
    <row r="181" spans="1:189" x14ac:dyDescent="0.3">
      <c r="A181">
        <v>180</v>
      </c>
      <c r="BB181" s="3">
        <f t="shared" si="49"/>
        <v>0</v>
      </c>
      <c r="CU181" s="3">
        <f t="shared" si="51"/>
        <v>0</v>
      </c>
      <c r="FV181" s="3">
        <f t="shared" si="52"/>
        <v>0</v>
      </c>
      <c r="FY181" s="3">
        <f t="shared" si="53"/>
        <v>0</v>
      </c>
      <c r="GB181" s="3">
        <f t="shared" si="54"/>
        <v>0</v>
      </c>
      <c r="GE181" s="3">
        <f t="shared" si="55"/>
        <v>0</v>
      </c>
      <c r="GF181" s="3">
        <f t="shared" si="56"/>
        <v>0</v>
      </c>
      <c r="GG181" s="3" t="str">
        <f t="shared" si="50"/>
        <v>ORDINARIO</v>
      </c>
    </row>
    <row r="182" spans="1:189" x14ac:dyDescent="0.3">
      <c r="A182">
        <v>181</v>
      </c>
      <c r="BB182" s="3">
        <f t="shared" si="49"/>
        <v>0</v>
      </c>
      <c r="CU182" s="3">
        <f t="shared" si="51"/>
        <v>0</v>
      </c>
      <c r="FV182" s="3">
        <f t="shared" si="52"/>
        <v>0</v>
      </c>
      <c r="FY182" s="3">
        <f t="shared" si="53"/>
        <v>0</v>
      </c>
      <c r="GB182" s="3">
        <f t="shared" si="54"/>
        <v>0</v>
      </c>
      <c r="GE182" s="3">
        <f t="shared" si="55"/>
        <v>0</v>
      </c>
      <c r="GF182" s="3">
        <f t="shared" si="56"/>
        <v>0</v>
      </c>
      <c r="GG182" s="3" t="str">
        <f t="shared" si="50"/>
        <v>ORDINARIO</v>
      </c>
    </row>
    <row r="183" spans="1:189" x14ac:dyDescent="0.3">
      <c r="A183">
        <v>182</v>
      </c>
      <c r="BB183" s="3">
        <f t="shared" si="49"/>
        <v>0</v>
      </c>
      <c r="CU183" s="3">
        <f t="shared" si="51"/>
        <v>0</v>
      </c>
      <c r="FV183" s="3">
        <f t="shared" si="52"/>
        <v>0</v>
      </c>
      <c r="FY183" s="3">
        <f t="shared" si="53"/>
        <v>0</v>
      </c>
      <c r="GB183" s="3">
        <f t="shared" si="54"/>
        <v>0</v>
      </c>
      <c r="GE183" s="3">
        <f t="shared" si="55"/>
        <v>0</v>
      </c>
      <c r="GF183" s="3">
        <f t="shared" si="56"/>
        <v>0</v>
      </c>
      <c r="GG183" s="3" t="str">
        <f t="shared" si="50"/>
        <v>ORDINARIO</v>
      </c>
    </row>
    <row r="184" spans="1:189" x14ac:dyDescent="0.3">
      <c r="A184">
        <v>183</v>
      </c>
      <c r="BB184" s="3">
        <f t="shared" si="49"/>
        <v>0</v>
      </c>
      <c r="CU184" s="3">
        <f t="shared" si="51"/>
        <v>0</v>
      </c>
      <c r="FV184" s="3">
        <f t="shared" si="52"/>
        <v>0</v>
      </c>
      <c r="FY184" s="3">
        <f t="shared" si="53"/>
        <v>0</v>
      </c>
      <c r="GB184" s="3">
        <f t="shared" si="54"/>
        <v>0</v>
      </c>
      <c r="GE184" s="3">
        <f t="shared" si="55"/>
        <v>0</v>
      </c>
      <c r="GF184" s="3">
        <f t="shared" si="56"/>
        <v>0</v>
      </c>
      <c r="GG184" s="3" t="str">
        <f t="shared" si="50"/>
        <v>ORDINARIO</v>
      </c>
    </row>
    <row r="185" spans="1:189" x14ac:dyDescent="0.3">
      <c r="A185">
        <v>184</v>
      </c>
      <c r="BB185" s="3">
        <f t="shared" si="49"/>
        <v>0</v>
      </c>
      <c r="CU185" s="3">
        <f t="shared" si="51"/>
        <v>0</v>
      </c>
      <c r="FV185" s="3">
        <f t="shared" si="52"/>
        <v>0</v>
      </c>
      <c r="FY185" s="3">
        <f t="shared" si="53"/>
        <v>0</v>
      </c>
      <c r="GB185" s="3">
        <f t="shared" si="54"/>
        <v>0</v>
      </c>
      <c r="GE185" s="3">
        <f t="shared" si="55"/>
        <v>0</v>
      </c>
      <c r="GF185" s="3">
        <f t="shared" si="56"/>
        <v>0</v>
      </c>
      <c r="GG185" s="3" t="str">
        <f t="shared" si="50"/>
        <v>ORDINARIO</v>
      </c>
    </row>
    <row r="186" spans="1:189" x14ac:dyDescent="0.3">
      <c r="A186">
        <v>185</v>
      </c>
      <c r="BB186" s="3">
        <f t="shared" si="49"/>
        <v>0</v>
      </c>
      <c r="CU186" s="3">
        <f t="shared" si="51"/>
        <v>0</v>
      </c>
      <c r="FV186" s="3">
        <f t="shared" si="52"/>
        <v>0</v>
      </c>
      <c r="FY186" s="3">
        <f t="shared" si="53"/>
        <v>0</v>
      </c>
      <c r="GB186" s="3">
        <f t="shared" si="54"/>
        <v>0</v>
      </c>
      <c r="GE186" s="3">
        <f t="shared" si="55"/>
        <v>0</v>
      </c>
      <c r="GF186" s="3">
        <f t="shared" si="56"/>
        <v>0</v>
      </c>
      <c r="GG186" s="3" t="str">
        <f t="shared" si="50"/>
        <v>ORDINARIO</v>
      </c>
    </row>
    <row r="187" spans="1:189" x14ac:dyDescent="0.3">
      <c r="A187">
        <v>186</v>
      </c>
      <c r="BB187" s="3">
        <f t="shared" si="49"/>
        <v>0</v>
      </c>
      <c r="CU187" s="3">
        <f t="shared" si="51"/>
        <v>0</v>
      </c>
      <c r="FV187" s="3">
        <f t="shared" si="52"/>
        <v>0</v>
      </c>
      <c r="FY187" s="3">
        <f t="shared" si="53"/>
        <v>0</v>
      </c>
      <c r="GB187" s="3">
        <f t="shared" si="54"/>
        <v>0</v>
      </c>
      <c r="GE187" s="3">
        <f t="shared" si="55"/>
        <v>0</v>
      </c>
      <c r="GF187" s="3">
        <f t="shared" si="56"/>
        <v>0</v>
      </c>
      <c r="GG187" s="3" t="str">
        <f t="shared" si="50"/>
        <v>ORDINARIO</v>
      </c>
    </row>
    <row r="188" spans="1:189" x14ac:dyDescent="0.3">
      <c r="A188">
        <v>187</v>
      </c>
      <c r="BB188" s="3">
        <f t="shared" si="49"/>
        <v>0</v>
      </c>
      <c r="CU188" s="3">
        <f t="shared" si="51"/>
        <v>0</v>
      </c>
      <c r="FV188" s="3">
        <f t="shared" si="52"/>
        <v>0</v>
      </c>
      <c r="FY188" s="3">
        <f t="shared" si="53"/>
        <v>0</v>
      </c>
      <c r="GB188" s="3">
        <f t="shared" si="54"/>
        <v>0</v>
      </c>
      <c r="GE188" s="3">
        <f t="shared" si="55"/>
        <v>0</v>
      </c>
      <c r="GF188" s="3">
        <f t="shared" si="56"/>
        <v>0</v>
      </c>
      <c r="GG188" s="3" t="str">
        <f t="shared" si="50"/>
        <v>ORDINARIO</v>
      </c>
    </row>
    <row r="189" spans="1:189" x14ac:dyDescent="0.3">
      <c r="A189">
        <v>188</v>
      </c>
      <c r="BB189" s="3">
        <f t="shared" si="49"/>
        <v>0</v>
      </c>
      <c r="CU189" s="3">
        <f t="shared" si="51"/>
        <v>0</v>
      </c>
      <c r="FV189" s="3">
        <f t="shared" si="52"/>
        <v>0</v>
      </c>
      <c r="FY189" s="3">
        <f t="shared" si="53"/>
        <v>0</v>
      </c>
      <c r="GB189" s="3">
        <f t="shared" si="54"/>
        <v>0</v>
      </c>
      <c r="GE189" s="3">
        <f t="shared" si="55"/>
        <v>0</v>
      </c>
      <c r="GF189" s="3">
        <f t="shared" si="56"/>
        <v>0</v>
      </c>
      <c r="GG189" s="3" t="str">
        <f t="shared" si="50"/>
        <v>ORDINARIO</v>
      </c>
    </row>
    <row r="190" spans="1:189" x14ac:dyDescent="0.3">
      <c r="A190">
        <v>189</v>
      </c>
      <c r="BB190" s="3">
        <f t="shared" si="49"/>
        <v>0</v>
      </c>
      <c r="CU190" s="3">
        <f t="shared" si="51"/>
        <v>0</v>
      </c>
      <c r="FV190" s="3">
        <f t="shared" si="52"/>
        <v>0</v>
      </c>
      <c r="FY190" s="3">
        <f t="shared" si="53"/>
        <v>0</v>
      </c>
      <c r="GB190" s="3">
        <f t="shared" si="54"/>
        <v>0</v>
      </c>
      <c r="GE190" s="3">
        <f t="shared" si="55"/>
        <v>0</v>
      </c>
      <c r="GF190" s="3">
        <f t="shared" si="56"/>
        <v>0</v>
      </c>
      <c r="GG190" s="3" t="str">
        <f t="shared" si="50"/>
        <v>ORDINARIO</v>
      </c>
    </row>
    <row r="191" spans="1:189" x14ac:dyDescent="0.3">
      <c r="A191">
        <v>190</v>
      </c>
      <c r="BB191" s="3">
        <f t="shared" si="49"/>
        <v>0</v>
      </c>
      <c r="CU191" s="3">
        <f t="shared" si="51"/>
        <v>0</v>
      </c>
      <c r="FV191" s="3">
        <f t="shared" si="52"/>
        <v>0</v>
      </c>
      <c r="FY191" s="3">
        <f t="shared" si="53"/>
        <v>0</v>
      </c>
      <c r="GB191" s="3">
        <f t="shared" si="54"/>
        <v>0</v>
      </c>
      <c r="GE191" s="3">
        <f t="shared" si="55"/>
        <v>0</v>
      </c>
      <c r="GF191" s="3">
        <f t="shared" si="56"/>
        <v>0</v>
      </c>
      <c r="GG191" s="3" t="str">
        <f t="shared" si="50"/>
        <v>ORDINARIO</v>
      </c>
    </row>
    <row r="192" spans="1:189" x14ac:dyDescent="0.3">
      <c r="A192">
        <v>191</v>
      </c>
      <c r="BB192" s="3">
        <f t="shared" si="49"/>
        <v>0</v>
      </c>
      <c r="CU192" s="3">
        <f t="shared" si="51"/>
        <v>0</v>
      </c>
      <c r="FV192" s="3">
        <f t="shared" si="52"/>
        <v>0</v>
      </c>
      <c r="FY192" s="3">
        <f t="shared" si="53"/>
        <v>0</v>
      </c>
      <c r="GB192" s="3">
        <f t="shared" si="54"/>
        <v>0</v>
      </c>
      <c r="GE192" s="3">
        <f t="shared" si="55"/>
        <v>0</v>
      </c>
      <c r="GF192" s="3">
        <f t="shared" si="56"/>
        <v>0</v>
      </c>
      <c r="GG192" s="3" t="str">
        <f t="shared" si="50"/>
        <v>ORDINARIO</v>
      </c>
    </row>
    <row r="193" spans="1:189" x14ac:dyDescent="0.3">
      <c r="A193">
        <v>192</v>
      </c>
      <c r="BB193" s="3">
        <f t="shared" si="49"/>
        <v>0</v>
      </c>
      <c r="CU193" s="3">
        <f t="shared" si="51"/>
        <v>0</v>
      </c>
      <c r="FV193" s="3">
        <f t="shared" si="52"/>
        <v>0</v>
      </c>
      <c r="FY193" s="3">
        <f t="shared" si="53"/>
        <v>0</v>
      </c>
      <c r="GB193" s="3">
        <f t="shared" si="54"/>
        <v>0</v>
      </c>
      <c r="GE193" s="3">
        <f t="shared" si="55"/>
        <v>0</v>
      </c>
      <c r="GF193" s="3">
        <f t="shared" si="56"/>
        <v>0</v>
      </c>
      <c r="GG193" s="3" t="str">
        <f t="shared" si="50"/>
        <v>ORDINARIO</v>
      </c>
    </row>
    <row r="194" spans="1:189" x14ac:dyDescent="0.3">
      <c r="A194">
        <v>193</v>
      </c>
      <c r="BB194" s="3">
        <f>+BC194+BE194+BO194+CN194+CO194+CP194+CQ194+CR194+CS194+DG194</f>
        <v>0</v>
      </c>
      <c r="CU194" s="3">
        <f t="shared" si="51"/>
        <v>0</v>
      </c>
      <c r="FV194" s="3">
        <f t="shared" si="52"/>
        <v>0</v>
      </c>
      <c r="FY194" s="3">
        <f t="shared" si="53"/>
        <v>0</v>
      </c>
      <c r="GB194" s="3">
        <f t="shared" si="54"/>
        <v>0</v>
      </c>
      <c r="GE194" s="3">
        <f t="shared" si="55"/>
        <v>0</v>
      </c>
      <c r="GF194" s="3">
        <f t="shared" si="56"/>
        <v>0</v>
      </c>
      <c r="GG194" s="3" t="str">
        <f>IF(AA194&gt;=3000,"ALTO",IF(GF194&gt;=1,"ALTO","ORDINARIO"))</f>
        <v>ORDINARIO</v>
      </c>
    </row>
    <row r="195" spans="1:189" x14ac:dyDescent="0.3">
      <c r="A195">
        <v>194</v>
      </c>
      <c r="BB195" s="3">
        <f>+BC195+BE195+BO195+CN195+CO195+CP195+CQ195+CR195+CS195+DG195</f>
        <v>0</v>
      </c>
      <c r="CU195" s="3">
        <f t="shared" si="51"/>
        <v>0</v>
      </c>
      <c r="FV195" s="3">
        <f t="shared" si="52"/>
        <v>0</v>
      </c>
      <c r="FY195" s="3">
        <f t="shared" si="53"/>
        <v>0</v>
      </c>
      <c r="GB195" s="3">
        <f t="shared" si="54"/>
        <v>0</v>
      </c>
      <c r="GE195" s="3">
        <f t="shared" si="55"/>
        <v>0</v>
      </c>
      <c r="GF195" s="3">
        <f t="shared" si="56"/>
        <v>0</v>
      </c>
      <c r="GG195" s="3" t="str">
        <f>IF(AA195&gt;=3000,"ALTO",IF(GF195&gt;=1,"ALTO","ORDINARIO"))</f>
        <v>ORDINARIO</v>
      </c>
    </row>
    <row r="196" spans="1:189" x14ac:dyDescent="0.3">
      <c r="A196">
        <v>195</v>
      </c>
      <c r="BB196" s="3">
        <f>+BC196+BE196+BO196+CN196+CO196+CP196+CQ196+CR196+CS196+DG196</f>
        <v>0</v>
      </c>
      <c r="CU196" s="3">
        <f t="shared" si="51"/>
        <v>0</v>
      </c>
      <c r="FV196" s="3">
        <f t="shared" si="52"/>
        <v>0</v>
      </c>
      <c r="FY196" s="3">
        <f t="shared" si="53"/>
        <v>0</v>
      </c>
      <c r="GB196" s="3">
        <f t="shared" si="54"/>
        <v>0</v>
      </c>
      <c r="GE196" s="3">
        <f t="shared" si="55"/>
        <v>0</v>
      </c>
      <c r="GF196" s="3">
        <f t="shared" si="56"/>
        <v>0</v>
      </c>
      <c r="GG196" s="3" t="str">
        <f>IF(AA196&gt;=3000,"ALTO",IF(GF196&gt;=1,"ALTO","ORDINARIO"))</f>
        <v>ORDINARIO</v>
      </c>
    </row>
    <row r="197" spans="1:189" x14ac:dyDescent="0.3">
      <c r="A197">
        <v>196</v>
      </c>
      <c r="BB197" s="3">
        <f>+BC197+BE197+BO197+CN197+CO197+CP197+CQ197+CR197+CS197+DG197</f>
        <v>0</v>
      </c>
      <c r="CU197" s="3">
        <f t="shared" si="51"/>
        <v>0</v>
      </c>
      <c r="FV197" s="3">
        <f t="shared" si="52"/>
        <v>0</v>
      </c>
      <c r="FY197" s="3">
        <f t="shared" si="53"/>
        <v>0</v>
      </c>
      <c r="GB197" s="3">
        <f t="shared" si="54"/>
        <v>0</v>
      </c>
      <c r="GE197" s="3">
        <f t="shared" si="55"/>
        <v>0</v>
      </c>
      <c r="GF197" s="3">
        <f t="shared" si="56"/>
        <v>0</v>
      </c>
      <c r="GG197" s="3" t="str">
        <f>IF(AA197&gt;=3000,"ALTO",IF(GF197&gt;=1,"ALTO","ORDINARIO"))</f>
        <v>ORDINARIO</v>
      </c>
    </row>
    <row r="198" spans="1:189" x14ac:dyDescent="0.3">
      <c r="A198">
        <v>197</v>
      </c>
    </row>
    <row r="199" spans="1:189" x14ac:dyDescent="0.3">
      <c r="A199">
        <v>198</v>
      </c>
    </row>
    <row r="200" spans="1:189" x14ac:dyDescent="0.3">
      <c r="A200">
        <v>199</v>
      </c>
    </row>
  </sheetData>
  <phoneticPr fontId="1" type="noConversion"/>
  <conditionalFormatting sqref="K13">
    <cfRule type="expression" dxfId="35" priority="614">
      <formula>$A13=#REF!</formula>
    </cfRule>
  </conditionalFormatting>
  <conditionalFormatting sqref="BG1:BH1 BQ1:BR1 EO1 ER1 EU1 C2:E2 GH2:GM42 BB2:GF57 B2:B61 GF2:GG197 F2:AA200 A2:A207 F2:H207 L2:AA207 AC2:AE207 AO2:AV207 AX2:AY207 C3:D67 E3:E200 KN13:LT41 J14:K207 GV42:HG42 HI42:HK42 HM42:HN42 HP42 HU42 HZ42:IB42 IM42 IO42 IR42:IT42 IV42 GH43:IW59 EW58:GF59 BB58:EV61 EW60:IW61 B62:D200 BB62:IW207 B201:AA207">
    <cfRule type="expression" dxfId="34" priority="586">
      <formula>$A1=#REF!</formula>
    </cfRule>
  </conditionalFormatting>
  <conditionalFormatting sqref="GH1:GM1">
    <cfRule type="expression" dxfId="33" priority="585">
      <formula>#REF!=#REF!</formula>
    </cfRule>
  </conditionalFormatting>
  <conditionalFormatting sqref="GN42:GU42">
    <cfRule type="expression" dxfId="32" priority="76">
      <formula>$A42=$A$1</formula>
    </cfRule>
  </conditionalFormatting>
  <conditionalFormatting sqref="GN2:IW33">
    <cfRule type="expression" dxfId="31" priority="394">
      <formula>$A2=$A$1</formula>
    </cfRule>
  </conditionalFormatting>
  <conditionalFormatting sqref="HH42">
    <cfRule type="expression" dxfId="30" priority="75">
      <formula>$A42=$A$1</formula>
    </cfRule>
  </conditionalFormatting>
  <conditionalFormatting sqref="HL42">
    <cfRule type="expression" dxfId="29" priority="74">
      <formula>$A42=$A$1</formula>
    </cfRule>
  </conditionalFormatting>
  <conditionalFormatting sqref="HO42">
    <cfRule type="expression" dxfId="28" priority="73">
      <formula>$A42=$A$1</formula>
    </cfRule>
  </conditionalFormatting>
  <conditionalFormatting sqref="HQ42:HT42">
    <cfRule type="expression" dxfId="27" priority="69">
      <formula>$A42=$A$1</formula>
    </cfRule>
  </conditionalFormatting>
  <conditionalFormatting sqref="HV42:HY42">
    <cfRule type="expression" dxfId="26" priority="65">
      <formula>$A42=$A$1</formula>
    </cfRule>
  </conditionalFormatting>
  <conditionalFormatting sqref="IC42:IL42">
    <cfRule type="expression" dxfId="25" priority="55">
      <formula>$A42=$A$1</formula>
    </cfRule>
  </conditionalFormatting>
  <conditionalFormatting sqref="IN42">
    <cfRule type="expression" dxfId="24" priority="54">
      <formula>$A42=$A$1</formula>
    </cfRule>
  </conditionalFormatting>
  <conditionalFormatting sqref="IP42:IQ42">
    <cfRule type="expression" dxfId="23" priority="52">
      <formula>$A42=$A$1</formula>
    </cfRule>
  </conditionalFormatting>
  <conditionalFormatting sqref="IU42">
    <cfRule type="expression" dxfId="22" priority="51">
      <formula>$A42=$A$1</formula>
    </cfRule>
  </conditionalFormatting>
  <conditionalFormatting sqref="IW42:JB42">
    <cfRule type="expression" dxfId="21" priority="45">
      <formula>$A42=$A$1</formula>
    </cfRule>
  </conditionalFormatting>
  <conditionalFormatting sqref="IX24:JC25">
    <cfRule type="expression" dxfId="20" priority="23">
      <formula>$A24=$A$1</formula>
    </cfRule>
  </conditionalFormatting>
  <conditionalFormatting sqref="JA14:JB14 JC15:JD15 JF15:JL15 JN15:JR15 IX19:JA19 JC19:JF19 JL19 JO19:JR19 KD19 KL19:KM19 JC22:JL22 JN22:JU23 JW22:JZ23 IX23:JA23 JC23:JD23 JG23:JL23 JC26:JD26 JF26:JL26 JN26:JU26 JW26:JZ26 IX27:JC27 JE27:JF27 JL27 JO27:JT27 JW27:KE27 KG27 KJ27 KL27:KM27 IX30:JC31 JE30:JF31 JW30:KE31 KL30:KM31 JO30:JT32 JL30:JL34 KG30:KG38 KJ30:KJ38 JE32 KM32 IX32:JB33 KL32:KL33 JC32:JC34 JW32:JZ35 KA32:KE37 JF32:JF38 JD33:JE33 JG33:JH33 JI33:JL34 JN33:JU35 GN34:JB34 JE34 KL34:KM38 JB35:JL35 IX35:JA38 GN35:IW41 JL36:JL37 JO36:JP37 JR36:JT37 JY36:JZ37 JB36:JB38 JE36:JE38 JC36:JC39 JW36:JW40 JX36:JX42 JQ37 JW38:KE38 JF38:JL40 JN38:JU40 JA39:JB39 JD39:JE39 KE39:KM39 JY39:KD40 IX40:JC40 JE40:JF40 KE40 KG40 KJ40 KL40:KM40 JY40:JY42 JI41:JL41">
    <cfRule type="expression" dxfId="19" priority="581">
      <formula>$A14=$A$1</formula>
    </cfRule>
  </conditionalFormatting>
  <conditionalFormatting sqref="JE42">
    <cfRule type="expression" dxfId="18" priority="44">
      <formula>$A42=$A$1</formula>
    </cfRule>
  </conditionalFormatting>
  <conditionalFormatting sqref="JE24:JF25">
    <cfRule type="expression" dxfId="17" priority="21">
      <formula>$A24=$A$1</formula>
    </cfRule>
  </conditionalFormatting>
  <conditionalFormatting sqref="JL24:JL25">
    <cfRule type="expression" dxfId="16" priority="20">
      <formula>$A24=$A$1</formula>
    </cfRule>
  </conditionalFormatting>
  <conditionalFormatting sqref="JL42">
    <cfRule type="expression" dxfId="15" priority="43">
      <formula>$A42=$A$1</formula>
    </cfRule>
  </conditionalFormatting>
  <conditionalFormatting sqref="JO24:JT25">
    <cfRule type="expression" dxfId="14" priority="14">
      <formula>$A24=$A$1</formula>
    </cfRule>
  </conditionalFormatting>
  <conditionalFormatting sqref="JP42">
    <cfRule type="expression" dxfId="13" priority="42">
      <formula>$A42=$A$1</formula>
    </cfRule>
  </conditionalFormatting>
  <conditionalFormatting sqref="JR42:JT42">
    <cfRule type="expression" dxfId="12" priority="39">
      <formula>$A42=$A$1</formula>
    </cfRule>
  </conditionalFormatting>
  <conditionalFormatting sqref="JW42">
    <cfRule type="expression" dxfId="11" priority="38">
      <formula>$A42=$A$1</formula>
    </cfRule>
  </conditionalFormatting>
  <conditionalFormatting sqref="JW24:KC25">
    <cfRule type="expression" dxfId="10" priority="7">
      <formula>$A24=$A$1</formula>
    </cfRule>
  </conditionalFormatting>
  <conditionalFormatting sqref="JZ42:KE42">
    <cfRule type="expression" dxfId="9" priority="32">
      <formula>$A42=$A$1</formula>
    </cfRule>
  </conditionalFormatting>
  <conditionalFormatting sqref="KD23:KD25">
    <cfRule type="expression" dxfId="8" priority="6">
      <formula>$A23=$A$1</formula>
    </cfRule>
  </conditionalFormatting>
  <conditionalFormatting sqref="KE24:KE25">
    <cfRule type="expression" dxfId="7" priority="5">
      <formula>$A24=$A$1</formula>
    </cfRule>
  </conditionalFormatting>
  <conditionalFormatting sqref="KG24:KG25">
    <cfRule type="expression" dxfId="6" priority="4">
      <formula>$A24=$A$1</formula>
    </cfRule>
  </conditionalFormatting>
  <conditionalFormatting sqref="KG42">
    <cfRule type="expression" dxfId="5" priority="31">
      <formula>$A42=$A$1</formula>
    </cfRule>
  </conditionalFormatting>
  <conditionalFormatting sqref="KJ24:KJ25">
    <cfRule type="expression" dxfId="4" priority="3">
      <formula>$A24=$A$1</formula>
    </cfRule>
  </conditionalFormatting>
  <conditionalFormatting sqref="KJ42">
    <cfRule type="expression" dxfId="3" priority="30">
      <formula>$A42=$A$1</formula>
    </cfRule>
  </conditionalFormatting>
  <conditionalFormatting sqref="KL42">
    <cfRule type="expression" dxfId="2" priority="29">
      <formula>$A42=$A$1</formula>
    </cfRule>
  </conditionalFormatting>
  <conditionalFormatting sqref="KL24:KM25">
    <cfRule type="expression" dxfId="1" priority="1">
      <formula>$A24=$A$1</formula>
    </cfRule>
  </conditionalFormatting>
  <conditionalFormatting sqref="KN1:LT1">
    <cfRule type="expression" dxfId="0" priority="573">
      <formula>#REF!=#REF!</formula>
    </cfRule>
  </conditionalFormatting>
  <dataValidations count="2">
    <dataValidation type="list" allowBlank="1" showInputMessage="1" showErrorMessage="1" sqref="C2:C77 C79:C200" xr:uid="{41C0D522-5D90-43F5-9DB3-E0F81FDE0774}">
      <formula1>"BANCO, BBVA, COMPARTAMOS, DHL, GASOLINERA, GENERAL, GDL, UVP"</formula1>
    </dataValidation>
    <dataValidation type="list" allowBlank="1" showInputMessage="1" showErrorMessage="1" sqref="C78" xr:uid="{D5CD9EE6-9E02-4584-93C4-B4A613E84A37}">
      <formula1>"BANCO, BBVA, COMPARTAMOS, DHL, GASERA, GASOLINERA, GENERAL, GDL, UVP"</formula1>
    </dataValidation>
  </dataValidations>
  <hyperlinks>
    <hyperlink ref="M2" r:id="rId1" xr:uid="{6C4FD7E9-0E91-4524-9C66-66997D11B00A}"/>
    <hyperlink ref="M3" r:id="rId2" xr:uid="{A898CEA7-D650-41DC-8C56-3B021079A84A}"/>
    <hyperlink ref="M4" r:id="rId3" xr:uid="{51E5EA68-653F-4ADD-8EBF-BD47F7729958}"/>
    <hyperlink ref="M5" r:id="rId4" xr:uid="{B0B1E0F1-25F4-45F5-9CF8-0006207C21DA}"/>
    <hyperlink ref="M6" r:id="rId5" xr:uid="{6AFE5025-3441-429E-B92F-CF648C8B31B9}"/>
    <hyperlink ref="M7" r:id="rId6" xr:uid="{68706385-AF66-4F49-A410-F4B52499A325}"/>
    <hyperlink ref="M8" r:id="rId7" xr:uid="{ECD9DD4E-296D-4967-8DEA-4C9B0F4464AF}"/>
    <hyperlink ref="M9" r:id="rId8" xr:uid="{91878B54-61A9-411B-B68E-0E041A2904C3}"/>
    <hyperlink ref="M10" r:id="rId9" xr:uid="{9F2CF0DE-DA06-4334-BDEB-FFE06D8179C7}"/>
    <hyperlink ref="M11" r:id="rId10" xr:uid="{B273690A-C54D-473E-8E7B-D7B9AC83DFAD}"/>
    <hyperlink ref="M36" r:id="rId11" xr:uid="{73E06077-7F11-4B0F-ACA2-422A47C71700}"/>
    <hyperlink ref="M31" r:id="rId12" xr:uid="{7D5BC455-F102-4DF5-8F66-AAB3B80A57A9}"/>
    <hyperlink ref="M26" r:id="rId13" xr:uid="{8B585EED-4FB2-47D7-9D2B-AA5AE3B22B52}"/>
    <hyperlink ref="M13" r:id="rId14" xr:uid="{4E4BB7BD-99B7-4CA8-B2CA-7604F3EDE0D2}"/>
    <hyperlink ref="M35" r:id="rId15" xr:uid="{B4CA590F-5879-4279-BD3D-C463EFDC3509}"/>
    <hyperlink ref="M17" r:id="rId16" xr:uid="{25CFBA39-03C8-4081-A0C4-1277A6DE75F7}"/>
    <hyperlink ref="M28" r:id="rId17" xr:uid="{44B582C3-3169-4287-9F09-3EE5AE51FE29}"/>
    <hyperlink ref="M38" r:id="rId18" xr:uid="{BD402CD4-FECC-4968-9741-F72B106BBEF2}"/>
    <hyperlink ref="M29" r:id="rId19" xr:uid="{B5D4169F-364A-44C7-A3D4-4162EBC16939}"/>
    <hyperlink ref="M42" r:id="rId20" xr:uid="{DC91F01F-BB53-459C-AB50-A2313C0D6506}"/>
    <hyperlink ref="M15" r:id="rId21" xr:uid="{4866758B-5B57-4D1F-B71D-863F32FE29A4}"/>
    <hyperlink ref="M32" r:id="rId22" xr:uid="{0CDBCB95-5E65-49A5-B734-53FD1880562A}"/>
    <hyperlink ref="M30" r:id="rId23" xr:uid="{C3804DBF-E862-4FF6-A358-FD3B917D46B2}"/>
    <hyperlink ref="M27" r:id="rId24" xr:uid="{7D7DBE05-BD11-4628-B4CA-0BD349415ABC}"/>
    <hyperlink ref="M41" r:id="rId25" xr:uid="{CE54D597-0828-4DB6-8398-E6B35BD95831}"/>
    <hyperlink ref="M37" r:id="rId26" xr:uid="{2CA19DBA-CB5E-411D-90CF-4DBC994E27FA}"/>
    <hyperlink ref="M34" r:id="rId27" xr:uid="{9E8156F7-1CD4-4387-A96E-A15BD04771BB}"/>
    <hyperlink ref="M23" r:id="rId28" xr:uid="{5F9561E0-F04E-4138-9F17-72093CC7A3C0}"/>
    <hyperlink ref="M22" r:id="rId29" xr:uid="{451E82E8-3F55-4F80-A080-6E168E11EF8A}"/>
    <hyperlink ref="M12" r:id="rId30" xr:uid="{2032BBE1-31DA-46EE-AC48-65C122EE0282}"/>
    <hyperlink ref="M43" r:id="rId31" xr:uid="{A2BBFE7A-BA9E-492E-AF1D-D4A45C7C4B60}"/>
    <hyperlink ref="M44" r:id="rId32" xr:uid="{2BE003B8-9D85-4724-A606-402C9915F18E}"/>
    <hyperlink ref="M45" r:id="rId33" xr:uid="{2B09FFA2-5189-4D4D-A65B-4B15422C7C5B}"/>
    <hyperlink ref="M50" r:id="rId34" xr:uid="{DDE804A1-A1F2-4C98-8E4E-FF4954DAAB88}"/>
    <hyperlink ref="M54" r:id="rId35" xr:uid="{B9F1BA52-AC5D-4251-9008-A4D12466756B}"/>
    <hyperlink ref="M55:M61" r:id="rId36" display="serv.medico@uvp.mx" xr:uid="{35C2D78B-CC24-428B-B9D9-6B044FB382AB}"/>
    <hyperlink ref="M62" r:id="rId37" xr:uid="{BAC1ACDE-29E9-44FE-B95B-93A859FE6E4F}"/>
    <hyperlink ref="M63" r:id="rId38" xr:uid="{3170B663-323B-4A84-AF89-7336EAC6FA6D}"/>
    <hyperlink ref="M64" r:id="rId39" xr:uid="{24117176-E207-4642-BDA4-F4CDDA15AFBC}"/>
    <hyperlink ref="M65" r:id="rId40" xr:uid="{19D5C0DF-B072-400B-A9E9-5EBBA974FB88}"/>
    <hyperlink ref="M66" r:id="rId41" xr:uid="{A7FC72C6-B0DB-4FC9-B190-B58CFCCCC457}"/>
    <hyperlink ref="M67" r:id="rId42" xr:uid="{07B79AC2-D0BB-4053-B52A-2218F9C8D957}"/>
    <hyperlink ref="M72" r:id="rId43" xr:uid="{AC530E9D-142F-47C1-9FA2-9326C9E7E289}"/>
    <hyperlink ref="M73" r:id="rId44" xr:uid="{3666EBA2-130E-4794-96A0-D6F6C3ACD1EE}"/>
    <hyperlink ref="M77" r:id="rId45" xr:uid="{AFBC3AA6-C580-4B7F-B71B-D6480B14E003}"/>
    <hyperlink ref="M74" r:id="rId46" xr:uid="{FF56A344-1EEE-4D08-99A8-FCD2C7F230DE}"/>
    <hyperlink ref="M75" r:id="rId47" xr:uid="{3E196FA2-420A-4B92-844E-6ABDB577F40B}"/>
    <hyperlink ref="M69" r:id="rId48" xr:uid="{97705115-B4A0-4147-AD9C-F7B5CC1C8112}"/>
    <hyperlink ref="M68" r:id="rId49" xr:uid="{F44C7C7B-EEF8-4049-85AD-85239A6C431B}"/>
    <hyperlink ref="M70" r:id="rId50" xr:uid="{2FDC1EA4-7913-4F81-B6BE-310224E8BACE}"/>
    <hyperlink ref="M71" r:id="rId51" xr:uid="{4EB8FB9A-D956-4ABB-9082-FAA69FD2AB60}"/>
    <hyperlink ref="M76" r:id="rId52" xr:uid="{DD7FA7B3-6942-4E12-AD08-F0CFCC3FF11D}"/>
    <hyperlink ref="M78" r:id="rId53" xr:uid="{618B5CA2-6BB8-42A0-BC96-CE9D1A869B83}"/>
    <hyperlink ref="M80" r:id="rId54" xr:uid="{98E40A57-5D15-4758-A662-18D914AB85C3}"/>
    <hyperlink ref="M81" r:id="rId55" xr:uid="{CD6C91A6-5AD9-4111-8327-4A966B5533C1}"/>
    <hyperlink ref="M82" r:id="rId56" xr:uid="{A1567507-C11E-4E1C-944A-8AEAD69FB237}"/>
    <hyperlink ref="M83" r:id="rId57" xr:uid="{D28E4795-28C8-46AC-A4C8-30B9C17D8946}"/>
    <hyperlink ref="M90" r:id="rId58" xr:uid="{09EA88F6-770D-455C-BEBC-7088DD676E40}"/>
    <hyperlink ref="M91" r:id="rId59" xr:uid="{67D348E8-45F4-4E03-A649-E51DAC7CCD9D}"/>
    <hyperlink ref="M92" r:id="rId60" xr:uid="{AF6848FD-3357-4EF6-AE87-797C120C33AF}"/>
    <hyperlink ref="M93" r:id="rId61" xr:uid="{7FD5C3B5-6934-4004-BED0-1FE5363BD542}"/>
    <hyperlink ref="M99" r:id="rId62" xr:uid="{AEF7422C-FE06-4678-BB38-292B3DC8A973}"/>
  </hyperlinks>
  <pageMargins left="0.7" right="0.7" top="0.75" bottom="0.75" header="0.3" footer="0.3"/>
  <pageSetup orientation="portrait" horizontalDpi="4294967294" verticalDpi="0" r:id="rId63"/>
  <legacyDrawing r:id="rId6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93F01-97EA-43A4-9AE2-ED099B9448DD}">
  <dimension ref="A1:KX2"/>
  <sheetViews>
    <sheetView workbookViewId="0">
      <selection activeCell="JQ1" sqref="JQ1"/>
    </sheetView>
  </sheetViews>
  <sheetFormatPr baseColWidth="10" defaultRowHeight="14.4" x14ac:dyDescent="0.3"/>
  <sheetData>
    <row r="1" spans="1:310" x14ac:dyDescent="0.3">
      <c r="A1" t="e">
        <f>+BD!#REF!</f>
        <v>#REF!</v>
      </c>
      <c r="B1" t="s">
        <v>133</v>
      </c>
      <c r="C1" t="s">
        <v>134</v>
      </c>
      <c r="D1" t="s">
        <v>135</v>
      </c>
      <c r="E1" t="s">
        <v>136</v>
      </c>
      <c r="F1" t="s">
        <v>137</v>
      </c>
      <c r="G1" t="s">
        <v>138</v>
      </c>
      <c r="H1" t="s">
        <v>139</v>
      </c>
      <c r="I1" t="s">
        <v>140</v>
      </c>
      <c r="J1" t="s">
        <v>141</v>
      </c>
      <c r="K1" t="s">
        <v>142</v>
      </c>
      <c r="L1" t="s">
        <v>143</v>
      </c>
      <c r="M1" t="s">
        <v>144</v>
      </c>
      <c r="N1" t="s">
        <v>145</v>
      </c>
      <c r="O1" t="s">
        <v>146</v>
      </c>
      <c r="P1" t="s">
        <v>147</v>
      </c>
      <c r="Q1" t="s">
        <v>148</v>
      </c>
      <c r="R1" t="s">
        <v>149</v>
      </c>
      <c r="S1" t="s">
        <v>150</v>
      </c>
      <c r="T1" t="s">
        <v>1643</v>
      </c>
      <c r="U1" t="s">
        <v>1644</v>
      </c>
      <c r="V1" t="s">
        <v>153</v>
      </c>
      <c r="W1" t="s">
        <v>154</v>
      </c>
      <c r="X1" t="s">
        <v>155</v>
      </c>
      <c r="Y1" t="s">
        <v>156</v>
      </c>
      <c r="Z1" t="s">
        <v>157</v>
      </c>
      <c r="AA1" t="s">
        <v>158</v>
      </c>
      <c r="AB1" t="s">
        <v>5</v>
      </c>
      <c r="AC1" t="s">
        <v>159</v>
      </c>
      <c r="AD1" t="s">
        <v>160</v>
      </c>
      <c r="AE1" t="s">
        <v>161</v>
      </c>
      <c r="AF1" t="s">
        <v>162</v>
      </c>
      <c r="AG1" t="s">
        <v>163</v>
      </c>
      <c r="AH1" t="s">
        <v>164</v>
      </c>
      <c r="AI1" t="s">
        <v>165</v>
      </c>
      <c r="AJ1" t="s">
        <v>166</v>
      </c>
      <c r="AK1" t="s">
        <v>167</v>
      </c>
      <c r="AL1" t="s">
        <v>168</v>
      </c>
      <c r="AM1" t="s">
        <v>169</v>
      </c>
      <c r="AN1" t="s">
        <v>170</v>
      </c>
      <c r="AO1" t="s">
        <v>171</v>
      </c>
      <c r="AP1" t="s">
        <v>172</v>
      </c>
      <c r="AQ1" t="s">
        <v>173</v>
      </c>
      <c r="AR1" t="s">
        <v>174</v>
      </c>
      <c r="AS1" t="s">
        <v>409</v>
      </c>
      <c r="AT1" t="s">
        <v>175</v>
      </c>
      <c r="AU1" t="s">
        <v>176</v>
      </c>
      <c r="AV1" t="s">
        <v>177</v>
      </c>
      <c r="AW1" t="s">
        <v>683</v>
      </c>
      <c r="AX1" t="s">
        <v>684</v>
      </c>
      <c r="AY1" t="s">
        <v>178</v>
      </c>
      <c r="AZ1" t="s">
        <v>179</v>
      </c>
      <c r="BA1" t="s">
        <v>398</v>
      </c>
      <c r="BB1" t="s">
        <v>181</v>
      </c>
      <c r="BC1" t="s">
        <v>410</v>
      </c>
      <c r="BD1" t="s">
        <v>182</v>
      </c>
      <c r="BE1" t="s">
        <v>407</v>
      </c>
      <c r="BF1" t="s">
        <v>7</v>
      </c>
      <c r="BG1" t="s">
        <v>687</v>
      </c>
      <c r="BH1" t="s">
        <v>689</v>
      </c>
      <c r="BI1" t="s">
        <v>8</v>
      </c>
      <c r="BJ1" t="s">
        <v>1648</v>
      </c>
      <c r="BK1" t="s">
        <v>1649</v>
      </c>
      <c r="BL1" t="s">
        <v>3</v>
      </c>
      <c r="BM1" t="s">
        <v>4</v>
      </c>
      <c r="BN1" t="s">
        <v>1969</v>
      </c>
      <c r="BO1" t="s">
        <v>1970</v>
      </c>
      <c r="BP1" t="s">
        <v>1971</v>
      </c>
      <c r="BQ1" t="s">
        <v>1972</v>
      </c>
      <c r="BR1" t="s">
        <v>1973</v>
      </c>
      <c r="BS1" t="s">
        <v>1974</v>
      </c>
      <c r="BT1" t="s">
        <v>1975</v>
      </c>
      <c r="BU1" t="s">
        <v>1976</v>
      </c>
      <c r="BV1" t="s">
        <v>1977</v>
      </c>
      <c r="BW1" t="s">
        <v>1978</v>
      </c>
      <c r="BX1" t="s">
        <v>1979</v>
      </c>
      <c r="BY1" t="s">
        <v>1980</v>
      </c>
      <c r="BZ1" t="s">
        <v>1981</v>
      </c>
      <c r="CA1" t="s">
        <v>1982</v>
      </c>
      <c r="CB1" t="s">
        <v>1983</v>
      </c>
      <c r="CC1" t="s">
        <v>1984</v>
      </c>
      <c r="CD1" t="s">
        <v>183</v>
      </c>
      <c r="CE1" t="s">
        <v>5</v>
      </c>
      <c r="CF1" t="s">
        <v>184</v>
      </c>
      <c r="CG1" t="s">
        <v>185</v>
      </c>
      <c r="CH1" t="s">
        <v>186</v>
      </c>
      <c r="CI1" t="s">
        <v>6</v>
      </c>
      <c r="CJ1" t="s">
        <v>187</v>
      </c>
      <c r="CK1" t="s">
        <v>188</v>
      </c>
      <c r="CL1" t="s">
        <v>189</v>
      </c>
      <c r="CM1" t="s">
        <v>2028</v>
      </c>
      <c r="CN1" t="s">
        <v>9</v>
      </c>
      <c r="CO1" t="s">
        <v>10</v>
      </c>
      <c r="CP1" t="s">
        <v>11</v>
      </c>
      <c r="CQ1" t="s">
        <v>12</v>
      </c>
      <c r="CR1" t="s">
        <v>1650</v>
      </c>
      <c r="CS1" t="s">
        <v>13</v>
      </c>
      <c r="CT1" t="s">
        <v>554</v>
      </c>
      <c r="CU1" t="s">
        <v>561</v>
      </c>
      <c r="CV1" t="s">
        <v>560</v>
      </c>
      <c r="CW1" t="s">
        <v>15</v>
      </c>
      <c r="CX1" t="s">
        <v>16</v>
      </c>
      <c r="CY1" t="s">
        <v>17</v>
      </c>
      <c r="CZ1" t="s">
        <v>552</v>
      </c>
      <c r="DA1" t="s">
        <v>18</v>
      </c>
      <c r="DB1" t="s">
        <v>556</v>
      </c>
      <c r="DC1" t="s">
        <v>19</v>
      </c>
      <c r="DD1" t="s">
        <v>564</v>
      </c>
      <c r="DE1" t="s">
        <v>20</v>
      </c>
      <c r="DF1" t="s">
        <v>548</v>
      </c>
      <c r="DG1" t="s">
        <v>22</v>
      </c>
      <c r="DH1" t="s">
        <v>558</v>
      </c>
      <c r="DI1" t="s">
        <v>23</v>
      </c>
      <c r="DJ1" t="s">
        <v>550</v>
      </c>
      <c r="DK1" t="s">
        <v>190</v>
      </c>
      <c r="DL1" t="s">
        <v>191</v>
      </c>
      <c r="DM1" t="s">
        <v>192</v>
      </c>
      <c r="DN1" t="s">
        <v>193</v>
      </c>
      <c r="DO1" t="s">
        <v>1657</v>
      </c>
      <c r="DP1" t="s">
        <v>1658</v>
      </c>
      <c r="DQ1" t="s">
        <v>1659</v>
      </c>
      <c r="DR1" t="s">
        <v>1660</v>
      </c>
      <c r="DS1" t="s">
        <v>1665</v>
      </c>
      <c r="DT1" t="s">
        <v>1666</v>
      </c>
      <c r="DU1" t="s">
        <v>1667</v>
      </c>
      <c r="DV1" t="s">
        <v>1668</v>
      </c>
      <c r="DW1" t="s">
        <v>0</v>
      </c>
      <c r="DX1" t="s">
        <v>1</v>
      </c>
      <c r="DY1" t="s">
        <v>2</v>
      </c>
      <c r="DZ1" t="s">
        <v>194</v>
      </c>
      <c r="EA1" t="s">
        <v>195</v>
      </c>
      <c r="EB1" t="s">
        <v>196</v>
      </c>
      <c r="EC1" t="s">
        <v>197</v>
      </c>
      <c r="ED1" t="s">
        <v>198</v>
      </c>
      <c r="EE1" t="s">
        <v>583</v>
      </c>
      <c r="EF1" t="s">
        <v>199</v>
      </c>
      <c r="EG1" t="s">
        <v>200</v>
      </c>
      <c r="EH1" t="s">
        <v>633</v>
      </c>
      <c r="EI1" t="s">
        <v>201</v>
      </c>
      <c r="EJ1" t="s">
        <v>1651</v>
      </c>
      <c r="EK1" t="s">
        <v>634</v>
      </c>
      <c r="EL1" t="s">
        <v>202</v>
      </c>
      <c r="EM1" t="s">
        <v>567</v>
      </c>
      <c r="EN1" t="s">
        <v>635</v>
      </c>
      <c r="EO1" t="s">
        <v>203</v>
      </c>
      <c r="EP1" t="s">
        <v>568</v>
      </c>
      <c r="EQ1" t="s">
        <v>636</v>
      </c>
      <c r="ER1" t="s">
        <v>204</v>
      </c>
      <c r="ES1" t="s">
        <v>569</v>
      </c>
      <c r="ET1" t="s">
        <v>637</v>
      </c>
      <c r="EU1" t="s">
        <v>205</v>
      </c>
      <c r="EV1" t="s">
        <v>570</v>
      </c>
      <c r="EW1" t="s">
        <v>638</v>
      </c>
      <c r="EX1" t="s">
        <v>206</v>
      </c>
      <c r="EY1" t="s">
        <v>571</v>
      </c>
      <c r="EZ1" t="s">
        <v>639</v>
      </c>
      <c r="FA1" t="s">
        <v>207</v>
      </c>
      <c r="FB1" t="s">
        <v>572</v>
      </c>
      <c r="FC1" t="s">
        <v>640</v>
      </c>
      <c r="FD1" t="s">
        <v>208</v>
      </c>
      <c r="FE1" t="s">
        <v>573</v>
      </c>
      <c r="FF1" t="s">
        <v>641</v>
      </c>
      <c r="FG1" t="s">
        <v>209</v>
      </c>
      <c r="FH1" t="s">
        <v>574</v>
      </c>
      <c r="FI1" t="s">
        <v>642</v>
      </c>
      <c r="FJ1" t="s">
        <v>210</v>
      </c>
      <c r="FK1" t="s">
        <v>211</v>
      </c>
      <c r="FL1" t="s">
        <v>212</v>
      </c>
      <c r="FM1" t="s">
        <v>213</v>
      </c>
      <c r="FN1" t="s">
        <v>214</v>
      </c>
      <c r="FO1" t="s">
        <v>215</v>
      </c>
      <c r="FP1" t="s">
        <v>216</v>
      </c>
      <c r="FQ1" t="s">
        <v>217</v>
      </c>
      <c r="FR1" t="s">
        <v>218</v>
      </c>
      <c r="FS1" t="s">
        <v>219</v>
      </c>
      <c r="FT1" t="s">
        <v>220</v>
      </c>
      <c r="FU1" t="s">
        <v>221</v>
      </c>
      <c r="FV1" t="s">
        <v>1664</v>
      </c>
      <c r="FW1" t="s">
        <v>222</v>
      </c>
      <c r="FX1" t="s">
        <v>603</v>
      </c>
      <c r="FY1" t="s">
        <v>605</v>
      </c>
      <c r="FZ1" t="s">
        <v>623</v>
      </c>
      <c r="GA1" t="s">
        <v>604</v>
      </c>
      <c r="GB1" t="s">
        <v>606</v>
      </c>
      <c r="GC1" t="s">
        <v>624</v>
      </c>
      <c r="GD1" t="s">
        <v>25</v>
      </c>
      <c r="GE1" t="s">
        <v>26</v>
      </c>
      <c r="GF1" t="s">
        <v>24</v>
      </c>
      <c r="GG1" t="s">
        <v>27</v>
      </c>
      <c r="GH1" t="s">
        <v>395</v>
      </c>
      <c r="GI1" t="s">
        <v>28</v>
      </c>
      <c r="GJ1" t="s">
        <v>29</v>
      </c>
      <c r="GK1" t="s">
        <v>180</v>
      </c>
      <c r="GL1" t="s">
        <v>402</v>
      </c>
      <c r="GM1" t="s">
        <v>30</v>
      </c>
      <c r="GN1" t="s">
        <v>31</v>
      </c>
      <c r="GO1" t="s">
        <v>404</v>
      </c>
      <c r="GP1" t="s">
        <v>32</v>
      </c>
      <c r="GQ1" t="s">
        <v>33</v>
      </c>
      <c r="GR1" t="s">
        <v>34</v>
      </c>
      <c r="GS1" t="s">
        <v>35</v>
      </c>
      <c r="GT1" t="s">
        <v>36</v>
      </c>
      <c r="GU1" t="s">
        <v>37</v>
      </c>
      <c r="GV1" t="s">
        <v>38</v>
      </c>
      <c r="GW1" t="s">
        <v>39</v>
      </c>
      <c r="GX1" t="s">
        <v>40</v>
      </c>
      <c r="GY1" t="s">
        <v>41</v>
      </c>
      <c r="GZ1" t="s">
        <v>42</v>
      </c>
      <c r="HA1" t="s">
        <v>43</v>
      </c>
      <c r="HB1" t="s">
        <v>44</v>
      </c>
      <c r="HC1" t="s">
        <v>338</v>
      </c>
      <c r="HD1" t="s">
        <v>45</v>
      </c>
      <c r="HE1" t="s">
        <v>46</v>
      </c>
      <c r="HF1" t="s">
        <v>47</v>
      </c>
      <c r="HG1" t="s">
        <v>48</v>
      </c>
      <c r="HH1" t="s">
        <v>49</v>
      </c>
      <c r="HI1" t="s">
        <v>50</v>
      </c>
      <c r="HJ1" t="s">
        <v>51</v>
      </c>
      <c r="HK1" t="s">
        <v>52</v>
      </c>
      <c r="HL1" t="s">
        <v>53</v>
      </c>
      <c r="HM1" t="s">
        <v>54</v>
      </c>
      <c r="HN1" t="s">
        <v>55</v>
      </c>
      <c r="HO1" t="s">
        <v>56</v>
      </c>
      <c r="HP1" t="s">
        <v>57</v>
      </c>
      <c r="HQ1" t="s">
        <v>58</v>
      </c>
      <c r="HR1" t="s">
        <v>59</v>
      </c>
      <c r="HS1" t="s">
        <v>60</v>
      </c>
      <c r="HT1" t="s">
        <v>61</v>
      </c>
      <c r="HU1" t="s">
        <v>62</v>
      </c>
      <c r="HV1" t="s">
        <v>63</v>
      </c>
      <c r="HW1" t="s">
        <v>64</v>
      </c>
      <c r="HX1" t="s">
        <v>65</v>
      </c>
      <c r="HY1" t="s">
        <v>66</v>
      </c>
      <c r="HZ1" t="s">
        <v>67</v>
      </c>
      <c r="IA1" t="s">
        <v>68</v>
      </c>
      <c r="IB1" t="s">
        <v>69</v>
      </c>
      <c r="IC1" t="s">
        <v>70</v>
      </c>
      <c r="ID1" t="s">
        <v>71</v>
      </c>
      <c r="IE1" t="s">
        <v>72</v>
      </c>
      <c r="IF1" t="s">
        <v>73</v>
      </c>
      <c r="IG1" t="s">
        <v>14</v>
      </c>
      <c r="IH1" t="s">
        <v>74</v>
      </c>
      <c r="II1" t="s">
        <v>75</v>
      </c>
      <c r="IJ1" t="s">
        <v>76</v>
      </c>
      <c r="IK1" t="s">
        <v>77</v>
      </c>
      <c r="IL1" t="s">
        <v>78</v>
      </c>
      <c r="IM1" t="s">
        <v>79</v>
      </c>
      <c r="IN1" t="s">
        <v>80</v>
      </c>
      <c r="IO1" t="s">
        <v>21</v>
      </c>
      <c r="IP1" t="s">
        <v>413</v>
      </c>
      <c r="IQ1" t="s">
        <v>586</v>
      </c>
      <c r="IR1" t="s">
        <v>588</v>
      </c>
      <c r="IS1" t="s">
        <v>591</v>
      </c>
      <c r="IT1" t="s">
        <v>594</v>
      </c>
      <c r="IU1" t="s">
        <v>597</v>
      </c>
      <c r="IV1" t="s">
        <v>600</v>
      </c>
      <c r="IW1" t="s">
        <v>691</v>
      </c>
      <c r="IX1" t="s">
        <v>696</v>
      </c>
      <c r="IY1" t="s">
        <v>699</v>
      </c>
      <c r="IZ1" t="s">
        <v>700</v>
      </c>
      <c r="JA1" t="s">
        <v>701</v>
      </c>
      <c r="JB1" t="s">
        <v>803</v>
      </c>
      <c r="JC1" t="s">
        <v>804</v>
      </c>
      <c r="JD1" t="s">
        <v>702</v>
      </c>
      <c r="JE1" t="s">
        <v>703</v>
      </c>
      <c r="JF1" t="s">
        <v>704</v>
      </c>
      <c r="JG1" t="s">
        <v>705</v>
      </c>
      <c r="JH1" t="s">
        <v>706</v>
      </c>
      <c r="JI1" t="s">
        <v>707</v>
      </c>
      <c r="JJ1" t="s">
        <v>708</v>
      </c>
      <c r="JK1" t="s">
        <v>712</v>
      </c>
      <c r="JL1" t="s">
        <v>713</v>
      </c>
      <c r="JM1" t="s">
        <v>714</v>
      </c>
      <c r="JN1" t="s">
        <v>709</v>
      </c>
      <c r="JO1" t="s">
        <v>710</v>
      </c>
      <c r="JP1" t="s">
        <v>711</v>
      </c>
      <c r="JQ1" t="s">
        <v>918</v>
      </c>
      <c r="JR1" t="s">
        <v>1674</v>
      </c>
      <c r="JS1" t="s">
        <v>1675</v>
      </c>
      <c r="JT1" t="s">
        <v>1676</v>
      </c>
      <c r="JU1" t="s">
        <v>1677</v>
      </c>
      <c r="JV1" t="s">
        <v>1678</v>
      </c>
      <c r="JW1" t="s">
        <v>1679</v>
      </c>
      <c r="JX1" t="s">
        <v>1680</v>
      </c>
      <c r="JY1" t="s">
        <v>1681</v>
      </c>
      <c r="JZ1" t="s">
        <v>1682</v>
      </c>
      <c r="KA1" t="s">
        <v>1683</v>
      </c>
      <c r="KB1" t="s">
        <v>1684</v>
      </c>
      <c r="KC1" t="s">
        <v>1685</v>
      </c>
      <c r="KD1" t="s">
        <v>2029</v>
      </c>
      <c r="KE1" t="s">
        <v>2031</v>
      </c>
      <c r="KF1" t="s">
        <v>2032</v>
      </c>
      <c r="KG1" t="s">
        <v>2033</v>
      </c>
      <c r="KH1" t="s">
        <v>2034</v>
      </c>
      <c r="KI1" t="s">
        <v>2035</v>
      </c>
      <c r="KJ1" t="s">
        <v>2036</v>
      </c>
      <c r="KK1" t="s">
        <v>2037</v>
      </c>
      <c r="KL1" t="s">
        <v>2038</v>
      </c>
      <c r="KM1" t="s">
        <v>2039</v>
      </c>
      <c r="KN1" t="s">
        <v>2040</v>
      </c>
      <c r="KO1" t="s">
        <v>2041</v>
      </c>
      <c r="KP1" t="s">
        <v>2042</v>
      </c>
      <c r="KQ1" t="s">
        <v>2049</v>
      </c>
      <c r="KR1" t="s">
        <v>2050</v>
      </c>
      <c r="KS1" t="s">
        <v>2051</v>
      </c>
      <c r="KT1" t="s">
        <v>2052</v>
      </c>
      <c r="KU1" t="s">
        <v>2053</v>
      </c>
      <c r="KV1" t="s">
        <v>2054</v>
      </c>
      <c r="KW1" t="s">
        <v>2047</v>
      </c>
      <c r="KX1" t="s">
        <v>2048</v>
      </c>
    </row>
    <row r="2" spans="1:310" x14ac:dyDescent="0.3">
      <c r="B2" t="e">
        <f>VLOOKUP($A$1,BD!$A$2:$IP$209,2, FALSE)</f>
        <v>#REF!</v>
      </c>
      <c r="C2" t="e">
        <f>VLOOKUP($A$1,BD!$A$2:$IP$209,3, FALSE)</f>
        <v>#REF!</v>
      </c>
      <c r="D2" t="e">
        <f>VLOOKUP($A$1,BD!$A$2:$IP$209,4, FALSE)</f>
        <v>#REF!</v>
      </c>
      <c r="E2" t="e">
        <f>VLOOKUP($A$1,BD!$A$2:$IP$209,5, FALSE)</f>
        <v>#REF!</v>
      </c>
      <c r="F2" t="e">
        <f>VLOOKUP($A$1,BD!$A$2:$IP$209,6, FALSE)</f>
        <v>#REF!</v>
      </c>
      <c r="G2" t="e">
        <f>VLOOKUP($A$1,BD!$A$2:$IP$209,7, FALSE)</f>
        <v>#REF!</v>
      </c>
      <c r="H2" t="e">
        <f>VLOOKUP($A$1,BD!$A$2:$IP$209,8, FALSE)</f>
        <v>#REF!</v>
      </c>
      <c r="I2" t="e">
        <f>VLOOKUP($A$1,BD!$A$2:$IP$209,9, FALSE)</f>
        <v>#REF!</v>
      </c>
      <c r="J2" t="e">
        <f>VLOOKUP($A$1,BD!$A$2:$IP$209,10, FALSE)</f>
        <v>#REF!</v>
      </c>
      <c r="K2" t="e">
        <f>VLOOKUP($A$1,BD!$A$2:$IP$209,11, FALSE)</f>
        <v>#REF!</v>
      </c>
      <c r="L2" t="e">
        <f>VLOOKUP($A$1,BD!$A$2:$IP$209,12, FALSE)</f>
        <v>#REF!</v>
      </c>
      <c r="M2" t="e">
        <f>VLOOKUP($A$1,BD!$A$2:$IP$209,13, FALSE)</f>
        <v>#REF!</v>
      </c>
      <c r="N2" t="e">
        <f>VLOOKUP($A$1,BD!$A$2:$IP$209,14, FALSE)</f>
        <v>#REF!</v>
      </c>
      <c r="O2" t="e">
        <f>VLOOKUP($A$1,BD!$A$2:$IP$209,15, FALSE)</f>
        <v>#REF!</v>
      </c>
      <c r="P2" t="e">
        <f>VLOOKUP($A$1,BD!$A$2:$IP$209,16, FALSE)</f>
        <v>#REF!</v>
      </c>
      <c r="Q2" t="e">
        <f>VLOOKUP($A$1,BD!$A$2:$IP$209,17, FALSE)</f>
        <v>#REF!</v>
      </c>
      <c r="R2" t="e">
        <f>VLOOKUP($A$1,BD!$A$2:$IP$209,18, FALSE)</f>
        <v>#REF!</v>
      </c>
      <c r="S2" t="e">
        <f>VLOOKUP($A$1,BD!$A$2:$IP$209,19, FALSE)</f>
        <v>#REF!</v>
      </c>
      <c r="T2" t="e">
        <f>VLOOKUP($A$1,BD!$A$2:$IP$209,20, FALSE)</f>
        <v>#REF!</v>
      </c>
      <c r="U2" t="e">
        <f>VLOOKUP($A$1,BD!$A$2:$IP$209,21, FALSE)</f>
        <v>#REF!</v>
      </c>
      <c r="V2" t="e">
        <f>VLOOKUP($A$1,BD!$A$2:$IP$209,22, FALSE)</f>
        <v>#REF!</v>
      </c>
      <c r="W2" t="e">
        <f>VLOOKUP($A$1,BD!$A$2:$IP$209,23, FALSE)</f>
        <v>#REF!</v>
      </c>
      <c r="X2" t="e">
        <f>VLOOKUP($A$1,BD!$A$2:$IP$209,24, FALSE)</f>
        <v>#REF!</v>
      </c>
      <c r="Y2" t="e">
        <f>VLOOKUP($A$1,BD!$A$2:$IP$209,25, FALSE)</f>
        <v>#REF!</v>
      </c>
      <c r="Z2" t="e">
        <f>VLOOKUP($A$1,BD!$A$2:$IP$209,26, FALSE)</f>
        <v>#REF!</v>
      </c>
      <c r="AA2" t="e">
        <f>VLOOKUP($A$1,BD!$A$2:$IP$209,27, FALSE)</f>
        <v>#REF!</v>
      </c>
      <c r="AB2" t="e">
        <f>VLOOKUP($A$1,BD!$A$2:$IP$209,28, FALSE)</f>
        <v>#REF!</v>
      </c>
      <c r="AC2" t="e">
        <f>VLOOKUP($A$1,BD!$A$2:$IP$209,29, FALSE)</f>
        <v>#REF!</v>
      </c>
      <c r="AD2" t="e">
        <f>VLOOKUP($A$1,BD!$A$2:$IP$209,30, FALSE)</f>
        <v>#REF!</v>
      </c>
      <c r="AE2" t="e">
        <f>VLOOKUP($A$1,BD!$A$2:$IP$209,31, FALSE)</f>
        <v>#REF!</v>
      </c>
      <c r="AF2" t="e">
        <f>VLOOKUP($A$1,BD!$A$2:$IP$209,32, FALSE)</f>
        <v>#REF!</v>
      </c>
      <c r="AG2" t="e">
        <f>VLOOKUP($A$1,BD!$A$2:$IP$209,33, FALSE)</f>
        <v>#REF!</v>
      </c>
      <c r="AH2" t="e">
        <f>VLOOKUP($A$1,BD!$A$2:$IP$209,34, FALSE)</f>
        <v>#REF!</v>
      </c>
      <c r="AI2" t="e">
        <f>VLOOKUP($A$1,BD!$A$2:$IP$209,35, FALSE)</f>
        <v>#REF!</v>
      </c>
      <c r="AJ2" t="e">
        <f>VLOOKUP($A$1,BD!$A$2:$IP$209,36, FALSE)</f>
        <v>#REF!</v>
      </c>
      <c r="AK2" t="e">
        <f>VLOOKUP($A$1,BD!$A$2:$IP$209,37, FALSE)</f>
        <v>#REF!</v>
      </c>
      <c r="AL2" t="e">
        <f>VLOOKUP($A$1,BD!$A$2:$IP$209,38, FALSE)</f>
        <v>#REF!</v>
      </c>
      <c r="AM2" t="e">
        <f>VLOOKUP($A$1,BD!$A$2:$IP$209,39, FALSE)</f>
        <v>#REF!</v>
      </c>
      <c r="AN2" t="e">
        <f>VLOOKUP($A$1,BD!$A$2:$IP$209,40, FALSE)</f>
        <v>#REF!</v>
      </c>
      <c r="AO2" t="e">
        <f>VLOOKUP($A$1,BD!$A$2:$IP$209,41, FALSE)</f>
        <v>#REF!</v>
      </c>
      <c r="AP2" t="e">
        <f>VLOOKUP($A$1,BD!$A$2:$IP$209,42, FALSE)</f>
        <v>#REF!</v>
      </c>
      <c r="AQ2" t="e">
        <f>VLOOKUP($A$1,BD!$A$2:$IP$209,43, FALSE)</f>
        <v>#REF!</v>
      </c>
      <c r="AR2" t="e">
        <f>VLOOKUP($A$1,BD!$A$2:$IP$209,44, FALSE)</f>
        <v>#REF!</v>
      </c>
      <c r="AS2" t="e">
        <f>VLOOKUP($A$1,BD!$A$2:$IP$209,45, FALSE)</f>
        <v>#REF!</v>
      </c>
      <c r="AT2" t="e">
        <f>VLOOKUP($A$1,BD!$A$2:$IP$209,46, FALSE)</f>
        <v>#REF!</v>
      </c>
      <c r="AU2" t="e">
        <f>VLOOKUP($A$1,BD!$A$2:$IP$209,47, FALSE)</f>
        <v>#REF!</v>
      </c>
      <c r="AV2" t="e">
        <f>VLOOKUP($A$1,BD!$A$2:$IP$209,48, FALSE)</f>
        <v>#REF!</v>
      </c>
      <c r="AW2" t="e">
        <f>VLOOKUP($A$1,BD!$A$2:$IP$209,49, FALSE)</f>
        <v>#REF!</v>
      </c>
      <c r="AX2" t="e">
        <f>VLOOKUP($A$1,BD!$A$2:$IP$209,50, FALSE)</f>
        <v>#REF!</v>
      </c>
      <c r="AY2" t="e">
        <f>VLOOKUP($A$1,BD!$A$2:$IP$209,51, FALSE)</f>
        <v>#REF!</v>
      </c>
      <c r="AZ2" t="e">
        <f>VLOOKUP($A$1,BD!$A$2:$IP$209,52, FALSE)</f>
        <v>#REF!</v>
      </c>
      <c r="BA2" t="e">
        <f>VLOOKUP($A$1,BD!$A$2:$IP$209,53, FALSE)</f>
        <v>#REF!</v>
      </c>
      <c r="BB2" t="e">
        <f>VLOOKUP($A$1,BD!$A$2:$IP$209,54, FALSE)</f>
        <v>#REF!</v>
      </c>
      <c r="BC2" t="e">
        <f>VLOOKUP($A$1,BD!$A$2:$IP$209,55, FALSE)</f>
        <v>#REF!</v>
      </c>
      <c r="BD2" t="e">
        <f>VLOOKUP($A$1,BD!$A$2:$IP$209,56, FALSE)</f>
        <v>#REF!</v>
      </c>
      <c r="BE2" t="e">
        <f>VLOOKUP($A$1,BD!$A$2:$IP$209,57, FALSE)</f>
        <v>#REF!</v>
      </c>
      <c r="BF2" t="e">
        <f>VLOOKUP($A$1,BD!$A$2:$IP$209,58, FALSE)</f>
        <v>#REF!</v>
      </c>
      <c r="BG2" t="e">
        <f>VLOOKUP($A$1,BD!$A$2:$IP$209,59, FALSE)</f>
        <v>#REF!</v>
      </c>
      <c r="BH2" t="e">
        <f>VLOOKUP($A$1,BD!$A$2:$IP$209,60, FALSE)</f>
        <v>#REF!</v>
      </c>
      <c r="BI2" t="e">
        <f>VLOOKUP($A$1,BD!$A$2:$IP$209,61, FALSE)</f>
        <v>#REF!</v>
      </c>
      <c r="BJ2" t="e">
        <f>VLOOKUP($A$1,BD!$A$2:$IP$209,62, FALSE)</f>
        <v>#REF!</v>
      </c>
      <c r="BK2" t="e">
        <f>VLOOKUP($A$1,BD!$A$2:$IP$209,63, FALSE)</f>
        <v>#REF!</v>
      </c>
      <c r="BL2" t="e">
        <f>VLOOKUP($A$1,BD!$A$2:$IP$209,64, FALSE)</f>
        <v>#REF!</v>
      </c>
      <c r="BM2" t="e">
        <f>VLOOKUP($A$1,BD!$A$2:$IP$209,65, FALSE)</f>
        <v>#REF!</v>
      </c>
      <c r="BN2" t="e">
        <f>VLOOKUP($A$1,BD!$A$2:$IP$209,66, FALSE)</f>
        <v>#REF!</v>
      </c>
      <c r="BO2" t="e">
        <f>VLOOKUP($A$1,BD!$A$2:$IP$209,67, FALSE)</f>
        <v>#REF!</v>
      </c>
      <c r="BP2" t="e">
        <f>VLOOKUP($A$1,BD!$A$2:$IP$209,68, FALSE)</f>
        <v>#REF!</v>
      </c>
      <c r="BQ2" t="e">
        <f>VLOOKUP($A$1,BD!$A$2:$IP$209,69, FALSE)</f>
        <v>#REF!</v>
      </c>
      <c r="BR2" t="e">
        <f>VLOOKUP($A$1,BD!$A$2:$IP$209,70, FALSE)</f>
        <v>#REF!</v>
      </c>
      <c r="BS2" t="e">
        <f>VLOOKUP($A$1,BD!$A$2:$IP$209,71, FALSE)</f>
        <v>#REF!</v>
      </c>
      <c r="BT2" t="e">
        <f>VLOOKUP($A$1,BD!$A$2:$IP$209,72, FALSE)</f>
        <v>#REF!</v>
      </c>
      <c r="BU2" t="e">
        <f>VLOOKUP($A$1,BD!$A$2:$IP$209,73, FALSE)</f>
        <v>#REF!</v>
      </c>
      <c r="BV2" t="e">
        <f>VLOOKUP($A$1,BD!$A$2:$IP$209,74, FALSE)</f>
        <v>#REF!</v>
      </c>
      <c r="BW2" t="e">
        <f>VLOOKUP($A$1,BD!$A$2:$IP$209,75, FALSE)</f>
        <v>#REF!</v>
      </c>
      <c r="BX2" t="e">
        <f>VLOOKUP($A$1,BD!$A$2:$IP$209,76, FALSE)</f>
        <v>#REF!</v>
      </c>
      <c r="BY2" t="e">
        <f>VLOOKUP($A$1,BD!$A$2:$IP$209,77, FALSE)</f>
        <v>#REF!</v>
      </c>
      <c r="BZ2" t="e">
        <f>VLOOKUP($A$1,BD!$A$2:$IP$209,78, FALSE)</f>
        <v>#REF!</v>
      </c>
      <c r="CA2" t="e">
        <f>VLOOKUP($A$1,BD!$A$2:$IP$209,79, FALSE)</f>
        <v>#REF!</v>
      </c>
      <c r="CB2" t="e">
        <f>VLOOKUP($A$1,BD!$A$2:$IP$209,80, FALSE)</f>
        <v>#REF!</v>
      </c>
      <c r="CC2" t="e">
        <f>VLOOKUP($A$1,BD!$A$2:$IP$209,81, FALSE)</f>
        <v>#REF!</v>
      </c>
      <c r="CD2" t="e">
        <f>VLOOKUP($A$1,BD!$A$2:$IP$209,82, FALSE)</f>
        <v>#REF!</v>
      </c>
      <c r="CE2" t="e">
        <f>VLOOKUP($A$1,BD!$A$2:$IP$209,83, FALSE)</f>
        <v>#REF!</v>
      </c>
      <c r="CF2" t="e">
        <f>VLOOKUP($A$1,BD!$A$2:$IP$209,84, FALSE)</f>
        <v>#REF!</v>
      </c>
      <c r="CG2" t="e">
        <f>VLOOKUP($A$1,BD!$A$2:$IP$209,85, FALSE)</f>
        <v>#REF!</v>
      </c>
      <c r="CH2" t="e">
        <f>VLOOKUP($A$1,BD!$A$2:$IP$209,86, FALSE)</f>
        <v>#REF!</v>
      </c>
      <c r="CI2" t="e">
        <f>VLOOKUP($A$1,BD!$A$2:$IP$209,87, FALSE)</f>
        <v>#REF!</v>
      </c>
      <c r="CJ2" t="e">
        <f>VLOOKUP($A$1,BD!$A$2:$IP$209,88, FALSE)</f>
        <v>#REF!</v>
      </c>
      <c r="CK2" t="e">
        <f>VLOOKUP($A$1,BD!$A$2:$IP$209,89, FALSE)</f>
        <v>#REF!</v>
      </c>
      <c r="CL2" t="e">
        <f>VLOOKUP($A$1,BD!$A$2:$IP$209,90, FALSE)</f>
        <v>#REF!</v>
      </c>
      <c r="CM2" t="e">
        <f>VLOOKUP($A$1,BD!$A$2:$IP$209,91, FALSE)</f>
        <v>#REF!</v>
      </c>
      <c r="CN2" t="e">
        <f>VLOOKUP($A$1,BD!$A$2:$IP$209,92, FALSE)</f>
        <v>#REF!</v>
      </c>
      <c r="CO2" t="e">
        <f>VLOOKUP($A$1,BD!$A$2:$IP$209,93, FALSE)</f>
        <v>#REF!</v>
      </c>
      <c r="CP2" t="e">
        <f>VLOOKUP($A$1,BD!$A$2:$IP$209,94, FALSE)</f>
        <v>#REF!</v>
      </c>
      <c r="CQ2" t="e">
        <f>VLOOKUP($A$1,BD!$A$2:$IP$209,95, FALSE)</f>
        <v>#REF!</v>
      </c>
      <c r="CR2" t="e">
        <f>VLOOKUP($A$1,BD!$A$2:$IP$209,96, FALSE)</f>
        <v>#REF!</v>
      </c>
      <c r="CS2" t="e">
        <f>VLOOKUP($A$1,BD!$A$2:$IP$209,97, FALSE)</f>
        <v>#REF!</v>
      </c>
      <c r="CT2" t="e">
        <f>VLOOKUP($A$1,BD!$A$2:$IP$209,98, FALSE)</f>
        <v>#REF!</v>
      </c>
      <c r="CU2" t="e">
        <f>VLOOKUP($A$1,BD!$A$2:$IP$209,99, FALSE)</f>
        <v>#REF!</v>
      </c>
      <c r="CV2" t="e">
        <f>VLOOKUP($A$1,BD!$A$2:$IP$209,100, FALSE)</f>
        <v>#REF!</v>
      </c>
      <c r="CW2" t="e">
        <f>VLOOKUP($A$1,BD!$A$2:$IP$209,101, FALSE)</f>
        <v>#REF!</v>
      </c>
      <c r="CX2" t="e">
        <f>VLOOKUP($A$1,BD!$A$2:$IP$209,102, FALSE)</f>
        <v>#REF!</v>
      </c>
      <c r="CY2" t="e">
        <f>VLOOKUP($A$1,BD!$A$2:$IP$209,103, FALSE)</f>
        <v>#REF!</v>
      </c>
      <c r="CZ2" t="e">
        <f>VLOOKUP($A$1,BD!$A$2:$IP$209,104, FALSE)</f>
        <v>#REF!</v>
      </c>
      <c r="DA2" t="e">
        <f>VLOOKUP($A$1,BD!$A$2:$IP$209,105, FALSE)</f>
        <v>#REF!</v>
      </c>
      <c r="DB2" t="e">
        <f>VLOOKUP($A$1,BD!$A$2:$IP$209,106, FALSE)</f>
        <v>#REF!</v>
      </c>
      <c r="DC2" t="e">
        <f>VLOOKUP($A$1,BD!$A$2:$IP$209,107, FALSE)</f>
        <v>#REF!</v>
      </c>
      <c r="DD2" t="e">
        <f>VLOOKUP($A$1,BD!$A$2:$IP$209,108, FALSE)</f>
        <v>#REF!</v>
      </c>
      <c r="DE2" t="e">
        <f>VLOOKUP($A$1,BD!$A$2:$IP$209,109, FALSE)</f>
        <v>#REF!</v>
      </c>
      <c r="DF2" t="e">
        <f>VLOOKUP($A$1,BD!$A$2:$IP$209,110, FALSE)</f>
        <v>#REF!</v>
      </c>
      <c r="DG2" t="e">
        <f>VLOOKUP($A$1,BD!$A$2:$IP$209,111, FALSE)</f>
        <v>#REF!</v>
      </c>
      <c r="DH2" t="e">
        <f>VLOOKUP($A$1,BD!$A$2:$IP$209,112, FALSE)</f>
        <v>#REF!</v>
      </c>
      <c r="DI2" t="e">
        <f>VLOOKUP($A$1,BD!$A$2:$IP$209,113, FALSE)</f>
        <v>#REF!</v>
      </c>
      <c r="DJ2" t="e">
        <f>VLOOKUP($A$1,BD!$A$2:$IP$209,114, FALSE)</f>
        <v>#REF!</v>
      </c>
      <c r="DK2" t="e">
        <f>VLOOKUP($A$1,BD!$A$2:$IP$209,115, FALSE)</f>
        <v>#REF!</v>
      </c>
      <c r="DL2" t="e">
        <f>VLOOKUP($A$1,BD!$A$2:$IP$209,116, FALSE)</f>
        <v>#REF!</v>
      </c>
      <c r="DM2" t="e">
        <f>VLOOKUP($A$1,BD!$A$2:$IP$209,117, FALSE)</f>
        <v>#REF!</v>
      </c>
      <c r="DN2" s="4" t="e">
        <f>VLOOKUP($A$1,BD!$A$2:$IP$209,118, FALSE)</f>
        <v>#REF!</v>
      </c>
      <c r="DO2" t="e">
        <f>VLOOKUP($A$1,BD!$A$2:$IP$209,119, FALSE)</f>
        <v>#REF!</v>
      </c>
      <c r="DP2" t="e">
        <f>VLOOKUP($A$1,BD!$A$2:$IP$209,120, FALSE)</f>
        <v>#REF!</v>
      </c>
      <c r="DQ2" s="4" t="e">
        <f>VLOOKUP($A$1,BD!$A$2:$IP$209,121, FALSE)</f>
        <v>#REF!</v>
      </c>
      <c r="DR2" t="e">
        <f>VLOOKUP($A$1,BD!$A$2:$IP$209,122, FALSE)</f>
        <v>#REF!</v>
      </c>
      <c r="DS2" t="e">
        <f>VLOOKUP($A$1,BD!$A$2:$IP$209,123, FALSE)</f>
        <v>#REF!</v>
      </c>
      <c r="DT2" s="4" t="e">
        <f>VLOOKUP($A$1,BD!$A$2:$IP$209,124, FALSE)</f>
        <v>#REF!</v>
      </c>
      <c r="DU2" t="e">
        <f>VLOOKUP($A$1,BD!$A$2:$IP$209,125, FALSE)</f>
        <v>#REF!</v>
      </c>
      <c r="DV2" t="e">
        <f>VLOOKUP($A$1,BD!$A$2:$IP$209,126, FALSE)</f>
        <v>#REF!</v>
      </c>
      <c r="DW2" s="4" t="e">
        <f>VLOOKUP($A$1,BD!$A$2:$IP$209,127, FALSE)</f>
        <v>#REF!</v>
      </c>
      <c r="DX2" t="e">
        <f>VLOOKUP($A$1,BD!$A$2:$IP$209,128, FALSE)</f>
        <v>#REF!</v>
      </c>
      <c r="DY2" t="e">
        <f>VLOOKUP($A$1,BD!$A$2:$IP$209,129, FALSE)</f>
        <v>#REF!</v>
      </c>
      <c r="DZ2" t="e">
        <f>VLOOKUP($A$1,BD!$A$2:$IP$209,130, FALSE)</f>
        <v>#REF!</v>
      </c>
      <c r="EA2" t="e">
        <f>VLOOKUP($A$1,BD!$A$2:$IP$209,131, FALSE)</f>
        <v>#REF!</v>
      </c>
      <c r="EB2" t="e">
        <f>VLOOKUP($A$1,BD!$A$2:$IP$209,132, FALSE)</f>
        <v>#REF!</v>
      </c>
      <c r="EC2" t="e">
        <f>VLOOKUP($A$1,BD!$A$2:$IP$209,133, FALSE)</f>
        <v>#REF!</v>
      </c>
      <c r="ED2" t="e">
        <f>VLOOKUP($A$1,BD!$A$2:$IP$209,134, FALSE)</f>
        <v>#REF!</v>
      </c>
      <c r="EE2" t="e">
        <f>VLOOKUP($A$1,BD!$A$2:$IP$209,135, FALSE)</f>
        <v>#REF!</v>
      </c>
      <c r="EF2" t="e">
        <f>VLOOKUP($A$1,BD!$A$2:$IP$209,136, FALSE)</f>
        <v>#REF!</v>
      </c>
      <c r="EG2" t="e">
        <f>VLOOKUP($A$1,BD!$A$2:$IP$209,137, FALSE)</f>
        <v>#REF!</v>
      </c>
      <c r="EH2" t="e">
        <f>VLOOKUP($A$1,BD!$A$2:$IP$209,138, FALSE)</f>
        <v>#REF!</v>
      </c>
      <c r="EI2" t="e">
        <f>VLOOKUP($A$1,BD!$A$2:$IP$209,139, FALSE)</f>
        <v>#REF!</v>
      </c>
      <c r="EJ2" t="e">
        <f>VLOOKUP($A$1,BD!$A$2:$IP$209,140, FALSE)</f>
        <v>#REF!</v>
      </c>
      <c r="EK2" t="e">
        <f>VLOOKUP($A$1,BD!$A$2:$IP$209,141, FALSE)</f>
        <v>#REF!</v>
      </c>
      <c r="EL2" t="e">
        <f>VLOOKUP($A$1,BD!$A$2:$IP$209,142, FALSE)</f>
        <v>#REF!</v>
      </c>
      <c r="EM2" t="e">
        <f>VLOOKUP($A$1,BD!$A$2:$IP$209,143, FALSE)</f>
        <v>#REF!</v>
      </c>
      <c r="EN2" t="e">
        <f>VLOOKUP($A$1,BD!$A$2:$IP$209,144, FALSE)</f>
        <v>#REF!</v>
      </c>
      <c r="EO2" t="e">
        <f>VLOOKUP($A$1,BD!$A$2:$IP$209,145, FALSE)</f>
        <v>#REF!</v>
      </c>
      <c r="EP2" t="e">
        <f>VLOOKUP($A$1,BD!$A$2:$IP$209,146, FALSE)</f>
        <v>#REF!</v>
      </c>
      <c r="EQ2" t="e">
        <f>VLOOKUP($A$1,BD!$A$2:$IP$209,147, FALSE)</f>
        <v>#REF!</v>
      </c>
      <c r="ER2" t="e">
        <f>VLOOKUP($A$1,BD!$A$2:$IP$209,148, FALSE)</f>
        <v>#REF!</v>
      </c>
      <c r="ES2" t="e">
        <f>VLOOKUP($A$1,BD!$A$2:$IP$209,149, FALSE)</f>
        <v>#REF!</v>
      </c>
      <c r="ET2" t="e">
        <f>VLOOKUP($A$1,BD!$A$2:$IP$209,150, FALSE)</f>
        <v>#REF!</v>
      </c>
      <c r="EU2" t="e">
        <f>VLOOKUP($A$1,BD!$A$2:$IP$209,151, FALSE)</f>
        <v>#REF!</v>
      </c>
      <c r="EV2" t="e">
        <f>VLOOKUP($A$1,BD!$A$2:$IP$209,152, FALSE)</f>
        <v>#REF!</v>
      </c>
      <c r="EW2" t="e">
        <f>VLOOKUP($A$1,BD!$A$2:$IP$209,153, FALSE)</f>
        <v>#REF!</v>
      </c>
      <c r="EX2" t="e">
        <f>VLOOKUP($A$1,BD!$A$2:$IP$209,154, FALSE)</f>
        <v>#REF!</v>
      </c>
      <c r="EY2" t="e">
        <f>VLOOKUP($A$1,BD!$A$2:$IP$209,155, FALSE)</f>
        <v>#REF!</v>
      </c>
      <c r="EZ2" t="e">
        <f>VLOOKUP($A$1,BD!$A$2:$IP$209,156, FALSE)</f>
        <v>#REF!</v>
      </c>
      <c r="FA2" t="e">
        <f>VLOOKUP($A$1,BD!$A$2:$IP$209,157, FALSE)</f>
        <v>#REF!</v>
      </c>
      <c r="FB2" t="e">
        <f>VLOOKUP($A$1,BD!$A$2:$IP$209,158, FALSE)</f>
        <v>#REF!</v>
      </c>
      <c r="FC2" t="e">
        <f>VLOOKUP($A$1,BD!$A$2:$IP$209,159, FALSE)</f>
        <v>#REF!</v>
      </c>
      <c r="FD2" t="e">
        <f>VLOOKUP($A$1,BD!$A$2:$IP$209,160, FALSE)</f>
        <v>#REF!</v>
      </c>
      <c r="FE2" t="e">
        <f>VLOOKUP($A$1,BD!$A$2:$IP$209,161, FALSE)</f>
        <v>#REF!</v>
      </c>
      <c r="FF2" t="e">
        <f>VLOOKUP($A$1,BD!$A$2:$IP$209,162, FALSE)</f>
        <v>#REF!</v>
      </c>
      <c r="FG2" t="e">
        <f>VLOOKUP($A$1,BD!$A$2:$IP$209,163, FALSE)</f>
        <v>#REF!</v>
      </c>
      <c r="FH2" t="e">
        <f>VLOOKUP($A$1,BD!$A$2:$IP$209,164, FALSE)</f>
        <v>#REF!</v>
      </c>
      <c r="FI2" t="e">
        <f>VLOOKUP($A$1,BD!$A$2:$IP$209,165, FALSE)</f>
        <v>#REF!</v>
      </c>
      <c r="FJ2" t="e">
        <f>VLOOKUP($A$1,BD!$A$2:$IP$209,166, FALSE)</f>
        <v>#REF!</v>
      </c>
      <c r="FK2" t="e">
        <f>VLOOKUP($A$1,BD!$A$2:$IP$209,167, FALSE)</f>
        <v>#REF!</v>
      </c>
      <c r="FL2" t="e">
        <f>VLOOKUP($A$1,BD!$A$2:$IP$209,168, FALSE)</f>
        <v>#REF!</v>
      </c>
      <c r="FM2" t="e">
        <f>VLOOKUP($A$1,BD!$A$2:$IP$209,169, FALSE)</f>
        <v>#REF!</v>
      </c>
      <c r="FN2" t="e">
        <f>VLOOKUP($A$1,BD!$A$2:$IP$209,170, FALSE)</f>
        <v>#REF!</v>
      </c>
      <c r="FO2" t="e">
        <f>VLOOKUP($A$1,BD!$A$2:$IP$209,171, FALSE)</f>
        <v>#REF!</v>
      </c>
      <c r="FP2" t="e">
        <f>VLOOKUP($A$1,BD!$A$2:$IP$209,172, FALSE)</f>
        <v>#REF!</v>
      </c>
      <c r="FQ2" t="e">
        <f>VLOOKUP($A$1,BD!$A$2:$IP$209,173, FALSE)</f>
        <v>#REF!</v>
      </c>
      <c r="FR2" t="e">
        <f>VLOOKUP($A$1,BD!$A$2:$IP$209,174, FALSE)</f>
        <v>#REF!</v>
      </c>
      <c r="FS2" t="e">
        <f>VLOOKUP($A$1,BD!$A$2:$IP$209,175, FALSE)</f>
        <v>#REF!</v>
      </c>
      <c r="FT2" t="e">
        <f>VLOOKUP($A$1,BD!$A$2:$IP$209,176, FALSE)</f>
        <v>#REF!</v>
      </c>
      <c r="FU2" t="e">
        <f>VLOOKUP($A$1,BD!$A$2:$IP$209,177, FALSE)</f>
        <v>#REF!</v>
      </c>
      <c r="FV2" t="e">
        <f>VLOOKUP($A$1,BD!$A$2:$IP$209,178, FALSE)</f>
        <v>#REF!</v>
      </c>
      <c r="FW2" t="e">
        <f>VLOOKUP($A$1,BD!$A$2:$IP$209,179, FALSE)</f>
        <v>#REF!</v>
      </c>
      <c r="FX2" t="e">
        <f>VLOOKUP($A$1,BD!$A$2:$IP$209,180, FALSE)</f>
        <v>#REF!</v>
      </c>
      <c r="FY2" t="e">
        <f>VLOOKUP($A$1,BD!$A$2:$IP$209,181, FALSE)</f>
        <v>#REF!</v>
      </c>
      <c r="FZ2" t="e">
        <f>VLOOKUP($A$1,BD!$A$2:$IP$209,182, FALSE)</f>
        <v>#REF!</v>
      </c>
      <c r="GA2" t="e">
        <f>VLOOKUP($A$1,BD!$A$2:$IP$209,183, FALSE)</f>
        <v>#REF!</v>
      </c>
      <c r="GB2" t="e">
        <f>VLOOKUP($A$1,BD!$A$2:$IP$209,184, FALSE)</f>
        <v>#REF!</v>
      </c>
      <c r="GC2" t="e">
        <f>VLOOKUP($A$1,BD!$A$2:$IP$209,185, FALSE)</f>
        <v>#REF!</v>
      </c>
      <c r="GD2" t="s">
        <v>81</v>
      </c>
      <c r="GE2" t="s">
        <v>82</v>
      </c>
      <c r="GF2" t="s">
        <v>83</v>
      </c>
      <c r="GG2" t="s">
        <v>806</v>
      </c>
      <c r="GH2" t="s">
        <v>396</v>
      </c>
      <c r="GI2" t="s">
        <v>84</v>
      </c>
      <c r="GJ2" t="s">
        <v>85</v>
      </c>
      <c r="GK2" t="s">
        <v>400</v>
      </c>
      <c r="GL2" t="s">
        <v>403</v>
      </c>
      <c r="GM2" t="s">
        <v>86</v>
      </c>
      <c r="GN2" t="s">
        <v>87</v>
      </c>
      <c r="GO2" t="s">
        <v>405</v>
      </c>
      <c r="GP2" t="s">
        <v>807</v>
      </c>
      <c r="GQ2" t="s">
        <v>808</v>
      </c>
      <c r="GR2" t="s">
        <v>809</v>
      </c>
      <c r="GS2" t="s">
        <v>810</v>
      </c>
      <c r="GT2" t="s">
        <v>811</v>
      </c>
      <c r="GU2" t="s">
        <v>815</v>
      </c>
      <c r="GV2" t="s">
        <v>88</v>
      </c>
      <c r="GW2" t="s">
        <v>89</v>
      </c>
      <c r="GX2" t="s">
        <v>90</v>
      </c>
      <c r="GY2" t="s">
        <v>91</v>
      </c>
      <c r="GZ2" t="s">
        <v>92</v>
      </c>
      <c r="HA2" t="s">
        <v>93</v>
      </c>
      <c r="HB2" t="s">
        <v>94</v>
      </c>
      <c r="HC2" t="s">
        <v>95</v>
      </c>
      <c r="HD2" t="s">
        <v>96</v>
      </c>
      <c r="HE2" t="s">
        <v>97</v>
      </c>
      <c r="HF2" t="s">
        <v>98</v>
      </c>
      <c r="HG2" t="s">
        <v>99</v>
      </c>
      <c r="HH2" t="s">
        <v>100</v>
      </c>
      <c r="HI2" t="s">
        <v>101</v>
      </c>
      <c r="HJ2" t="s">
        <v>1673</v>
      </c>
      <c r="HK2" t="s">
        <v>102</v>
      </c>
      <c r="HL2" t="s">
        <v>103</v>
      </c>
      <c r="HM2" t="s">
        <v>104</v>
      </c>
      <c r="HN2" t="s">
        <v>105</v>
      </c>
      <c r="HO2" t="s">
        <v>106</v>
      </c>
      <c r="HP2" t="s">
        <v>107</v>
      </c>
      <c r="HQ2" t="s">
        <v>108</v>
      </c>
      <c r="HR2" t="s">
        <v>109</v>
      </c>
      <c r="HS2" t="s">
        <v>110</v>
      </c>
      <c r="HT2" t="s">
        <v>111</v>
      </c>
      <c r="HU2" t="s">
        <v>112</v>
      </c>
      <c r="HV2" t="s">
        <v>113</v>
      </c>
      <c r="HW2" t="s">
        <v>114</v>
      </c>
      <c r="HX2" t="s">
        <v>115</v>
      </c>
      <c r="HY2" t="s">
        <v>116</v>
      </c>
      <c r="HZ2" t="s">
        <v>117</v>
      </c>
      <c r="IA2" t="s">
        <v>118</v>
      </c>
      <c r="IB2" t="s">
        <v>119</v>
      </c>
      <c r="IC2" t="s">
        <v>120</v>
      </c>
      <c r="ID2" t="s">
        <v>121</v>
      </c>
      <c r="IE2" t="s">
        <v>122</v>
      </c>
      <c r="IF2" t="s">
        <v>123</v>
      </c>
      <c r="IG2" t="s">
        <v>124</v>
      </c>
      <c r="IH2" t="s">
        <v>125</v>
      </c>
      <c r="II2" t="s">
        <v>126</v>
      </c>
      <c r="IJ2" t="s">
        <v>127</v>
      </c>
      <c r="IK2" t="s">
        <v>128</v>
      </c>
      <c r="IL2" t="s">
        <v>129</v>
      </c>
      <c r="IM2" t="s">
        <v>130</v>
      </c>
      <c r="IN2" t="s">
        <v>131</v>
      </c>
      <c r="IO2" t="s">
        <v>412</v>
      </c>
      <c r="IP2" t="s">
        <v>414</v>
      </c>
      <c r="IQ2" t="s">
        <v>587</v>
      </c>
      <c r="IR2" t="s">
        <v>1670</v>
      </c>
      <c r="IS2" t="s">
        <v>592</v>
      </c>
      <c r="IT2" t="s">
        <v>595</v>
      </c>
      <c r="IU2" t="s">
        <v>598</v>
      </c>
      <c r="IV2" t="s">
        <v>601</v>
      </c>
      <c r="IW2" t="s">
        <v>692</v>
      </c>
      <c r="IX2" t="s">
        <v>697</v>
      </c>
      <c r="IY2" t="s">
        <v>1580</v>
      </c>
      <c r="IZ2" t="s">
        <v>1581</v>
      </c>
      <c r="JA2" t="s">
        <v>715</v>
      </c>
      <c r="JB2" t="s">
        <v>812</v>
      </c>
      <c r="JC2" t="s">
        <v>813</v>
      </c>
      <c r="JD2" t="s">
        <v>716</v>
      </c>
      <c r="JE2" t="s">
        <v>717</v>
      </c>
      <c r="JF2" t="s">
        <v>718</v>
      </c>
      <c r="JG2" t="s">
        <v>719</v>
      </c>
      <c r="JH2" t="s">
        <v>720</v>
      </c>
      <c r="JI2" t="s">
        <v>721</v>
      </c>
      <c r="JJ2" t="s">
        <v>722</v>
      </c>
      <c r="JK2" t="s">
        <v>723</v>
      </c>
      <c r="JL2" t="s">
        <v>724</v>
      </c>
      <c r="JM2" t="s">
        <v>725</v>
      </c>
      <c r="JN2" t="s">
        <v>726</v>
      </c>
      <c r="JO2" t="s">
        <v>727</v>
      </c>
      <c r="JP2" t="s">
        <v>728</v>
      </c>
      <c r="JQ2" t="s">
        <v>1779</v>
      </c>
      <c r="JR2" t="s">
        <v>1686</v>
      </c>
      <c r="JS2" t="s">
        <v>1687</v>
      </c>
      <c r="JT2" t="s">
        <v>1688</v>
      </c>
      <c r="JU2" t="s">
        <v>1689</v>
      </c>
      <c r="JV2" t="s">
        <v>1690</v>
      </c>
      <c r="JW2" t="s">
        <v>1691</v>
      </c>
      <c r="JX2" t="s">
        <v>1692</v>
      </c>
      <c r="JY2" t="s">
        <v>1693</v>
      </c>
      <c r="JZ2" t="s">
        <v>1694</v>
      </c>
      <c r="KA2" t="s">
        <v>1695</v>
      </c>
      <c r="KB2" t="s">
        <v>1696</v>
      </c>
      <c r="KC2" t="s">
        <v>1697</v>
      </c>
      <c r="KD2" t="s">
        <v>2030</v>
      </c>
      <c r="KE2" t="s">
        <v>2055</v>
      </c>
      <c r="KF2" t="s">
        <v>2056</v>
      </c>
      <c r="KG2" t="s">
        <v>2057</v>
      </c>
      <c r="KH2" t="s">
        <v>2058</v>
      </c>
      <c r="KI2" t="s">
        <v>2059</v>
      </c>
      <c r="KJ2" t="s">
        <v>2060</v>
      </c>
      <c r="KK2" t="s">
        <v>2061</v>
      </c>
      <c r="KL2" t="s">
        <v>2062</v>
      </c>
      <c r="KM2" t="s">
        <v>2063</v>
      </c>
      <c r="KN2" t="s">
        <v>2064</v>
      </c>
      <c r="KO2" t="s">
        <v>2065</v>
      </c>
      <c r="KP2" t="s">
        <v>2066</v>
      </c>
      <c r="KQ2" t="s">
        <v>2043</v>
      </c>
      <c r="KR2" t="s">
        <v>2044</v>
      </c>
      <c r="KS2" t="s">
        <v>2045</v>
      </c>
      <c r="KT2" t="s">
        <v>2046</v>
      </c>
      <c r="KU2" t="s">
        <v>2067</v>
      </c>
      <c r="KV2" t="s">
        <v>2068</v>
      </c>
      <c r="KW2" t="str">
        <f>+_xlfn.CONCAT(KW1,".png")</f>
        <v>acta3.png</v>
      </c>
      <c r="KX2" t="str">
        <f>+_xlfn.CONCAT(KX1,".png")</f>
        <v>acta4.png</v>
      </c>
    </row>
  </sheetData>
  <phoneticPr fontId="1" type="noConversion"/>
  <pageMargins left="0.7" right="0.7" top="0.75" bottom="0.75" header="0.3" footer="0.3"/>
  <pageSetup orientation="portrait" horizontalDpi="4294967294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8EE80-4440-4B18-8DA6-6D8F054BB32D}">
  <dimension ref="B1:N210"/>
  <sheetViews>
    <sheetView tabSelected="1" workbookViewId="0">
      <selection activeCell="Q5" sqref="Q5"/>
    </sheetView>
  </sheetViews>
  <sheetFormatPr baseColWidth="10" defaultRowHeight="14.4" x14ac:dyDescent="0.3"/>
  <cols>
    <col min="10" max="10" width="20.5546875" bestFit="1" customWidth="1"/>
    <col min="14" max="14" width="13" customWidth="1"/>
  </cols>
  <sheetData>
    <row r="1" spans="2:14" x14ac:dyDescent="0.3">
      <c r="B1" t="s">
        <v>1812</v>
      </c>
      <c r="D1" t="s">
        <v>805</v>
      </c>
      <c r="E1" s="1" t="s">
        <v>25</v>
      </c>
      <c r="F1" t="s">
        <v>81</v>
      </c>
      <c r="G1" t="s">
        <v>339</v>
      </c>
      <c r="H1">
        <v>145</v>
      </c>
      <c r="I1" t="s">
        <v>1672</v>
      </c>
      <c r="J1" s="11" t="s">
        <v>134</v>
      </c>
      <c r="K1" t="s">
        <v>223</v>
      </c>
      <c r="L1" t="str">
        <f t="shared" ref="L1:L46" si="0">+_xlfn.CONCAT("'",J1,"' : r_val['",J1,"'],")</f>
        <v>'razon_social' : r_val['razon_social'],</v>
      </c>
      <c r="M1" t="str">
        <f>+_xlfn.CONCAT("'",E1,"': ",E1,",")</f>
        <v>'logo1': logo1,</v>
      </c>
      <c r="N1" t="str">
        <f>+_xlfn.CONCAT(E1," = cargar_imagen(docx_tpl", ", '",E1,"'", ", '",F1,"', ", H1, ", '",I1,"'",", datos_airtable)")</f>
        <v>logo1 = cargar_imagen(docx_tpl, 'logo1', 'logo1.jpg', 145, 'height', datos_airtable)</v>
      </c>
    </row>
    <row r="2" spans="2:14" x14ac:dyDescent="0.3">
      <c r="B2" t="s">
        <v>1812</v>
      </c>
      <c r="D2" t="s">
        <v>805</v>
      </c>
      <c r="E2" t="s">
        <v>26</v>
      </c>
      <c r="F2" t="s">
        <v>82</v>
      </c>
      <c r="G2" t="s">
        <v>340</v>
      </c>
      <c r="H2">
        <v>15</v>
      </c>
      <c r="I2" t="s">
        <v>1672</v>
      </c>
      <c r="J2" s="11" t="s">
        <v>135</v>
      </c>
      <c r="K2" t="s">
        <v>224</v>
      </c>
      <c r="L2" t="str">
        <f t="shared" si="0"/>
        <v>'nombre_comercial' : r_val['nombre_comercial'],</v>
      </c>
      <c r="M2" t="str">
        <f t="shared" ref="M2:M66" si="1">+_xlfn.CONCAT("'",E2,"': ",E2,",")</f>
        <v>'logo2': logo2,</v>
      </c>
      <c r="N2" t="str">
        <f t="shared" ref="N2:N65" si="2">+_xlfn.CONCAT(E2," = cargar_imagen(docx_tpl", ", '",E2,"'", ", '",F2,"', ", H2, ", '",I2,"'",", datos_airtable)")</f>
        <v>logo2 = cargar_imagen(docx_tpl, 'logo2', 'logo2.jpg', 15, 'height', datos_airtable)</v>
      </c>
    </row>
    <row r="3" spans="2:14" x14ac:dyDescent="0.3">
      <c r="B3" t="s">
        <v>1812</v>
      </c>
      <c r="C3" t="s">
        <v>816</v>
      </c>
      <c r="D3" t="s">
        <v>805</v>
      </c>
      <c r="E3" t="s">
        <v>24</v>
      </c>
      <c r="F3" t="s">
        <v>83</v>
      </c>
      <c r="G3" t="s">
        <v>341</v>
      </c>
      <c r="H3">
        <v>90</v>
      </c>
      <c r="I3" t="s">
        <v>1672</v>
      </c>
      <c r="J3" s="11" t="s">
        <v>136</v>
      </c>
      <c r="K3" t="s">
        <v>225</v>
      </c>
      <c r="L3" t="str">
        <f t="shared" si="0"/>
        <v>'rfc' : r_val['rfc'],</v>
      </c>
      <c r="M3" t="str">
        <f t="shared" si="1"/>
        <v>'fachada': fachada,</v>
      </c>
      <c r="N3" t="str">
        <f t="shared" si="2"/>
        <v>fachada = cargar_imagen(docx_tpl, 'fachada', 'fachada.jpg', 90, 'height', datos_airtable)</v>
      </c>
    </row>
    <row r="4" spans="2:14" x14ac:dyDescent="0.3">
      <c r="B4" t="s">
        <v>1812</v>
      </c>
      <c r="C4" t="s">
        <v>816</v>
      </c>
      <c r="D4" t="s">
        <v>805</v>
      </c>
      <c r="E4" t="s">
        <v>27</v>
      </c>
      <c r="F4" t="s">
        <v>806</v>
      </c>
      <c r="G4" t="s">
        <v>342</v>
      </c>
      <c r="H4">
        <v>155</v>
      </c>
      <c r="I4" t="s">
        <v>1671</v>
      </c>
      <c r="J4" s="16" t="s">
        <v>137</v>
      </c>
      <c r="K4" t="s">
        <v>226</v>
      </c>
      <c r="L4" t="str">
        <f t="shared" si="0"/>
        <v>'codigo_gasolinera' : r_val['codigo_gasolinera'],</v>
      </c>
      <c r="M4" t="str">
        <f t="shared" si="1"/>
        <v>'mapa': mapa,</v>
      </c>
      <c r="N4" t="str">
        <f t="shared" si="2"/>
        <v>mapa = cargar_imagen(docx_tpl, 'mapa', 'mapa.png', 155, 'width', datos_airtable)</v>
      </c>
    </row>
    <row r="5" spans="2:14" x14ac:dyDescent="0.3">
      <c r="B5" t="s">
        <v>1812</v>
      </c>
      <c r="C5" t="s">
        <v>816</v>
      </c>
      <c r="D5" t="s">
        <v>805</v>
      </c>
      <c r="E5" t="s">
        <v>395</v>
      </c>
      <c r="F5" t="s">
        <v>396</v>
      </c>
      <c r="G5" t="s">
        <v>397</v>
      </c>
      <c r="H5">
        <v>50</v>
      </c>
      <c r="I5" t="s">
        <v>1672</v>
      </c>
      <c r="J5" s="11" t="s">
        <v>138</v>
      </c>
      <c r="K5" t="s">
        <v>227</v>
      </c>
      <c r="L5" t="str">
        <f t="shared" si="0"/>
        <v>'giro_comercial' : r_val['giro_comercial'],</v>
      </c>
      <c r="M5" t="str">
        <f t="shared" si="1"/>
        <v>'esc_emer': esc_emer,</v>
      </c>
      <c r="N5" t="str">
        <f t="shared" si="2"/>
        <v>esc_emer = cargar_imagen(docx_tpl, 'esc_emer', 'esc_emer.jpg', 50, 'height', datos_airtable)</v>
      </c>
    </row>
    <row r="6" spans="2:14" x14ac:dyDescent="0.3">
      <c r="B6" t="s">
        <v>1812</v>
      </c>
      <c r="C6" t="s">
        <v>816</v>
      </c>
      <c r="D6" t="s">
        <v>805</v>
      </c>
      <c r="E6" t="s">
        <v>28</v>
      </c>
      <c r="F6" t="s">
        <v>84</v>
      </c>
      <c r="G6" t="s">
        <v>343</v>
      </c>
      <c r="H6">
        <v>50</v>
      </c>
      <c r="I6" t="s">
        <v>1672</v>
      </c>
      <c r="J6" s="11" t="s">
        <v>139</v>
      </c>
      <c r="K6" t="s">
        <v>228</v>
      </c>
      <c r="L6" t="str">
        <f t="shared" si="0"/>
        <v>'descripcion_actividades' : r_val['descripcion_actividades'],</v>
      </c>
      <c r="M6" t="str">
        <f t="shared" si="1"/>
        <v>'mueble1': mueble1,</v>
      </c>
      <c r="N6" t="str">
        <f t="shared" si="2"/>
        <v>mueble1 = cargar_imagen(docx_tpl, 'mueble1', 'mueble (1).jpg', 50, 'height', datos_airtable)</v>
      </c>
    </row>
    <row r="7" spans="2:14" x14ac:dyDescent="0.3">
      <c r="B7" t="s">
        <v>1812</v>
      </c>
      <c r="C7" t="s">
        <v>816</v>
      </c>
      <c r="D7" t="s">
        <v>805</v>
      </c>
      <c r="E7" t="s">
        <v>29</v>
      </c>
      <c r="F7" t="s">
        <v>85</v>
      </c>
      <c r="G7" t="s">
        <v>344</v>
      </c>
      <c r="H7">
        <v>50</v>
      </c>
      <c r="I7" t="s">
        <v>1672</v>
      </c>
      <c r="J7" s="11" t="s">
        <v>140</v>
      </c>
      <c r="K7" t="s">
        <v>229</v>
      </c>
      <c r="L7" t="str">
        <f t="shared" si="0"/>
        <v>'calle' : r_val['calle'],</v>
      </c>
      <c r="M7" t="str">
        <f t="shared" si="1"/>
        <v>'mueble2': mueble2,</v>
      </c>
      <c r="N7" t="str">
        <f t="shared" si="2"/>
        <v>mueble2 = cargar_imagen(docx_tpl, 'mueble2', 'mueble (2).jpg', 50, 'height', datos_airtable)</v>
      </c>
    </row>
    <row r="8" spans="2:14" x14ac:dyDescent="0.3">
      <c r="D8" t="s">
        <v>805</v>
      </c>
      <c r="E8" t="s">
        <v>180</v>
      </c>
      <c r="F8" t="s">
        <v>400</v>
      </c>
      <c r="G8" t="s">
        <v>271</v>
      </c>
      <c r="H8">
        <v>50</v>
      </c>
      <c r="I8" t="s">
        <v>1672</v>
      </c>
      <c r="J8" s="11" t="s">
        <v>141</v>
      </c>
      <c r="K8" t="s">
        <v>230</v>
      </c>
      <c r="L8" t="str">
        <f t="shared" si="0"/>
        <v>'no_exterior' : r_val['no_exterior'],</v>
      </c>
      <c r="M8" t="str">
        <f t="shared" si="1"/>
        <v>'venteo': venteo,</v>
      </c>
      <c r="N8" t="str">
        <f t="shared" si="2"/>
        <v>venteo = cargar_imagen(docx_tpl, 'venteo', 'venteo.jpg', 50, 'height', datos_airtable)</v>
      </c>
    </row>
    <row r="9" spans="2:14" x14ac:dyDescent="0.3">
      <c r="D9" t="s">
        <v>805</v>
      </c>
      <c r="E9" t="s">
        <v>402</v>
      </c>
      <c r="F9" t="s">
        <v>403</v>
      </c>
      <c r="G9" t="s">
        <v>401</v>
      </c>
      <c r="H9">
        <v>50</v>
      </c>
      <c r="I9" t="s">
        <v>1672</v>
      </c>
      <c r="J9" s="11" t="s">
        <v>142</v>
      </c>
      <c r="K9" t="s">
        <v>231</v>
      </c>
      <c r="L9" t="str">
        <f t="shared" si="0"/>
        <v>'no_interior' : r_val['no_interior'],</v>
      </c>
      <c r="M9" t="str">
        <f t="shared" si="1"/>
        <v>'manguera': manguera,</v>
      </c>
      <c r="N9" t="str">
        <f t="shared" si="2"/>
        <v>manguera = cargar_imagen(docx_tpl, 'manguera', 'manguera.jpg', 50, 'height', datos_airtable)</v>
      </c>
    </row>
    <row r="10" spans="2:14" x14ac:dyDescent="0.3">
      <c r="B10" t="s">
        <v>1812</v>
      </c>
      <c r="C10" t="s">
        <v>816</v>
      </c>
      <c r="D10" t="s">
        <v>805</v>
      </c>
      <c r="E10" t="s">
        <v>30</v>
      </c>
      <c r="F10" t="s">
        <v>86</v>
      </c>
      <c r="G10" t="s">
        <v>345</v>
      </c>
      <c r="H10">
        <v>50</v>
      </c>
      <c r="I10" t="s">
        <v>1672</v>
      </c>
      <c r="J10" s="11" t="s">
        <v>143</v>
      </c>
      <c r="K10" t="s">
        <v>232</v>
      </c>
      <c r="L10" t="str">
        <f t="shared" si="0"/>
        <v>'colonia_barrio' : r_val['colonia_barrio'],</v>
      </c>
      <c r="M10" t="str">
        <f t="shared" si="1"/>
        <v>'electrico': electrico,</v>
      </c>
      <c r="N10" t="str">
        <f t="shared" si="2"/>
        <v>electrico = cargar_imagen(docx_tpl, 'electrico', 'electrico.jpg', 50, 'height', datos_airtable)</v>
      </c>
    </row>
    <row r="11" spans="2:14" x14ac:dyDescent="0.3">
      <c r="B11" t="s">
        <v>1812</v>
      </c>
      <c r="C11" t="s">
        <v>816</v>
      </c>
      <c r="D11" t="s">
        <v>805</v>
      </c>
      <c r="E11" t="s">
        <v>31</v>
      </c>
      <c r="F11" t="s">
        <v>87</v>
      </c>
      <c r="G11" t="s">
        <v>346</v>
      </c>
      <c r="H11">
        <v>50</v>
      </c>
      <c r="I11" t="s">
        <v>1672</v>
      </c>
      <c r="J11" s="11" t="s">
        <v>144</v>
      </c>
      <c r="K11" t="s">
        <v>233</v>
      </c>
      <c r="L11" t="str">
        <f t="shared" si="0"/>
        <v>'municipio' : r_val['municipio'],</v>
      </c>
      <c r="M11" t="str">
        <f t="shared" si="1"/>
        <v>'banio': banio,</v>
      </c>
      <c r="N11" t="str">
        <f t="shared" si="2"/>
        <v>banio = cargar_imagen(docx_tpl, 'banio', 'banio.jpg', 50, 'height', datos_airtable)</v>
      </c>
    </row>
    <row r="12" spans="2:14" x14ac:dyDescent="0.3">
      <c r="D12" t="s">
        <v>805</v>
      </c>
      <c r="E12" t="s">
        <v>404</v>
      </c>
      <c r="F12" t="s">
        <v>405</v>
      </c>
      <c r="G12" t="s">
        <v>406</v>
      </c>
      <c r="H12">
        <v>50</v>
      </c>
      <c r="I12" t="s">
        <v>1672</v>
      </c>
      <c r="J12" s="11" t="s">
        <v>145</v>
      </c>
      <c r="K12" t="s">
        <v>234</v>
      </c>
      <c r="L12" t="str">
        <f t="shared" si="0"/>
        <v>'estado' : r_val['estado'],</v>
      </c>
      <c r="M12" t="str">
        <f t="shared" si="1"/>
        <v>'cisterna': cisterna,</v>
      </c>
      <c r="N12" t="str">
        <f t="shared" si="2"/>
        <v>cisterna = cargar_imagen(docx_tpl, 'cisterna', 'cisterna.jpg', 50, 'height', datos_airtable)</v>
      </c>
    </row>
    <row r="13" spans="2:14" x14ac:dyDescent="0.3">
      <c r="B13" t="s">
        <v>1812</v>
      </c>
      <c r="C13" t="s">
        <v>816</v>
      </c>
      <c r="D13" t="s">
        <v>805</v>
      </c>
      <c r="E13" t="s">
        <v>32</v>
      </c>
      <c r="F13" t="s">
        <v>807</v>
      </c>
      <c r="G13" t="s">
        <v>347</v>
      </c>
      <c r="H13">
        <v>155</v>
      </c>
      <c r="I13" t="s">
        <v>1671</v>
      </c>
      <c r="J13" s="11" t="s">
        <v>146</v>
      </c>
      <c r="K13" t="s">
        <v>235</v>
      </c>
      <c r="L13" t="str">
        <f t="shared" si="0"/>
        <v>'codigo_postal' : r_val['codigo_postal'],</v>
      </c>
      <c r="M13" t="str">
        <f t="shared" si="1"/>
        <v>'sismo': sismo,</v>
      </c>
      <c r="N13" t="str">
        <f t="shared" si="2"/>
        <v>sismo = cargar_imagen(docx_tpl, 'sismo', 'sismo.png', 155, 'width', datos_airtable)</v>
      </c>
    </row>
    <row r="14" spans="2:14" x14ac:dyDescent="0.3">
      <c r="B14" t="s">
        <v>1812</v>
      </c>
      <c r="C14" t="s">
        <v>816</v>
      </c>
      <c r="D14" t="s">
        <v>805</v>
      </c>
      <c r="E14" t="s">
        <v>33</v>
      </c>
      <c r="F14" t="s">
        <v>808</v>
      </c>
      <c r="G14" t="s">
        <v>348</v>
      </c>
      <c r="H14">
        <v>155</v>
      </c>
      <c r="I14" t="s">
        <v>1671</v>
      </c>
      <c r="J14" s="11" t="s">
        <v>147</v>
      </c>
      <c r="K14" t="s">
        <v>236</v>
      </c>
      <c r="L14" t="str">
        <f t="shared" si="0"/>
        <v>'telefono' : r_val['telefono'],</v>
      </c>
      <c r="M14" t="str">
        <f t="shared" si="1"/>
        <v>'inundacion': inundacion,</v>
      </c>
      <c r="N14" t="str">
        <f t="shared" si="2"/>
        <v>inundacion = cargar_imagen(docx_tpl, 'inundacion', 'inundacion.png', 155, 'width', datos_airtable)</v>
      </c>
    </row>
    <row r="15" spans="2:14" x14ac:dyDescent="0.3">
      <c r="B15" t="s">
        <v>1812</v>
      </c>
      <c r="D15" t="s">
        <v>805</v>
      </c>
      <c r="E15" t="s">
        <v>34</v>
      </c>
      <c r="F15" t="s">
        <v>809</v>
      </c>
      <c r="G15" t="s">
        <v>349</v>
      </c>
      <c r="H15">
        <v>155</v>
      </c>
      <c r="I15" t="s">
        <v>1671</v>
      </c>
      <c r="J15" s="11" t="s">
        <v>148</v>
      </c>
      <c r="K15" t="s">
        <v>237</v>
      </c>
      <c r="L15" t="str">
        <f t="shared" si="0"/>
        <v>'email' : r_val['email'],</v>
      </c>
      <c r="M15" t="str">
        <f t="shared" si="1"/>
        <v>'torm_elect': torm_elect,</v>
      </c>
      <c r="N15" t="str">
        <f t="shared" si="2"/>
        <v>torm_elect = cargar_imagen(docx_tpl, 'torm_elect', 'torm_elect.png', 155, 'width', datos_airtable)</v>
      </c>
    </row>
    <row r="16" spans="2:14" x14ac:dyDescent="0.3">
      <c r="B16" t="s">
        <v>1812</v>
      </c>
      <c r="C16" t="s">
        <v>816</v>
      </c>
      <c r="D16" t="s">
        <v>805</v>
      </c>
      <c r="E16" t="s">
        <v>35</v>
      </c>
      <c r="F16" t="s">
        <v>810</v>
      </c>
      <c r="G16" t="s">
        <v>350</v>
      </c>
      <c r="H16">
        <v>155</v>
      </c>
      <c r="I16" t="s">
        <v>1671</v>
      </c>
      <c r="J16" s="11" t="s">
        <v>149</v>
      </c>
      <c r="K16" t="s">
        <v>238</v>
      </c>
      <c r="L16" t="str">
        <f t="shared" si="0"/>
        <v>'antiguedad_inmueble' : r_val['antiguedad_inmueble'],</v>
      </c>
      <c r="M16" t="str">
        <f t="shared" si="1"/>
        <v>'incendio': incendio,</v>
      </c>
      <c r="N16" t="str">
        <f t="shared" si="2"/>
        <v>incendio = cargar_imagen(docx_tpl, 'incendio', 'incendio.png', 155, 'width', datos_airtable)</v>
      </c>
    </row>
    <row r="17" spans="2:14" x14ac:dyDescent="0.3">
      <c r="B17" t="s">
        <v>1812</v>
      </c>
      <c r="C17" t="s">
        <v>816</v>
      </c>
      <c r="D17" t="s">
        <v>805</v>
      </c>
      <c r="E17" t="s">
        <v>36</v>
      </c>
      <c r="F17" t="s">
        <v>811</v>
      </c>
      <c r="G17" t="s">
        <v>351</v>
      </c>
      <c r="H17">
        <v>155</v>
      </c>
      <c r="I17" t="s">
        <v>1671</v>
      </c>
      <c r="J17" s="11" t="s">
        <v>150</v>
      </c>
      <c r="K17" t="s">
        <v>239</v>
      </c>
      <c r="L17" t="str">
        <f t="shared" si="0"/>
        <v>'inicio_operaciones' : r_val['inicio_operaciones'],</v>
      </c>
      <c r="M17" t="str">
        <f t="shared" si="1"/>
        <v>'influenza': influenza,</v>
      </c>
      <c r="N17" t="str">
        <f t="shared" si="2"/>
        <v>influenza = cargar_imagen(docx_tpl, 'influenza', 'influenza.png', 155, 'width', datos_airtable)</v>
      </c>
    </row>
    <row r="18" spans="2:14" x14ac:dyDescent="0.3">
      <c r="B18" t="s">
        <v>1812</v>
      </c>
      <c r="D18" t="s">
        <v>805</v>
      </c>
      <c r="E18" t="s">
        <v>37</v>
      </c>
      <c r="F18" t="s">
        <v>815</v>
      </c>
      <c r="G18" t="s">
        <v>352</v>
      </c>
      <c r="H18">
        <v>155</v>
      </c>
      <c r="I18" t="s">
        <v>1671</v>
      </c>
      <c r="J18" s="3" t="s">
        <v>151</v>
      </c>
      <c r="K18" t="s">
        <v>240</v>
      </c>
      <c r="L18" t="str">
        <f t="shared" si="0"/>
        <v>'mod_estructurales' : r_val['mod_estructurales'],</v>
      </c>
      <c r="M18" t="str">
        <f t="shared" si="1"/>
        <v>'radiacion': radiacion,</v>
      </c>
      <c r="N18" t="str">
        <f t="shared" si="2"/>
        <v>radiacion = cargar_imagen(docx_tpl, 'radiacion', 'radiacion.png', 155, 'width', datos_airtable)</v>
      </c>
    </row>
    <row r="19" spans="2:14" x14ac:dyDescent="0.3">
      <c r="B19" t="s">
        <v>1812</v>
      </c>
      <c r="C19" t="s">
        <v>816</v>
      </c>
      <c r="D19" t="s">
        <v>805</v>
      </c>
      <c r="E19" t="s">
        <v>38</v>
      </c>
      <c r="F19" t="s">
        <v>88</v>
      </c>
      <c r="G19" t="s">
        <v>353</v>
      </c>
      <c r="H19">
        <v>50</v>
      </c>
      <c r="I19" t="s">
        <v>1672</v>
      </c>
      <c r="J19" s="3" t="s">
        <v>152</v>
      </c>
      <c r="K19" t="s">
        <v>241</v>
      </c>
      <c r="L19" t="str">
        <f t="shared" si="0"/>
        <v>'mod_arquitect' : r_val['mod_arquitect'],</v>
      </c>
      <c r="M19" t="str">
        <f t="shared" si="1"/>
        <v>'ext1': ext1,</v>
      </c>
      <c r="N19" t="str">
        <f t="shared" si="2"/>
        <v>ext1 = cargar_imagen(docx_tpl, 'ext1', 'ext (1).jpg', 50, 'height', datos_airtable)</v>
      </c>
    </row>
    <row r="20" spans="2:14" x14ac:dyDescent="0.3">
      <c r="B20" t="s">
        <v>1812</v>
      </c>
      <c r="D20" t="s">
        <v>805</v>
      </c>
      <c r="E20" t="s">
        <v>39</v>
      </c>
      <c r="F20" t="s">
        <v>89</v>
      </c>
      <c r="G20" t="s">
        <v>354</v>
      </c>
      <c r="H20">
        <v>50</v>
      </c>
      <c r="I20" t="s">
        <v>1672</v>
      </c>
      <c r="J20" s="11" t="s">
        <v>153</v>
      </c>
      <c r="K20" t="s">
        <v>242</v>
      </c>
      <c r="L20" t="str">
        <f t="shared" si="0"/>
        <v>'terreno_m2' : r_val['terreno_m2'],</v>
      </c>
      <c r="M20" t="str">
        <f t="shared" si="1"/>
        <v>'ext2': ext2,</v>
      </c>
      <c r="N20" t="str">
        <f t="shared" si="2"/>
        <v>ext2 = cargar_imagen(docx_tpl, 'ext2', 'ext (2).jpg', 50, 'height', datos_airtable)</v>
      </c>
    </row>
    <row r="21" spans="2:14" x14ac:dyDescent="0.3">
      <c r="B21" t="s">
        <v>1812</v>
      </c>
      <c r="D21" t="s">
        <v>805</v>
      </c>
      <c r="E21" t="s">
        <v>40</v>
      </c>
      <c r="F21" t="s">
        <v>90</v>
      </c>
      <c r="G21" t="s">
        <v>355</v>
      </c>
      <c r="H21">
        <v>50</v>
      </c>
      <c r="I21" t="s">
        <v>1672</v>
      </c>
      <c r="J21" s="11" t="s">
        <v>154</v>
      </c>
      <c r="K21" t="s">
        <v>243</v>
      </c>
      <c r="L21" t="str">
        <f t="shared" si="0"/>
        <v>'construccion_m2' : r_val['construccion_m2'],</v>
      </c>
      <c r="M21" t="str">
        <f t="shared" si="1"/>
        <v>'ext3': ext3,</v>
      </c>
      <c r="N21" t="str">
        <f t="shared" si="2"/>
        <v>ext3 = cargar_imagen(docx_tpl, 'ext3', 'ext (3).jpg', 50, 'height', datos_airtable)</v>
      </c>
    </row>
    <row r="22" spans="2:14" x14ac:dyDescent="0.3">
      <c r="B22" t="s">
        <v>1812</v>
      </c>
      <c r="D22" t="s">
        <v>805</v>
      </c>
      <c r="E22" t="s">
        <v>41</v>
      </c>
      <c r="F22" t="s">
        <v>91</v>
      </c>
      <c r="G22" t="s">
        <v>356</v>
      </c>
      <c r="H22">
        <v>50</v>
      </c>
      <c r="I22" t="s">
        <v>1672</v>
      </c>
      <c r="J22" s="11" t="s">
        <v>155</v>
      </c>
      <c r="K22" t="s">
        <v>244</v>
      </c>
      <c r="L22" t="str">
        <f t="shared" si="0"/>
        <v>'edificios' : r_val['edificios'],</v>
      </c>
      <c r="M22" t="str">
        <f t="shared" si="1"/>
        <v>'ext4': ext4,</v>
      </c>
      <c r="N22" t="str">
        <f t="shared" si="2"/>
        <v>ext4 = cargar_imagen(docx_tpl, 'ext4', 'ext (4).jpg', 50, 'height', datos_airtable)</v>
      </c>
    </row>
    <row r="23" spans="2:14" x14ac:dyDescent="0.3">
      <c r="B23" t="s">
        <v>1812</v>
      </c>
      <c r="C23" t="s">
        <v>816</v>
      </c>
      <c r="D23" t="s">
        <v>805</v>
      </c>
      <c r="E23" t="s">
        <v>42</v>
      </c>
      <c r="F23" t="s">
        <v>92</v>
      </c>
      <c r="G23" t="s">
        <v>265</v>
      </c>
      <c r="H23">
        <v>50</v>
      </c>
      <c r="I23" t="s">
        <v>1672</v>
      </c>
      <c r="J23" s="11" t="s">
        <v>156</v>
      </c>
      <c r="K23" t="s">
        <v>245</v>
      </c>
      <c r="L23" t="str">
        <f t="shared" si="0"/>
        <v>'niveles' : r_val['niveles'],</v>
      </c>
      <c r="M23" t="str">
        <f t="shared" si="1"/>
        <v>'botiquin': botiquin,</v>
      </c>
      <c r="N23" t="str">
        <f t="shared" si="2"/>
        <v>botiquin = cargar_imagen(docx_tpl, 'botiquin', 'botiquin.jpg', 50, 'height', datos_airtable)</v>
      </c>
    </row>
    <row r="24" spans="2:14" x14ac:dyDescent="0.3">
      <c r="B24" t="s">
        <v>1812</v>
      </c>
      <c r="C24" t="s">
        <v>816</v>
      </c>
      <c r="D24" t="s">
        <v>805</v>
      </c>
      <c r="E24" t="s">
        <v>43</v>
      </c>
      <c r="F24" t="s">
        <v>93</v>
      </c>
      <c r="G24" t="s">
        <v>357</v>
      </c>
      <c r="H24">
        <v>50</v>
      </c>
      <c r="I24" t="s">
        <v>1672</v>
      </c>
      <c r="J24" s="11" t="s">
        <v>157</v>
      </c>
      <c r="K24" t="s">
        <v>246</v>
      </c>
      <c r="L24" t="str">
        <f t="shared" si="0"/>
        <v>'accesos' : r_val['accesos'],</v>
      </c>
      <c r="M24" t="str">
        <f t="shared" si="1"/>
        <v>'ruta1': ruta1,</v>
      </c>
      <c r="N24" t="str">
        <f t="shared" si="2"/>
        <v>ruta1 = cargar_imagen(docx_tpl, 'ruta1', 'ruta (1).jpg', 50, 'height', datos_airtable)</v>
      </c>
    </row>
    <row r="25" spans="2:14" x14ac:dyDescent="0.3">
      <c r="B25" t="s">
        <v>1812</v>
      </c>
      <c r="C25" t="s">
        <v>816</v>
      </c>
      <c r="D25" t="s">
        <v>805</v>
      </c>
      <c r="E25" t="s">
        <v>44</v>
      </c>
      <c r="F25" t="s">
        <v>94</v>
      </c>
      <c r="G25" t="s">
        <v>358</v>
      </c>
      <c r="H25">
        <v>50</v>
      </c>
      <c r="I25" t="s">
        <v>1672</v>
      </c>
      <c r="J25" s="11" t="s">
        <v>158</v>
      </c>
      <c r="K25" t="s">
        <v>247</v>
      </c>
      <c r="L25" t="str">
        <f t="shared" si="0"/>
        <v>'salidas_emergencia' : r_val['salidas_emergencia'],</v>
      </c>
      <c r="M25" t="str">
        <f t="shared" si="1"/>
        <v>'ruta2': ruta2,</v>
      </c>
      <c r="N25" t="str">
        <f t="shared" si="2"/>
        <v>ruta2 = cargar_imagen(docx_tpl, 'ruta2', 'ruta (2).jpg', 50, 'height', datos_airtable)</v>
      </c>
    </row>
    <row r="26" spans="2:14" x14ac:dyDescent="0.3">
      <c r="B26" t="s">
        <v>1812</v>
      </c>
      <c r="D26" t="s">
        <v>805</v>
      </c>
      <c r="E26" t="s">
        <v>338</v>
      </c>
      <c r="F26" t="s">
        <v>95</v>
      </c>
      <c r="G26" t="s">
        <v>359</v>
      </c>
      <c r="H26">
        <v>50</v>
      </c>
      <c r="I26" t="s">
        <v>1672</v>
      </c>
      <c r="J26" s="11" t="s">
        <v>5</v>
      </c>
      <c r="K26" t="s">
        <v>248</v>
      </c>
      <c r="L26" t="str">
        <f t="shared" si="0"/>
        <v>'escaleras' : r_val['escaleras'],</v>
      </c>
      <c r="M26" t="str">
        <f t="shared" si="1"/>
        <v>'ruta3': ruta3,</v>
      </c>
      <c r="N26" t="str">
        <f t="shared" si="2"/>
        <v>ruta3 = cargar_imagen(docx_tpl, 'ruta3', 'ruta (3).jpg', 50, 'height', datos_airtable)</v>
      </c>
    </row>
    <row r="27" spans="2:14" x14ac:dyDescent="0.3">
      <c r="B27" t="s">
        <v>1812</v>
      </c>
      <c r="D27" t="s">
        <v>805</v>
      </c>
      <c r="E27" t="s">
        <v>45</v>
      </c>
      <c r="F27" t="s">
        <v>96</v>
      </c>
      <c r="G27" t="s">
        <v>360</v>
      </c>
      <c r="H27">
        <v>50</v>
      </c>
      <c r="I27" t="s">
        <v>1672</v>
      </c>
      <c r="J27" s="11" t="s">
        <v>159</v>
      </c>
      <c r="K27" t="s">
        <v>249</v>
      </c>
      <c r="L27" t="str">
        <f t="shared" si="0"/>
        <v>'escaleras_emergencia' : r_val['escaleras_emergencia'],</v>
      </c>
      <c r="M27" t="str">
        <f t="shared" si="1"/>
        <v>'salida': salida,</v>
      </c>
      <c r="N27" t="str">
        <f t="shared" si="2"/>
        <v>salida = cargar_imagen(docx_tpl, 'salida', 'salida.jpg', 50, 'height', datos_airtable)</v>
      </c>
    </row>
    <row r="28" spans="2:14" x14ac:dyDescent="0.3">
      <c r="B28" t="s">
        <v>1812</v>
      </c>
      <c r="C28" t="s">
        <v>816</v>
      </c>
      <c r="D28" t="s">
        <v>805</v>
      </c>
      <c r="E28" t="s">
        <v>46</v>
      </c>
      <c r="F28" t="s">
        <v>97</v>
      </c>
      <c r="G28" t="s">
        <v>275</v>
      </c>
      <c r="H28">
        <v>50</v>
      </c>
      <c r="I28" t="s">
        <v>1672</v>
      </c>
      <c r="J28" s="11" t="s">
        <v>160</v>
      </c>
      <c r="K28" t="s">
        <v>250</v>
      </c>
      <c r="L28" t="str">
        <f t="shared" si="0"/>
        <v>'estacionamiento' : r_val['estacionamiento'],</v>
      </c>
      <c r="M28" t="str">
        <f t="shared" si="1"/>
        <v>'alarma': alarma,</v>
      </c>
      <c r="N28" t="str">
        <f t="shared" si="2"/>
        <v>alarma = cargar_imagen(docx_tpl, 'alarma', 'alarma.jpg', 50, 'height', datos_airtable)</v>
      </c>
    </row>
    <row r="29" spans="2:14" x14ac:dyDescent="0.3">
      <c r="B29" t="s">
        <v>1812</v>
      </c>
      <c r="D29" t="s">
        <v>805</v>
      </c>
      <c r="E29" t="s">
        <v>47</v>
      </c>
      <c r="F29" t="s">
        <v>98</v>
      </c>
      <c r="G29" t="s">
        <v>361</v>
      </c>
      <c r="H29">
        <v>50</v>
      </c>
      <c r="I29" t="s">
        <v>1672</v>
      </c>
      <c r="J29" s="12" t="s">
        <v>161</v>
      </c>
      <c r="K29" t="s">
        <v>251</v>
      </c>
      <c r="L29" t="str">
        <f t="shared" si="0"/>
        <v>'representante_legal' : r_val['representante_legal'],</v>
      </c>
      <c r="M29" t="str">
        <f t="shared" si="1"/>
        <v>'prohib1': prohib1,</v>
      </c>
      <c r="N29" t="str">
        <f t="shared" si="2"/>
        <v>prohib1 = cargar_imagen(docx_tpl, 'prohib1', 'prohib (1).jpg', 50, 'height', datos_airtable)</v>
      </c>
    </row>
    <row r="30" spans="2:14" x14ac:dyDescent="0.3">
      <c r="B30" t="s">
        <v>1812</v>
      </c>
      <c r="D30" t="s">
        <v>805</v>
      </c>
      <c r="E30" t="s">
        <v>48</v>
      </c>
      <c r="F30" t="s">
        <v>99</v>
      </c>
      <c r="G30" t="s">
        <v>362</v>
      </c>
      <c r="H30">
        <v>50</v>
      </c>
      <c r="I30" t="s">
        <v>1672</v>
      </c>
      <c r="J30" s="14" t="s">
        <v>162</v>
      </c>
      <c r="K30" t="s">
        <v>252</v>
      </c>
      <c r="L30" t="str">
        <f t="shared" si="0"/>
        <v>'responsable_pipc' : r_val['responsable_pipc'],</v>
      </c>
      <c r="M30" t="str">
        <f t="shared" si="1"/>
        <v>'prohib2': prohib2,</v>
      </c>
      <c r="N30" t="str">
        <f t="shared" si="2"/>
        <v>prohib2 = cargar_imagen(docx_tpl, 'prohib2', 'prohib (2).jpg', 50, 'height', datos_airtable)</v>
      </c>
    </row>
    <row r="31" spans="2:14" x14ac:dyDescent="0.3">
      <c r="B31" t="s">
        <v>1812</v>
      </c>
      <c r="D31" t="s">
        <v>805</v>
      </c>
      <c r="E31" t="s">
        <v>49</v>
      </c>
      <c r="F31" t="s">
        <v>100</v>
      </c>
      <c r="G31" t="s">
        <v>363</v>
      </c>
      <c r="H31">
        <v>50</v>
      </c>
      <c r="I31" t="s">
        <v>1672</v>
      </c>
      <c r="J31" s="12" t="s">
        <v>163</v>
      </c>
      <c r="K31" t="s">
        <v>253</v>
      </c>
      <c r="L31" t="str">
        <f t="shared" si="0"/>
        <v>'trabajadores' : r_val['trabajadores'],</v>
      </c>
      <c r="M31" t="str">
        <f t="shared" si="1"/>
        <v>'prohib3': prohib3,</v>
      </c>
      <c r="N31" t="str">
        <f t="shared" si="2"/>
        <v>prohib3 = cargar_imagen(docx_tpl, 'prohib3', 'prohib (3).jpg', 50, 'height', datos_airtable)</v>
      </c>
    </row>
    <row r="32" spans="2:14" x14ac:dyDescent="0.3">
      <c r="B32" t="s">
        <v>1812</v>
      </c>
      <c r="D32" t="s">
        <v>805</v>
      </c>
      <c r="E32" t="s">
        <v>50</v>
      </c>
      <c r="F32" t="s">
        <v>101</v>
      </c>
      <c r="G32" t="s">
        <v>364</v>
      </c>
      <c r="H32">
        <v>50</v>
      </c>
      <c r="I32" t="s">
        <v>1672</v>
      </c>
      <c r="J32" s="3" t="s">
        <v>164</v>
      </c>
      <c r="K32" t="s">
        <v>254</v>
      </c>
      <c r="L32" t="str">
        <f t="shared" si="0"/>
        <v>'poblacion_discapacidad' : r_val['poblacion_discapacidad'],</v>
      </c>
      <c r="M32" t="str">
        <f t="shared" si="1"/>
        <v>'prohib4': prohib4,</v>
      </c>
      <c r="N32" t="str">
        <f t="shared" si="2"/>
        <v>prohib4 = cargar_imagen(docx_tpl, 'prohib4', 'prohib (4).jpg', 50, 'height', datos_airtable)</v>
      </c>
    </row>
    <row r="33" spans="2:14" x14ac:dyDescent="0.3">
      <c r="B33" t="s">
        <v>1812</v>
      </c>
      <c r="C33" t="s">
        <v>816</v>
      </c>
      <c r="D33" t="s">
        <v>805</v>
      </c>
      <c r="E33" t="s">
        <v>51</v>
      </c>
      <c r="F33" t="s">
        <v>1673</v>
      </c>
      <c r="G33" t="s">
        <v>365</v>
      </c>
      <c r="H33">
        <v>155</v>
      </c>
      <c r="I33" t="s">
        <v>1671</v>
      </c>
      <c r="J33" s="12" t="s">
        <v>165</v>
      </c>
      <c r="K33" t="s">
        <v>255</v>
      </c>
      <c r="L33" t="str">
        <f t="shared" si="0"/>
        <v>'hombres' : r_val['hombres'],</v>
      </c>
      <c r="M33" t="str">
        <f t="shared" si="1"/>
        <v>'layout': layout,</v>
      </c>
      <c r="N33" t="str">
        <f t="shared" si="2"/>
        <v>layout = cargar_imagen(docx_tpl, 'layout', 'layout.png', 155, 'width', datos_airtable)</v>
      </c>
    </row>
    <row r="34" spans="2:14" x14ac:dyDescent="0.3">
      <c r="B34" t="s">
        <v>1812</v>
      </c>
      <c r="C34" t="s">
        <v>816</v>
      </c>
      <c r="D34" t="s">
        <v>805</v>
      </c>
      <c r="E34" t="s">
        <v>52</v>
      </c>
      <c r="F34" t="s">
        <v>102</v>
      </c>
      <c r="G34" t="s">
        <v>366</v>
      </c>
      <c r="H34">
        <v>60</v>
      </c>
      <c r="I34" t="s">
        <v>1672</v>
      </c>
      <c r="J34" s="12" t="s">
        <v>166</v>
      </c>
      <c r="K34" t="s">
        <v>256</v>
      </c>
      <c r="L34" t="str">
        <f t="shared" si="0"/>
        <v>'mujeres' : r_val['mujeres'],</v>
      </c>
      <c r="M34" t="str">
        <f t="shared" si="1"/>
        <v>'cap1': cap1,</v>
      </c>
      <c r="N34" t="str">
        <f t="shared" si="2"/>
        <v>cap1 = cargar_imagen(docx_tpl, 'cap1', 'cap (1).jpg', 60, 'height', datos_airtable)</v>
      </c>
    </row>
    <row r="35" spans="2:14" x14ac:dyDescent="0.3">
      <c r="B35" t="s">
        <v>1812</v>
      </c>
      <c r="C35" t="s">
        <v>816</v>
      </c>
      <c r="D35" t="s">
        <v>805</v>
      </c>
      <c r="E35" t="s">
        <v>53</v>
      </c>
      <c r="F35" t="s">
        <v>103</v>
      </c>
      <c r="G35" t="s">
        <v>367</v>
      </c>
      <c r="H35">
        <v>60</v>
      </c>
      <c r="I35" t="s">
        <v>1672</v>
      </c>
      <c r="J35" s="3" t="s">
        <v>167</v>
      </c>
      <c r="K35" t="s">
        <v>257</v>
      </c>
      <c r="L35" t="str">
        <f t="shared" si="0"/>
        <v>'hombre_dicapacidad' : r_val['hombre_dicapacidad'],</v>
      </c>
      <c r="M35" t="str">
        <f t="shared" si="1"/>
        <v>'cap2': cap2,</v>
      </c>
      <c r="N35" t="str">
        <f t="shared" si="2"/>
        <v>cap2 = cargar_imagen(docx_tpl, 'cap2', 'cap (2).jpg', 60, 'height', datos_airtable)</v>
      </c>
    </row>
    <row r="36" spans="2:14" x14ac:dyDescent="0.3">
      <c r="B36" t="s">
        <v>1812</v>
      </c>
      <c r="C36" t="s">
        <v>816</v>
      </c>
      <c r="D36" t="s">
        <v>805</v>
      </c>
      <c r="E36" t="s">
        <v>54</v>
      </c>
      <c r="F36" t="s">
        <v>104</v>
      </c>
      <c r="G36" t="s">
        <v>368</v>
      </c>
      <c r="H36">
        <v>60</v>
      </c>
      <c r="I36" t="s">
        <v>1672</v>
      </c>
      <c r="J36" s="3" t="s">
        <v>168</v>
      </c>
      <c r="K36" t="s">
        <v>258</v>
      </c>
      <c r="L36" t="str">
        <f t="shared" si="0"/>
        <v>'mujeres_discapacidad' : r_val['mujeres_discapacidad'],</v>
      </c>
      <c r="M36" t="str">
        <f t="shared" si="1"/>
        <v>'cap3': cap3,</v>
      </c>
      <c r="N36" t="str">
        <f t="shared" si="2"/>
        <v>cap3 = cargar_imagen(docx_tpl, 'cap3', 'cap (3).jpg', 60, 'height', datos_airtable)</v>
      </c>
    </row>
    <row r="37" spans="2:14" x14ac:dyDescent="0.3">
      <c r="B37" t="s">
        <v>1812</v>
      </c>
      <c r="C37" t="s">
        <v>816</v>
      </c>
      <c r="D37" t="s">
        <v>805</v>
      </c>
      <c r="E37" t="s">
        <v>55</v>
      </c>
      <c r="F37" t="s">
        <v>105</v>
      </c>
      <c r="G37" t="s">
        <v>369</v>
      </c>
      <c r="H37">
        <v>60</v>
      </c>
      <c r="I37" t="s">
        <v>1672</v>
      </c>
      <c r="J37" s="11" t="s">
        <v>169</v>
      </c>
      <c r="K37" t="s">
        <v>259</v>
      </c>
      <c r="L37" t="str">
        <f t="shared" si="0"/>
        <v>'turnos' : r_val['turnos'],</v>
      </c>
      <c r="M37" t="str">
        <f t="shared" si="1"/>
        <v>'cap4': cap4,</v>
      </c>
      <c r="N37" t="str">
        <f t="shared" si="2"/>
        <v>cap4 = cargar_imagen(docx_tpl, 'cap4', 'cap (4).jpg', 60, 'height', datos_airtable)</v>
      </c>
    </row>
    <row r="38" spans="2:14" x14ac:dyDescent="0.3">
      <c r="B38" t="s">
        <v>1812</v>
      </c>
      <c r="C38" t="s">
        <v>816</v>
      </c>
      <c r="D38" t="s">
        <v>805</v>
      </c>
      <c r="E38" t="s">
        <v>56</v>
      </c>
      <c r="F38" t="s">
        <v>106</v>
      </c>
      <c r="G38" t="s">
        <v>370</v>
      </c>
      <c r="H38">
        <v>60</v>
      </c>
      <c r="I38" t="s">
        <v>1672</v>
      </c>
      <c r="J38" s="12" t="s">
        <v>170</v>
      </c>
      <c r="K38" t="s">
        <v>260</v>
      </c>
      <c r="L38" t="str">
        <f t="shared" si="0"/>
        <v>'visitantes' : r_val['visitantes'],</v>
      </c>
      <c r="M38" t="str">
        <f t="shared" si="1"/>
        <v>'cap5': cap5,</v>
      </c>
      <c r="N38" t="str">
        <f t="shared" si="2"/>
        <v>cap5 = cargar_imagen(docx_tpl, 'cap5', 'cap (5).jpg', 60, 'height', datos_airtable)</v>
      </c>
    </row>
    <row r="39" spans="2:14" x14ac:dyDescent="0.3">
      <c r="B39" t="s">
        <v>1812</v>
      </c>
      <c r="C39" t="s">
        <v>816</v>
      </c>
      <c r="D39" t="s">
        <v>805</v>
      </c>
      <c r="E39" t="s">
        <v>57</v>
      </c>
      <c r="F39" t="s">
        <v>107</v>
      </c>
      <c r="G39" t="s">
        <v>371</v>
      </c>
      <c r="H39">
        <v>60</v>
      </c>
      <c r="I39" t="s">
        <v>1672</v>
      </c>
      <c r="J39" s="12" t="s">
        <v>171</v>
      </c>
      <c r="K39" t="s">
        <v>261</v>
      </c>
      <c r="L39" t="str">
        <f t="shared" si="0"/>
        <v>'proveedores' : r_val['proveedores'],</v>
      </c>
      <c r="M39" t="str">
        <f t="shared" si="1"/>
        <v>'cap6': cap6,</v>
      </c>
      <c r="N39" t="str">
        <f t="shared" si="2"/>
        <v>cap6 = cargar_imagen(docx_tpl, 'cap6', 'cap (6).jpg', 60, 'height', datos_airtable)</v>
      </c>
    </row>
    <row r="40" spans="2:14" x14ac:dyDescent="0.3">
      <c r="B40" t="s">
        <v>1812</v>
      </c>
      <c r="C40" t="s">
        <v>816</v>
      </c>
      <c r="D40" t="s">
        <v>805</v>
      </c>
      <c r="E40" t="s">
        <v>58</v>
      </c>
      <c r="F40" t="s">
        <v>108</v>
      </c>
      <c r="G40" t="s">
        <v>372</v>
      </c>
      <c r="H40">
        <v>60</v>
      </c>
      <c r="I40" t="s">
        <v>1672</v>
      </c>
      <c r="J40" s="11" t="s">
        <v>172</v>
      </c>
      <c r="K40" t="s">
        <v>262</v>
      </c>
      <c r="L40" t="str">
        <f t="shared" si="0"/>
        <v>'dias' : r_val['dias'],</v>
      </c>
      <c r="M40" t="str">
        <f t="shared" si="1"/>
        <v>'cap7': cap7,</v>
      </c>
      <c r="N40" t="str">
        <f t="shared" si="2"/>
        <v>cap7 = cargar_imagen(docx_tpl, 'cap7', 'cap (7).jpg', 60, 'height', datos_airtable)</v>
      </c>
    </row>
    <row r="41" spans="2:14" x14ac:dyDescent="0.3">
      <c r="B41" t="s">
        <v>1812</v>
      </c>
      <c r="C41" t="s">
        <v>816</v>
      </c>
      <c r="D41" t="s">
        <v>805</v>
      </c>
      <c r="E41" t="s">
        <v>59</v>
      </c>
      <c r="F41" t="s">
        <v>109</v>
      </c>
      <c r="G41" t="s">
        <v>373</v>
      </c>
      <c r="H41">
        <v>60</v>
      </c>
      <c r="I41" t="s">
        <v>1672</v>
      </c>
      <c r="J41" s="11" t="s">
        <v>173</v>
      </c>
      <c r="K41" t="s">
        <v>263</v>
      </c>
      <c r="L41" t="str">
        <f t="shared" si="0"/>
        <v>'horario' : r_val['horario'],</v>
      </c>
      <c r="M41" t="str">
        <f t="shared" si="1"/>
        <v>'cap8': cap8,</v>
      </c>
      <c r="N41" t="str">
        <f t="shared" si="2"/>
        <v>cap8 = cargar_imagen(docx_tpl, 'cap8', 'cap (8).jpg', 60, 'height', datos_airtable)</v>
      </c>
    </row>
    <row r="42" spans="2:14" x14ac:dyDescent="0.3">
      <c r="B42" t="s">
        <v>1812</v>
      </c>
      <c r="C42" t="s">
        <v>816</v>
      </c>
      <c r="D42" t="s">
        <v>805</v>
      </c>
      <c r="E42" t="s">
        <v>60</v>
      </c>
      <c r="F42" t="s">
        <v>110</v>
      </c>
      <c r="G42" t="s">
        <v>374</v>
      </c>
      <c r="H42">
        <v>60</v>
      </c>
      <c r="I42" t="s">
        <v>1672</v>
      </c>
      <c r="J42" s="3" t="s">
        <v>174</v>
      </c>
      <c r="K42" t="s">
        <v>264</v>
      </c>
      <c r="L42" t="str">
        <f t="shared" si="0"/>
        <v>'senial_informacion' : r_val['senial_informacion'],</v>
      </c>
      <c r="M42" t="str">
        <f t="shared" si="1"/>
        <v>'cap9': cap9,</v>
      </c>
      <c r="N42" t="str">
        <f t="shared" si="2"/>
        <v>cap9 = cargar_imagen(docx_tpl, 'cap9', 'cap (9).jpg', 60, 'height', datos_airtable)</v>
      </c>
    </row>
    <row r="43" spans="2:14" x14ac:dyDescent="0.3">
      <c r="B43" t="s">
        <v>1812</v>
      </c>
      <c r="C43" t="s">
        <v>816</v>
      </c>
      <c r="D43" t="s">
        <v>805</v>
      </c>
      <c r="E43" t="s">
        <v>61</v>
      </c>
      <c r="F43" t="s">
        <v>111</v>
      </c>
      <c r="G43" t="s">
        <v>375</v>
      </c>
      <c r="H43">
        <v>60</v>
      </c>
      <c r="I43" t="s">
        <v>1672</v>
      </c>
      <c r="J43" s="15" t="s">
        <v>409</v>
      </c>
      <c r="K43" t="s">
        <v>265</v>
      </c>
      <c r="L43" t="str">
        <f t="shared" si="0"/>
        <v>'botiquin_emer' : r_val['botiquin_emer'],</v>
      </c>
      <c r="M43" t="str">
        <f t="shared" si="1"/>
        <v>'cap10': cap10,</v>
      </c>
      <c r="N43" t="str">
        <f t="shared" si="2"/>
        <v>cap10 = cargar_imagen(docx_tpl, 'cap10', 'cap (10).jpg', 60, 'height', datos_airtable)</v>
      </c>
    </row>
    <row r="44" spans="2:14" x14ac:dyDescent="0.3">
      <c r="B44" t="s">
        <v>1812</v>
      </c>
      <c r="C44" t="s">
        <v>816</v>
      </c>
      <c r="D44" t="s">
        <v>805</v>
      </c>
      <c r="E44" t="s">
        <v>62</v>
      </c>
      <c r="F44" t="s">
        <v>112</v>
      </c>
      <c r="G44" t="s">
        <v>376</v>
      </c>
      <c r="H44">
        <v>60</v>
      </c>
      <c r="I44" t="s">
        <v>1672</v>
      </c>
      <c r="J44" s="15" t="s">
        <v>175</v>
      </c>
      <c r="K44" t="s">
        <v>266</v>
      </c>
      <c r="L44" t="str">
        <f t="shared" si="0"/>
        <v>'ubicación_bot' : r_val['ubicación_bot'],</v>
      </c>
      <c r="M44" t="str">
        <f t="shared" si="1"/>
        <v>'cap11': cap11,</v>
      </c>
      <c r="N44" t="str">
        <f t="shared" si="2"/>
        <v>cap11 = cargar_imagen(docx_tpl, 'cap11', 'cap (11).jpg', 60, 'height', datos_airtable)</v>
      </c>
    </row>
    <row r="45" spans="2:14" x14ac:dyDescent="0.3">
      <c r="B45" t="s">
        <v>1812</v>
      </c>
      <c r="C45" t="s">
        <v>816</v>
      </c>
      <c r="D45" t="s">
        <v>805</v>
      </c>
      <c r="E45" t="s">
        <v>63</v>
      </c>
      <c r="F45" t="s">
        <v>113</v>
      </c>
      <c r="G45" t="s">
        <v>377</v>
      </c>
      <c r="H45">
        <v>60</v>
      </c>
      <c r="I45" t="s">
        <v>1672</v>
      </c>
      <c r="J45" s="3" t="s">
        <v>176</v>
      </c>
      <c r="K45" t="s">
        <v>267</v>
      </c>
      <c r="L45" t="str">
        <f t="shared" si="0"/>
        <v>'extintor' : r_val['extintor'],</v>
      </c>
      <c r="M45" t="str">
        <f t="shared" si="1"/>
        <v>'cap12': cap12,</v>
      </c>
      <c r="N45" t="str">
        <f t="shared" si="2"/>
        <v>cap12 = cargar_imagen(docx_tpl, 'cap12', 'cap (12).jpg', 60, 'height', datos_airtable)</v>
      </c>
    </row>
    <row r="46" spans="2:14" x14ac:dyDescent="0.3">
      <c r="B46" t="s">
        <v>1812</v>
      </c>
      <c r="C46" t="s">
        <v>816</v>
      </c>
      <c r="D46" t="s">
        <v>805</v>
      </c>
      <c r="E46" t="s">
        <v>64</v>
      </c>
      <c r="F46" t="s">
        <v>114</v>
      </c>
      <c r="G46" t="s">
        <v>378</v>
      </c>
      <c r="H46">
        <v>60</v>
      </c>
      <c r="I46" t="s">
        <v>1672</v>
      </c>
      <c r="J46" s="15" t="s">
        <v>177</v>
      </c>
      <c r="K46" t="s">
        <v>268</v>
      </c>
      <c r="L46" t="str">
        <f t="shared" si="0"/>
        <v>'ubicación_ext' : r_val['ubicación_ext'],</v>
      </c>
      <c r="M46" t="str">
        <f t="shared" si="1"/>
        <v>'sim1': sim1,</v>
      </c>
      <c r="N46" t="str">
        <f t="shared" si="2"/>
        <v>sim1 = cargar_imagen(docx_tpl, 'sim1', 'sim (1).jpg', 60, 'height', datos_airtable)</v>
      </c>
    </row>
    <row r="47" spans="2:14" x14ac:dyDescent="0.3">
      <c r="B47" t="s">
        <v>1812</v>
      </c>
      <c r="C47" t="s">
        <v>816</v>
      </c>
      <c r="D47" t="s">
        <v>805</v>
      </c>
      <c r="E47" t="s">
        <v>65</v>
      </c>
      <c r="F47" t="s">
        <v>115</v>
      </c>
      <c r="G47" t="s">
        <v>379</v>
      </c>
      <c r="H47">
        <v>60</v>
      </c>
      <c r="I47" t="s">
        <v>1672</v>
      </c>
      <c r="J47" s="15" t="s">
        <v>683</v>
      </c>
      <c r="K47" t="s">
        <v>685</v>
      </c>
      <c r="L47" t="str">
        <f t="shared" ref="L47:L78" si="3">+_xlfn.CONCAT("'",J47,"' : r_val['",J47,"'],")</f>
        <v>'ext_pqs' : r_val['ext_pqs'],</v>
      </c>
      <c r="M47" t="str">
        <f t="shared" si="1"/>
        <v>'sim2': sim2,</v>
      </c>
      <c r="N47" t="str">
        <f t="shared" si="2"/>
        <v>sim2 = cargar_imagen(docx_tpl, 'sim2', 'sim (2).jpg', 60, 'height', datos_airtable)</v>
      </c>
    </row>
    <row r="48" spans="2:14" x14ac:dyDescent="0.3">
      <c r="B48" t="s">
        <v>1812</v>
      </c>
      <c r="C48" t="s">
        <v>816</v>
      </c>
      <c r="D48" t="s">
        <v>805</v>
      </c>
      <c r="E48" t="s">
        <v>66</v>
      </c>
      <c r="F48" t="s">
        <v>116</v>
      </c>
      <c r="G48" t="s">
        <v>380</v>
      </c>
      <c r="H48">
        <v>60</v>
      </c>
      <c r="I48" t="s">
        <v>1672</v>
      </c>
      <c r="J48" s="15" t="s">
        <v>684</v>
      </c>
      <c r="K48" t="s">
        <v>686</v>
      </c>
      <c r="L48" t="str">
        <f t="shared" si="3"/>
        <v>'ext_co2' : r_val['ext_co2'],</v>
      </c>
      <c r="M48" t="str">
        <f t="shared" si="1"/>
        <v>'sim3': sim3,</v>
      </c>
      <c r="N48" t="str">
        <f t="shared" si="2"/>
        <v>sim3 = cargar_imagen(docx_tpl, 'sim3', 'sim (3).jpg', 60, 'height', datos_airtable)</v>
      </c>
    </row>
    <row r="49" spans="2:14" x14ac:dyDescent="0.3">
      <c r="B49" t="s">
        <v>1812</v>
      </c>
      <c r="C49" t="s">
        <v>816</v>
      </c>
      <c r="D49" t="s">
        <v>805</v>
      </c>
      <c r="E49" t="s">
        <v>67</v>
      </c>
      <c r="F49" t="s">
        <v>117</v>
      </c>
      <c r="G49" t="s">
        <v>381</v>
      </c>
      <c r="H49">
        <v>60</v>
      </c>
      <c r="I49" t="s">
        <v>1672</v>
      </c>
      <c r="J49" s="16" t="s">
        <v>178</v>
      </c>
      <c r="K49" t="s">
        <v>269</v>
      </c>
      <c r="L49" t="str">
        <f t="shared" si="3"/>
        <v>'paros_emergencia' : r_val['paros_emergencia'],</v>
      </c>
      <c r="M49" t="str">
        <f t="shared" si="1"/>
        <v>'sim4': sim4,</v>
      </c>
      <c r="N49" t="str">
        <f t="shared" si="2"/>
        <v>sim4 = cargar_imagen(docx_tpl, 'sim4', 'sim (4).jpg', 60, 'height', datos_airtable)</v>
      </c>
    </row>
    <row r="50" spans="2:14" x14ac:dyDescent="0.3">
      <c r="B50" t="s">
        <v>1812</v>
      </c>
      <c r="C50" t="s">
        <v>816</v>
      </c>
      <c r="D50" t="s">
        <v>805</v>
      </c>
      <c r="E50" t="s">
        <v>68</v>
      </c>
      <c r="F50" t="s">
        <v>118</v>
      </c>
      <c r="G50" t="s">
        <v>382</v>
      </c>
      <c r="H50">
        <v>60</v>
      </c>
      <c r="I50" t="s">
        <v>1672</v>
      </c>
      <c r="J50" s="16" t="s">
        <v>179</v>
      </c>
      <c r="K50" t="s">
        <v>270</v>
      </c>
      <c r="L50" t="str">
        <f t="shared" si="3"/>
        <v>'ubicación_pe' : r_val['ubicación_pe'],</v>
      </c>
      <c r="M50" t="str">
        <f t="shared" si="1"/>
        <v>'sim5': sim5,</v>
      </c>
      <c r="N50" t="str">
        <f t="shared" si="2"/>
        <v>sim5 = cargar_imagen(docx_tpl, 'sim5', 'sim (5).jpg', 60, 'height', datos_airtable)</v>
      </c>
    </row>
    <row r="51" spans="2:14" x14ac:dyDescent="0.3">
      <c r="B51" t="s">
        <v>1812</v>
      </c>
      <c r="C51" t="s">
        <v>816</v>
      </c>
      <c r="D51" t="s">
        <v>805</v>
      </c>
      <c r="E51" t="s">
        <v>69</v>
      </c>
      <c r="F51" t="s">
        <v>119</v>
      </c>
      <c r="G51" t="s">
        <v>383</v>
      </c>
      <c r="H51">
        <v>60</v>
      </c>
      <c r="I51" t="s">
        <v>1672</v>
      </c>
      <c r="J51" s="16" t="s">
        <v>398</v>
      </c>
      <c r="K51" t="s">
        <v>399</v>
      </c>
      <c r="L51" t="str">
        <f t="shared" si="3"/>
        <v>'venteo_sist' : r_val['venteo_sist'],</v>
      </c>
      <c r="M51" t="str">
        <f>+_xlfn.CONCAT("'",E51,"': ",E51,",")</f>
        <v>'sim6': sim6,</v>
      </c>
      <c r="N51" t="str">
        <f t="shared" si="2"/>
        <v>sim6 = cargar_imagen(docx_tpl, 'sim6', 'sim (6).jpg', 60, 'height', datos_airtable)</v>
      </c>
    </row>
    <row r="52" spans="2:14" x14ac:dyDescent="0.3">
      <c r="B52" t="s">
        <v>1812</v>
      </c>
      <c r="C52" t="s">
        <v>816</v>
      </c>
      <c r="D52" t="s">
        <v>805</v>
      </c>
      <c r="E52" t="s">
        <v>70</v>
      </c>
      <c r="F52" t="s">
        <v>120</v>
      </c>
      <c r="G52" t="s">
        <v>384</v>
      </c>
      <c r="H52">
        <v>60</v>
      </c>
      <c r="I52" t="s">
        <v>1672</v>
      </c>
      <c r="J52" s="16" t="s">
        <v>181</v>
      </c>
      <c r="K52" t="s">
        <v>272</v>
      </c>
      <c r="L52" t="str">
        <f t="shared" si="3"/>
        <v>'ubicación_vent' : r_val['ubicación_vent'],</v>
      </c>
      <c r="M52" t="str">
        <f t="shared" si="1"/>
        <v>'techo': techo,</v>
      </c>
      <c r="N52" t="str">
        <f t="shared" si="2"/>
        <v>techo = cargar_imagen(docx_tpl, 'techo', 'techo.jpg', 60, 'height', datos_airtable)</v>
      </c>
    </row>
    <row r="53" spans="2:14" x14ac:dyDescent="0.3">
      <c r="B53" t="s">
        <v>1812</v>
      </c>
      <c r="C53" t="s">
        <v>816</v>
      </c>
      <c r="D53" t="s">
        <v>805</v>
      </c>
      <c r="E53" t="s">
        <v>71</v>
      </c>
      <c r="F53" t="s">
        <v>121</v>
      </c>
      <c r="G53" t="s">
        <v>385</v>
      </c>
      <c r="H53">
        <v>50</v>
      </c>
      <c r="I53" t="s">
        <v>1672</v>
      </c>
      <c r="J53" s="20" t="s">
        <v>410</v>
      </c>
      <c r="K53" t="s">
        <v>411</v>
      </c>
      <c r="L53" t="str">
        <f t="shared" si="3"/>
        <v>'planta_emer' : r_val['planta_emer'],</v>
      </c>
      <c r="M53" t="str">
        <f t="shared" si="1"/>
        <v>'pisos': pisos,</v>
      </c>
      <c r="N53" t="str">
        <f t="shared" si="2"/>
        <v>pisos = cargar_imagen(docx_tpl, 'pisos', 'pisos.jpg', 50, 'height', datos_airtable)</v>
      </c>
    </row>
    <row r="54" spans="2:14" x14ac:dyDescent="0.3">
      <c r="B54" t="s">
        <v>1812</v>
      </c>
      <c r="C54" t="s">
        <v>816</v>
      </c>
      <c r="E54" t="s">
        <v>72</v>
      </c>
      <c r="F54" t="s">
        <v>122</v>
      </c>
      <c r="G54" t="s">
        <v>386</v>
      </c>
      <c r="H54">
        <v>50</v>
      </c>
      <c r="I54" t="s">
        <v>1672</v>
      </c>
      <c r="J54" s="20" t="s">
        <v>182</v>
      </c>
      <c r="K54" t="s">
        <v>274</v>
      </c>
      <c r="L54" t="str">
        <f t="shared" si="3"/>
        <v>'ubicación_plant' : r_val['ubicación_plant'],</v>
      </c>
      <c r="M54" t="str">
        <f t="shared" si="1"/>
        <v>'puerta': puerta,</v>
      </c>
      <c r="N54" t="str">
        <f t="shared" si="2"/>
        <v>puerta = cargar_imagen(docx_tpl, 'puerta', 'puerta.jpg', 50, 'height', datos_airtable)</v>
      </c>
    </row>
    <row r="55" spans="2:14" x14ac:dyDescent="0.3">
      <c r="C55" t="s">
        <v>816</v>
      </c>
      <c r="E55" t="s">
        <v>73</v>
      </c>
      <c r="F55" t="s">
        <v>123</v>
      </c>
      <c r="G55" t="s">
        <v>387</v>
      </c>
      <c r="H55">
        <v>50</v>
      </c>
      <c r="I55" t="s">
        <v>1672</v>
      </c>
      <c r="J55" s="15" t="s">
        <v>407</v>
      </c>
      <c r="K55" t="s">
        <v>408</v>
      </c>
      <c r="L55" t="str">
        <f t="shared" si="3"/>
        <v>'met_alarma' : r_val['met_alarma'],</v>
      </c>
      <c r="M55" t="str">
        <f t="shared" si="1"/>
        <v>'estantes': estantes,</v>
      </c>
      <c r="N55" t="str">
        <f t="shared" si="2"/>
        <v>estantes = cargar_imagen(docx_tpl, 'estantes', 'estantes.jpg', 50, 'height', datos_airtable)</v>
      </c>
    </row>
    <row r="56" spans="2:14" x14ac:dyDescent="0.3">
      <c r="C56" t="s">
        <v>816</v>
      </c>
      <c r="D56" t="s">
        <v>805</v>
      </c>
      <c r="E56" t="s">
        <v>14</v>
      </c>
      <c r="F56" t="s">
        <v>124</v>
      </c>
      <c r="G56" t="s">
        <v>293</v>
      </c>
      <c r="H56">
        <v>50</v>
      </c>
      <c r="I56" t="s">
        <v>1672</v>
      </c>
      <c r="J56" s="15" t="s">
        <v>7</v>
      </c>
      <c r="K56" t="s">
        <v>276</v>
      </c>
      <c r="L56" t="str">
        <f t="shared" si="3"/>
        <v>'tipo_alarma' : r_val['tipo_alarma'],</v>
      </c>
      <c r="M56" t="str">
        <f t="shared" si="1"/>
        <v>'site': site,</v>
      </c>
      <c r="N56" t="str">
        <f t="shared" si="2"/>
        <v>site = cargar_imagen(docx_tpl, 'site', 'site.jpg', 50, 'height', datos_airtable)</v>
      </c>
    </row>
    <row r="57" spans="2:14" x14ac:dyDescent="0.3">
      <c r="B57" t="s">
        <v>1812</v>
      </c>
      <c r="C57" t="s">
        <v>816</v>
      </c>
      <c r="D57" t="s">
        <v>805</v>
      </c>
      <c r="E57" t="s">
        <v>74</v>
      </c>
      <c r="F57" t="s">
        <v>125</v>
      </c>
      <c r="G57" t="s">
        <v>388</v>
      </c>
      <c r="H57">
        <v>50</v>
      </c>
      <c r="I57" t="s">
        <v>1672</v>
      </c>
      <c r="J57" s="3" t="s">
        <v>687</v>
      </c>
      <c r="K57" t="s">
        <v>688</v>
      </c>
      <c r="L57" t="str">
        <f t="shared" si="3"/>
        <v>'silbato' : r_val['silbato'],</v>
      </c>
      <c r="M57" t="str">
        <f t="shared" si="1"/>
        <v>'dh': dh,</v>
      </c>
      <c r="N57" t="str">
        <f t="shared" si="2"/>
        <v>dh = cargar_imagen(docx_tpl, 'dh', 'dh.jpg', 50, 'height', datos_airtable)</v>
      </c>
    </row>
    <row r="58" spans="2:14" x14ac:dyDescent="0.3">
      <c r="C58" t="s">
        <v>816</v>
      </c>
      <c r="D58" t="s">
        <v>805</v>
      </c>
      <c r="E58" t="s">
        <v>75</v>
      </c>
      <c r="F58" t="s">
        <v>126</v>
      </c>
      <c r="G58" t="s">
        <v>389</v>
      </c>
      <c r="H58">
        <v>50</v>
      </c>
      <c r="I58" t="s">
        <v>1672</v>
      </c>
      <c r="J58" s="3" t="s">
        <v>689</v>
      </c>
      <c r="K58" t="s">
        <v>690</v>
      </c>
      <c r="L58" t="str">
        <f t="shared" si="3"/>
        <v>'estrobo' : r_val['estrobo'],</v>
      </c>
      <c r="M58" t="str">
        <f t="shared" si="1"/>
        <v>'ventanas': ventanas,</v>
      </c>
      <c r="N58" t="str">
        <f t="shared" si="2"/>
        <v>ventanas = cargar_imagen(docx_tpl, 'ventanas', 'ventanas.jpg', 50, 'height', datos_airtable)</v>
      </c>
    </row>
    <row r="59" spans="2:14" x14ac:dyDescent="0.3">
      <c r="D59" t="s">
        <v>805</v>
      </c>
      <c r="E59" t="s">
        <v>76</v>
      </c>
      <c r="F59" t="s">
        <v>127</v>
      </c>
      <c r="G59" t="s">
        <v>390</v>
      </c>
      <c r="H59">
        <v>50</v>
      </c>
      <c r="I59" t="s">
        <v>1672</v>
      </c>
      <c r="J59" s="15" t="s">
        <v>8</v>
      </c>
      <c r="K59" t="s">
        <v>277</v>
      </c>
      <c r="L59" t="str">
        <f t="shared" si="3"/>
        <v>'ubicacion_alarma' : r_val['ubicacion_alarma'],</v>
      </c>
      <c r="M59" t="str">
        <f t="shared" si="1"/>
        <v>'compresor': compresor,</v>
      </c>
      <c r="N59" t="str">
        <f t="shared" si="2"/>
        <v>compresor = cargar_imagen(docx_tpl, 'compresor', 'compresor.jpg', 50, 'height', datos_airtable)</v>
      </c>
    </row>
    <row r="60" spans="2:14" x14ac:dyDescent="0.3">
      <c r="D60" t="s">
        <v>805</v>
      </c>
      <c r="E60" t="s">
        <v>77</v>
      </c>
      <c r="F60" t="s">
        <v>128</v>
      </c>
      <c r="G60" t="s">
        <v>391</v>
      </c>
      <c r="H60">
        <v>50</v>
      </c>
      <c r="I60" t="s">
        <v>1672</v>
      </c>
      <c r="J60" s="15" t="s">
        <v>3</v>
      </c>
      <c r="K60" t="s">
        <v>278</v>
      </c>
      <c r="L60" t="str">
        <f t="shared" si="3"/>
        <v>'detectores_humo' : r_val['detectores_humo'],</v>
      </c>
      <c r="M60" t="str">
        <f t="shared" si="1"/>
        <v>'quimicos': quimicos,</v>
      </c>
      <c r="N60" t="str">
        <f t="shared" si="2"/>
        <v>quimicos = cargar_imagen(docx_tpl, 'quimicos', 'quimicos.jpg', 50, 'height', datos_airtable)</v>
      </c>
    </row>
    <row r="61" spans="2:14" x14ac:dyDescent="0.3">
      <c r="B61" t="s">
        <v>1812</v>
      </c>
      <c r="D61" t="s">
        <v>805</v>
      </c>
      <c r="E61" t="s">
        <v>78</v>
      </c>
      <c r="F61" t="s">
        <v>129</v>
      </c>
      <c r="G61" t="s">
        <v>392</v>
      </c>
      <c r="H61">
        <v>50</v>
      </c>
      <c r="I61" t="s">
        <v>1672</v>
      </c>
      <c r="J61" s="15" t="s">
        <v>4</v>
      </c>
      <c r="K61" t="s">
        <v>279</v>
      </c>
      <c r="L61" t="str">
        <f t="shared" si="3"/>
        <v>'ubicación_dh' : r_val['ubicación_dh'],</v>
      </c>
      <c r="M61" t="str">
        <f t="shared" si="1"/>
        <v>'tanques_gaso': tanques_gaso,</v>
      </c>
      <c r="N61" t="str">
        <f t="shared" si="2"/>
        <v>tanques_gaso = cargar_imagen(docx_tpl, 'tanques_gaso', 'tanques_gaso.jpg', 50, 'height', datos_airtable)</v>
      </c>
    </row>
    <row r="62" spans="2:14" x14ac:dyDescent="0.3">
      <c r="D62" t="s">
        <v>805</v>
      </c>
      <c r="E62" t="s">
        <v>79</v>
      </c>
      <c r="F62" t="s">
        <v>130</v>
      </c>
      <c r="G62" t="s">
        <v>393</v>
      </c>
      <c r="H62">
        <v>50</v>
      </c>
      <c r="I62" t="s">
        <v>1672</v>
      </c>
      <c r="J62" s="13" t="s">
        <v>183</v>
      </c>
      <c r="K62" t="s">
        <v>280</v>
      </c>
      <c r="L62" t="str">
        <f t="shared" si="3"/>
        <v>'ruta_evac' : r_val['ruta_evac'],</v>
      </c>
      <c r="M62" t="str">
        <f t="shared" si="1"/>
        <v>'paro': paro,</v>
      </c>
      <c r="N62" t="str">
        <f t="shared" si="2"/>
        <v>paro = cargar_imagen(docx_tpl, 'paro', 'paro.jpg', 50, 'height', datos_airtable)</v>
      </c>
    </row>
    <row r="63" spans="2:14" x14ac:dyDescent="0.3">
      <c r="D63" t="s">
        <v>805</v>
      </c>
      <c r="E63" t="s">
        <v>80</v>
      </c>
      <c r="F63" t="s">
        <v>131</v>
      </c>
      <c r="G63" t="s">
        <v>394</v>
      </c>
      <c r="H63">
        <v>50</v>
      </c>
      <c r="I63" t="s">
        <v>1672</v>
      </c>
      <c r="J63" s="13" t="s">
        <v>5</v>
      </c>
      <c r="K63" t="s">
        <v>248</v>
      </c>
      <c r="L63" t="str">
        <f t="shared" si="3"/>
        <v>'escaleras' : r_val['escaleras'],</v>
      </c>
      <c r="M63" t="str">
        <f t="shared" si="1"/>
        <v>'trampa_grasa': trampa_grasa,</v>
      </c>
      <c r="N63" t="str">
        <f t="shared" si="2"/>
        <v>trampa_grasa = cargar_imagen(docx_tpl, 'trampa_grasa', 'trampa_grasa.jpg', 50, 'height', datos_airtable)</v>
      </c>
    </row>
    <row r="64" spans="2:14" x14ac:dyDescent="0.3">
      <c r="E64" t="s">
        <v>21</v>
      </c>
      <c r="F64" t="s">
        <v>412</v>
      </c>
      <c r="G64" t="s">
        <v>273</v>
      </c>
      <c r="H64">
        <v>50</v>
      </c>
      <c r="I64" t="s">
        <v>1672</v>
      </c>
      <c r="J64" s="13" t="s">
        <v>184</v>
      </c>
      <c r="K64" t="s">
        <v>281</v>
      </c>
      <c r="L64" t="str">
        <f t="shared" si="3"/>
        <v>'salida_emerg' : r_val['salida_emerg'],</v>
      </c>
      <c r="M64" t="str">
        <f t="shared" si="1"/>
        <v>'planta': planta,</v>
      </c>
      <c r="N64" t="str">
        <f t="shared" si="2"/>
        <v>planta = cargar_imagen(docx_tpl, 'planta', 'planta.jpg', 50, 'height', datos_airtable)</v>
      </c>
    </row>
    <row r="65" spans="2:14" x14ac:dyDescent="0.3">
      <c r="E65" t="s">
        <v>413</v>
      </c>
      <c r="F65" t="s">
        <v>414</v>
      </c>
      <c r="G65" t="s">
        <v>415</v>
      </c>
      <c r="H65">
        <v>50</v>
      </c>
      <c r="I65" t="s">
        <v>1672</v>
      </c>
      <c r="J65" s="13" t="s">
        <v>185</v>
      </c>
      <c r="K65" t="s">
        <v>282</v>
      </c>
      <c r="L65" t="str">
        <f t="shared" si="3"/>
        <v>'zona_menor_rg' : r_val['zona_menor_rg'],</v>
      </c>
      <c r="M65" t="str">
        <f t="shared" si="1"/>
        <v>'deposito': deposito,</v>
      </c>
      <c r="N65" t="str">
        <f t="shared" si="2"/>
        <v>deposito = cargar_imagen(docx_tpl, 'deposito', 'deposito.jpg', 50, 'height', datos_airtable)</v>
      </c>
    </row>
    <row r="66" spans="2:14" x14ac:dyDescent="0.3">
      <c r="C66" t="s">
        <v>816</v>
      </c>
      <c r="E66" t="s">
        <v>586</v>
      </c>
      <c r="F66" t="s">
        <v>587</v>
      </c>
      <c r="G66" t="s">
        <v>585</v>
      </c>
      <c r="H66">
        <v>160</v>
      </c>
      <c r="I66" t="s">
        <v>1671</v>
      </c>
      <c r="J66" s="13" t="s">
        <v>186</v>
      </c>
      <c r="K66" t="s">
        <v>283</v>
      </c>
      <c r="L66" t="str">
        <f t="shared" si="3"/>
        <v>'punto_reunion' : r_val['punto_reunion'],</v>
      </c>
      <c r="M66" t="str">
        <f t="shared" si="1"/>
        <v>'mapa_satel': mapa_satel,</v>
      </c>
      <c r="N66" t="str">
        <f t="shared" ref="N66:N125" si="4">+_xlfn.CONCAT(E66," = cargar_imagen(docx_tpl", ", '",E66,"'", ", '",F66,"', ", H66, ", '",I66,"'",", datos_airtable)")</f>
        <v>mapa_satel = cargar_imagen(docx_tpl, 'mapa_satel', 'mapa_satel.png', 160, 'width', datos_airtable)</v>
      </c>
    </row>
    <row r="67" spans="2:14" x14ac:dyDescent="0.3">
      <c r="C67" t="s">
        <v>816</v>
      </c>
      <c r="E67" t="s">
        <v>588</v>
      </c>
      <c r="F67" t="s">
        <v>589</v>
      </c>
      <c r="G67" t="s">
        <v>590</v>
      </c>
      <c r="H67">
        <v>160</v>
      </c>
      <c r="I67" t="s">
        <v>1671</v>
      </c>
      <c r="J67" s="13" t="s">
        <v>6</v>
      </c>
      <c r="K67" t="s">
        <v>284</v>
      </c>
      <c r="L67" t="str">
        <f t="shared" si="3"/>
        <v>'sismo_incendio' : r_val['sismo_incendio'],</v>
      </c>
      <c r="M67" t="str">
        <f t="shared" ref="M67:M105" si="5">+_xlfn.CONCAT("'",E67,"': ",E67,",")</f>
        <v>'plano': plano,</v>
      </c>
      <c r="N67" t="str">
        <f t="shared" si="4"/>
        <v>plano = cargar_imagen(docx_tpl, 'plano', 'plano.jpg', 160, 'width', datos_airtable)</v>
      </c>
    </row>
    <row r="68" spans="2:14" x14ac:dyDescent="0.3">
      <c r="C68" t="s">
        <v>816</v>
      </c>
      <c r="E68" t="s">
        <v>591</v>
      </c>
      <c r="F68" t="s">
        <v>592</v>
      </c>
      <c r="G68" t="s">
        <v>593</v>
      </c>
      <c r="H68">
        <v>50</v>
      </c>
      <c r="I68" t="s">
        <v>1672</v>
      </c>
      <c r="J68" s="13" t="s">
        <v>187</v>
      </c>
      <c r="K68" t="s">
        <v>285</v>
      </c>
      <c r="L68" t="str">
        <f t="shared" si="3"/>
        <v>'riesgo_electrico' : r_val['riesgo_electrico'],</v>
      </c>
      <c r="M68" t="str">
        <f t="shared" si="5"/>
        <v>'inmueble1': inmueble1,</v>
      </c>
      <c r="N68" t="str">
        <f t="shared" si="4"/>
        <v>inmueble1 = cargar_imagen(docx_tpl, 'inmueble1', 'inmueble (1).jpg', 50, 'height', datos_airtable)</v>
      </c>
    </row>
    <row r="69" spans="2:14" x14ac:dyDescent="0.3">
      <c r="C69" t="s">
        <v>816</v>
      </c>
      <c r="E69" t="s">
        <v>594</v>
      </c>
      <c r="F69" t="s">
        <v>595</v>
      </c>
      <c r="G69" t="s">
        <v>596</v>
      </c>
      <c r="H69">
        <v>50</v>
      </c>
      <c r="I69" t="s">
        <v>1672</v>
      </c>
      <c r="J69" s="3" t="s">
        <v>188</v>
      </c>
      <c r="K69" t="s">
        <v>286</v>
      </c>
      <c r="L69" t="str">
        <f t="shared" si="3"/>
        <v>'senial_prohibicion' : r_val['senial_prohibicion'],</v>
      </c>
      <c r="M69" t="str">
        <f t="shared" si="5"/>
        <v>'inmueble2': inmueble2,</v>
      </c>
      <c r="N69" t="str">
        <f t="shared" si="4"/>
        <v>inmueble2 = cargar_imagen(docx_tpl, 'inmueble2', 'inmueble (2).jpg', 50, 'height', datos_airtable)</v>
      </c>
    </row>
    <row r="70" spans="2:14" x14ac:dyDescent="0.3">
      <c r="C70" t="s">
        <v>816</v>
      </c>
      <c r="E70" t="s">
        <v>597</v>
      </c>
      <c r="F70" t="s">
        <v>598</v>
      </c>
      <c r="G70" t="s">
        <v>599</v>
      </c>
      <c r="H70">
        <v>50</v>
      </c>
      <c r="I70" t="s">
        <v>1672</v>
      </c>
      <c r="J70" s="13" t="s">
        <v>189</v>
      </c>
      <c r="K70" t="s">
        <v>287</v>
      </c>
      <c r="L70" t="str">
        <f t="shared" si="3"/>
        <v>'no_fumar' : r_val['no_fumar'],</v>
      </c>
      <c r="M70" t="str">
        <f t="shared" si="5"/>
        <v>'banio1': banio1,</v>
      </c>
      <c r="N70" t="str">
        <f t="shared" si="4"/>
        <v>banio1 = cargar_imagen(docx_tpl, 'banio1', 'banio1.jpg', 50, 'height', datos_airtable)</v>
      </c>
    </row>
    <row r="71" spans="2:14" x14ac:dyDescent="0.3">
      <c r="C71" t="s">
        <v>816</v>
      </c>
      <c r="E71" t="s">
        <v>600</v>
      </c>
      <c r="F71" t="s">
        <v>601</v>
      </c>
      <c r="G71" t="s">
        <v>602</v>
      </c>
      <c r="H71">
        <v>50</v>
      </c>
      <c r="I71" t="s">
        <v>1672</v>
      </c>
      <c r="J71" s="13" t="s">
        <v>530</v>
      </c>
      <c r="K71" t="s">
        <v>2027</v>
      </c>
      <c r="L71" t="str">
        <f t="shared" si="3"/>
        <v>'area_restrig ' : r_val['area_restrig '],</v>
      </c>
      <c r="M71" t="str">
        <f t="shared" si="5"/>
        <v>'electrico1': electrico1,</v>
      </c>
      <c r="N71" t="str">
        <f t="shared" si="4"/>
        <v>electrico1 = cargar_imagen(docx_tpl, 'electrico1', 'electrico1.jpg', 50, 'height', datos_airtable)</v>
      </c>
    </row>
    <row r="72" spans="2:14" x14ac:dyDescent="0.3">
      <c r="C72" t="s">
        <v>816</v>
      </c>
      <c r="D72" t="s">
        <v>805</v>
      </c>
      <c r="E72" t="s">
        <v>691</v>
      </c>
      <c r="F72" t="s">
        <v>692</v>
      </c>
      <c r="G72" t="s">
        <v>693</v>
      </c>
      <c r="H72">
        <v>50</v>
      </c>
      <c r="I72" t="s">
        <v>1672</v>
      </c>
      <c r="J72" s="16" t="s">
        <v>9</v>
      </c>
      <c r="K72" t="s">
        <v>288</v>
      </c>
      <c r="L72" t="str">
        <f t="shared" si="3"/>
        <v>'apague_motor' : r_val['apague_motor'],</v>
      </c>
      <c r="M72" t="str">
        <f t="shared" si="5"/>
        <v>'fachada1': fachada1,</v>
      </c>
      <c r="N72" t="str">
        <f t="shared" si="4"/>
        <v>fachada1 = cargar_imagen(docx_tpl, 'fachada1', 'fachada1.jpg', 50, 'height', datos_airtable)</v>
      </c>
    </row>
    <row r="73" spans="2:14" x14ac:dyDescent="0.3">
      <c r="C73" t="s">
        <v>816</v>
      </c>
      <c r="E73" t="s">
        <v>696</v>
      </c>
      <c r="F73" t="s">
        <v>697</v>
      </c>
      <c r="G73" t="s">
        <v>698</v>
      </c>
      <c r="H73">
        <v>50</v>
      </c>
      <c r="I73" t="s">
        <v>1672</v>
      </c>
      <c r="J73" s="13" t="s">
        <v>10</v>
      </c>
      <c r="K73" t="s">
        <v>289</v>
      </c>
      <c r="L73" t="str">
        <f t="shared" si="3"/>
        <v>'no_celular' : r_val['no_celular'],</v>
      </c>
      <c r="M73" t="str">
        <f t="shared" si="5"/>
        <v>'bateria': bateria,</v>
      </c>
      <c r="N73" t="str">
        <f t="shared" si="4"/>
        <v>bateria = cargar_imagen(docx_tpl, 'bateria', 'bateria.jpg', 50, 'height', datos_airtable)</v>
      </c>
    </row>
    <row r="74" spans="2:14" x14ac:dyDescent="0.3">
      <c r="B74" t="s">
        <v>1812</v>
      </c>
      <c r="C74" t="s">
        <v>816</v>
      </c>
      <c r="D74" t="s">
        <v>805</v>
      </c>
      <c r="E74" t="s">
        <v>699</v>
      </c>
      <c r="F74" t="str">
        <f>+_xlfn.CONCAT(E74,".png")</f>
        <v>acta1.png</v>
      </c>
      <c r="G74" t="str">
        <f>+_xlfn.CONCAT("{{ ",E74," }}")</f>
        <v>{{ acta1 }}</v>
      </c>
      <c r="H74">
        <v>155</v>
      </c>
      <c r="I74" t="s">
        <v>1671</v>
      </c>
      <c r="J74" s="13" t="s">
        <v>11</v>
      </c>
      <c r="K74" t="s">
        <v>290</v>
      </c>
      <c r="L74" t="str">
        <f t="shared" si="3"/>
        <v>'no_gorra_lentes' : r_val['no_gorra_lentes'],</v>
      </c>
      <c r="M74" t="str">
        <f t="shared" si="5"/>
        <v>'acta1': acta1,</v>
      </c>
      <c r="N74" t="str">
        <f t="shared" si="4"/>
        <v>acta1 = cargar_imagen(docx_tpl, 'acta1', 'acta1.png', 155, 'width', datos_airtable)</v>
      </c>
    </row>
    <row r="75" spans="2:14" x14ac:dyDescent="0.3">
      <c r="B75" t="s">
        <v>1812</v>
      </c>
      <c r="C75" t="s">
        <v>816</v>
      </c>
      <c r="D75" t="s">
        <v>805</v>
      </c>
      <c r="E75" t="s">
        <v>700</v>
      </c>
      <c r="F75" t="str">
        <f>+_xlfn.CONCAT(E75,".png")</f>
        <v>acta2.png</v>
      </c>
      <c r="G75" t="str">
        <f>+_xlfn.CONCAT("{{ ",E75," }}")</f>
        <v>{{ acta2 }}</v>
      </c>
      <c r="H75">
        <v>155</v>
      </c>
      <c r="I75" t="s">
        <v>1671</v>
      </c>
      <c r="J75" s="13" t="s">
        <v>12</v>
      </c>
      <c r="K75" t="s">
        <v>291</v>
      </c>
      <c r="L75" t="str">
        <f t="shared" si="3"/>
        <v>'uso_epp' : r_val['uso_epp'],</v>
      </c>
      <c r="M75" t="str">
        <f t="shared" si="5"/>
        <v>'acta2': acta2,</v>
      </c>
      <c r="N75" t="str">
        <f t="shared" si="4"/>
        <v>acta2 = cargar_imagen(docx_tpl, 'acta2', 'acta2.png', 155, 'width', datos_airtable)</v>
      </c>
    </row>
    <row r="76" spans="2:14" x14ac:dyDescent="0.3">
      <c r="B76" t="s">
        <v>1812</v>
      </c>
      <c r="C76" t="s">
        <v>816</v>
      </c>
      <c r="D76" t="s">
        <v>805</v>
      </c>
      <c r="E76" t="s">
        <v>701</v>
      </c>
      <c r="F76" t="str">
        <f>+_xlfn.CONCAT(E76,".png")</f>
        <v>crono_anual.png</v>
      </c>
      <c r="G76" t="str">
        <f>+_xlfn.CONCAT("{{ ",E76," }}")</f>
        <v>{{ crono_anual }}</v>
      </c>
      <c r="H76">
        <v>155</v>
      </c>
      <c r="I76" t="s">
        <v>1671</v>
      </c>
      <c r="J76" s="20" t="s">
        <v>13</v>
      </c>
      <c r="K76" t="s">
        <v>292</v>
      </c>
      <c r="L76" t="str">
        <f t="shared" si="3"/>
        <v>'detectores_mov' : r_val['detectores_mov'],</v>
      </c>
      <c r="M76" t="str">
        <f t="shared" si="5"/>
        <v>'crono_anual': crono_anual,</v>
      </c>
      <c r="N76" t="str">
        <f t="shared" si="4"/>
        <v>crono_anual = cargar_imagen(docx_tpl, 'crono_anual', 'crono_anual.png', 155, 'width', datos_airtable)</v>
      </c>
    </row>
    <row r="77" spans="2:14" x14ac:dyDescent="0.3">
      <c r="B77" t="s">
        <v>1812</v>
      </c>
      <c r="C77" t="s">
        <v>816</v>
      </c>
      <c r="D77" t="s">
        <v>805</v>
      </c>
      <c r="E77" t="s">
        <v>803</v>
      </c>
      <c r="F77" t="str">
        <f>+_xlfn.CONCAT(E77,".png")</f>
        <v>mantto1.png</v>
      </c>
      <c r="G77" t="str">
        <f>+_xlfn.CONCAT("{{ ",E77," }}")</f>
        <v>{{ mantto1 }}</v>
      </c>
      <c r="H77">
        <v>155</v>
      </c>
      <c r="I77" t="s">
        <v>1671</v>
      </c>
      <c r="J77" s="20" t="s">
        <v>554</v>
      </c>
      <c r="K77" t="s">
        <v>553</v>
      </c>
      <c r="L77" t="str">
        <f t="shared" si="3"/>
        <v>'ubicación_mov' : r_val['ubicación_mov'],</v>
      </c>
      <c r="M77" t="str">
        <f t="shared" si="5"/>
        <v>'mantto1': mantto1,</v>
      </c>
      <c r="N77" t="str">
        <f t="shared" si="4"/>
        <v>mantto1 = cargar_imagen(docx_tpl, 'mantto1', 'mantto1.png', 155, 'width', datos_airtable)</v>
      </c>
    </row>
    <row r="78" spans="2:14" x14ac:dyDescent="0.3">
      <c r="C78" t="s">
        <v>816</v>
      </c>
      <c r="D78" t="s">
        <v>805</v>
      </c>
      <c r="E78" t="s">
        <v>804</v>
      </c>
      <c r="F78" t="str">
        <f>+_xlfn.CONCAT(E78,".png")</f>
        <v>mantto2.png</v>
      </c>
      <c r="G78" t="str">
        <f>+_xlfn.CONCAT("{{ ",E78," }}")</f>
        <v>{{ mantto2 }}</v>
      </c>
      <c r="H78">
        <v>155</v>
      </c>
      <c r="I78" t="s">
        <v>1671</v>
      </c>
      <c r="J78" s="20" t="s">
        <v>561</v>
      </c>
      <c r="K78" t="s">
        <v>562</v>
      </c>
      <c r="L78" t="str">
        <f t="shared" si="3"/>
        <v>'site_emer' : r_val['site_emer'],</v>
      </c>
      <c r="M78" t="str">
        <f t="shared" si="5"/>
        <v>'mantto2': mantto2,</v>
      </c>
      <c r="N78" t="str">
        <f t="shared" si="4"/>
        <v>mantto2 = cargar_imagen(docx_tpl, 'mantto2', 'mantto2.png', 155, 'width', datos_airtable)</v>
      </c>
    </row>
    <row r="79" spans="2:14" x14ac:dyDescent="0.3">
      <c r="B79" t="s">
        <v>1812</v>
      </c>
      <c r="C79" t="s">
        <v>816</v>
      </c>
      <c r="D79" t="s">
        <v>805</v>
      </c>
      <c r="E79" t="s">
        <v>702</v>
      </c>
      <c r="F79" t="str">
        <f t="shared" ref="F79:F91" si="6">+_xlfn.CONCAT(E79,".png")</f>
        <v>simulacro.png</v>
      </c>
      <c r="G79" t="str">
        <f t="shared" ref="G79:G91" si="7">+_xlfn.CONCAT("{{ ",E79," }}")</f>
        <v>{{ simulacro }}</v>
      </c>
      <c r="H79">
        <v>155</v>
      </c>
      <c r="I79" t="s">
        <v>1671</v>
      </c>
      <c r="J79" s="20" t="s">
        <v>560</v>
      </c>
      <c r="K79" t="s">
        <v>559</v>
      </c>
      <c r="L79" t="str">
        <f t="shared" ref="L79:L110" si="8">+_xlfn.CONCAT("'",J79,"' : r_val['",J79,"'],")</f>
        <v>'ubicacion_site' : r_val['ubicacion_site'],</v>
      </c>
      <c r="M79" t="str">
        <f t="shared" si="5"/>
        <v>'simulacro': simulacro,</v>
      </c>
      <c r="N79" t="str">
        <f t="shared" si="4"/>
        <v>simulacro = cargar_imagen(docx_tpl, 'simulacro', 'simulacro.png', 155, 'width', datos_airtable)</v>
      </c>
    </row>
    <row r="80" spans="2:14" x14ac:dyDescent="0.3">
      <c r="B80" t="s">
        <v>1812</v>
      </c>
      <c r="C80" t="s">
        <v>816</v>
      </c>
      <c r="D80" t="s">
        <v>805</v>
      </c>
      <c r="E80" t="s">
        <v>703</v>
      </c>
      <c r="F80" t="str">
        <f t="shared" si="6"/>
        <v>capacitacion.png</v>
      </c>
      <c r="G80" t="str">
        <f t="shared" si="7"/>
        <v>{{ capacitacion }}</v>
      </c>
      <c r="H80">
        <v>155</v>
      </c>
      <c r="I80" t="s">
        <v>1671</v>
      </c>
      <c r="J80" s="20" t="s">
        <v>15</v>
      </c>
      <c r="K80" t="s">
        <v>294</v>
      </c>
      <c r="L80" t="str">
        <f t="shared" si="8"/>
        <v>'hidrantes' : r_val['hidrantes'],</v>
      </c>
      <c r="M80" t="str">
        <f t="shared" si="5"/>
        <v>'capacitacion': capacitacion,</v>
      </c>
      <c r="N80" t="str">
        <f t="shared" si="4"/>
        <v>capacitacion = cargar_imagen(docx_tpl, 'capacitacion', 'capacitacion.png', 155, 'width', datos_airtable)</v>
      </c>
    </row>
    <row r="81" spans="2:14" x14ac:dyDescent="0.3">
      <c r="B81" t="s">
        <v>1812</v>
      </c>
      <c r="C81" t="s">
        <v>816</v>
      </c>
      <c r="D81" t="s">
        <v>805</v>
      </c>
      <c r="E81" t="s">
        <v>704</v>
      </c>
      <c r="F81" t="str">
        <f t="shared" si="6"/>
        <v>inv_quim.png</v>
      </c>
      <c r="G81" t="str">
        <f t="shared" si="7"/>
        <v>{{ inv_quim }}</v>
      </c>
      <c r="H81">
        <v>155</v>
      </c>
      <c r="I81" t="s">
        <v>1671</v>
      </c>
      <c r="J81" s="20" t="s">
        <v>16</v>
      </c>
      <c r="K81" t="s">
        <v>295</v>
      </c>
      <c r="L81" t="str">
        <f t="shared" si="8"/>
        <v>'aspersores' : r_val['aspersores'],</v>
      </c>
      <c r="M81" t="str">
        <f t="shared" si="5"/>
        <v>'inv_quim': inv_quim,</v>
      </c>
      <c r="N81" t="str">
        <f t="shared" si="4"/>
        <v>inv_quim = cargar_imagen(docx_tpl, 'inv_quim', 'inv_quim.png', 155, 'width', datos_airtable)</v>
      </c>
    </row>
    <row r="82" spans="2:14" x14ac:dyDescent="0.3">
      <c r="B82" t="s">
        <v>1812</v>
      </c>
      <c r="C82" t="s">
        <v>816</v>
      </c>
      <c r="D82" t="s">
        <v>805</v>
      </c>
      <c r="E82" t="s">
        <v>705</v>
      </c>
      <c r="F82" t="str">
        <f t="shared" si="6"/>
        <v>inv_emer.png</v>
      </c>
      <c r="G82" t="str">
        <f t="shared" si="7"/>
        <v>{{ inv_emer }}</v>
      </c>
      <c r="H82">
        <v>155</v>
      </c>
      <c r="I82" t="s">
        <v>1671</v>
      </c>
      <c r="J82" s="20" t="s">
        <v>17</v>
      </c>
      <c r="K82" t="s">
        <v>296</v>
      </c>
      <c r="L82" t="str">
        <f t="shared" si="8"/>
        <v>'bomberos' : r_val['bomberos'],</v>
      </c>
      <c r="M82" t="str">
        <f t="shared" si="5"/>
        <v>'inv_emer': inv_emer,</v>
      </c>
      <c r="N82" t="str">
        <f t="shared" si="4"/>
        <v>inv_emer = cargar_imagen(docx_tpl, 'inv_emer', 'inv_emer.png', 155, 'width', datos_airtable)</v>
      </c>
    </row>
    <row r="83" spans="2:14" x14ac:dyDescent="0.3">
      <c r="B83" t="s">
        <v>1812</v>
      </c>
      <c r="C83" t="s">
        <v>816</v>
      </c>
      <c r="D83" t="s">
        <v>805</v>
      </c>
      <c r="E83" t="s">
        <v>706</v>
      </c>
      <c r="F83" t="str">
        <f t="shared" si="6"/>
        <v>bit_emer.png</v>
      </c>
      <c r="G83" t="str">
        <f t="shared" si="7"/>
        <v>{{ bit_emer }}</v>
      </c>
      <c r="H83">
        <v>155</v>
      </c>
      <c r="I83" t="s">
        <v>1671</v>
      </c>
      <c r="J83" s="20" t="s">
        <v>552</v>
      </c>
      <c r="K83" t="s">
        <v>551</v>
      </c>
      <c r="L83" t="str">
        <f t="shared" si="8"/>
        <v>'ubicacion_bombero' : r_val['ubicacion_bombero'],</v>
      </c>
      <c r="M83" t="str">
        <f t="shared" si="5"/>
        <v>'bit_emer': bit_emer,</v>
      </c>
      <c r="N83" t="str">
        <f t="shared" si="4"/>
        <v>bit_emer = cargar_imagen(docx_tpl, 'bit_emer', 'bit_emer.png', 155, 'width', datos_airtable)</v>
      </c>
    </row>
    <row r="84" spans="2:14" x14ac:dyDescent="0.3">
      <c r="B84" t="s">
        <v>1812</v>
      </c>
      <c r="C84" t="s">
        <v>816</v>
      </c>
      <c r="D84" t="s">
        <v>805</v>
      </c>
      <c r="E84" t="s">
        <v>707</v>
      </c>
      <c r="F84" t="str">
        <f t="shared" si="6"/>
        <v>insp_bot.png</v>
      </c>
      <c r="G84" t="str">
        <f t="shared" si="7"/>
        <v>{{ insp_bot }}</v>
      </c>
      <c r="H84">
        <v>155</v>
      </c>
      <c r="I84" t="s">
        <v>1671</v>
      </c>
      <c r="J84" s="20" t="s">
        <v>18</v>
      </c>
      <c r="K84" t="s">
        <v>297</v>
      </c>
      <c r="L84" t="str">
        <f t="shared" si="8"/>
        <v>'detector_gas' : r_val['detector_gas'],</v>
      </c>
      <c r="M84" t="str">
        <f t="shared" si="5"/>
        <v>'insp_bot': insp_bot,</v>
      </c>
      <c r="N84" t="str">
        <f t="shared" si="4"/>
        <v>insp_bot = cargar_imagen(docx_tpl, 'insp_bot', 'insp_bot.png', 155, 'width', datos_airtable)</v>
      </c>
    </row>
    <row r="85" spans="2:14" x14ac:dyDescent="0.3">
      <c r="B85" t="s">
        <v>1812</v>
      </c>
      <c r="C85" t="s">
        <v>816</v>
      </c>
      <c r="D85" t="s">
        <v>805</v>
      </c>
      <c r="E85" t="s">
        <v>708</v>
      </c>
      <c r="F85" t="str">
        <f t="shared" si="6"/>
        <v>insp_ext.png</v>
      </c>
      <c r="G85" t="str">
        <f t="shared" si="7"/>
        <v>{{ insp_ext }}</v>
      </c>
      <c r="H85">
        <v>149</v>
      </c>
      <c r="I85" t="s">
        <v>1671</v>
      </c>
      <c r="J85" s="20" t="s">
        <v>556</v>
      </c>
      <c r="K85" t="s">
        <v>555</v>
      </c>
      <c r="L85" t="str">
        <f t="shared" si="8"/>
        <v>'ubicación_gas' : r_val['ubicación_gas'],</v>
      </c>
      <c r="M85" t="str">
        <f t="shared" si="5"/>
        <v>'insp_ext': insp_ext,</v>
      </c>
      <c r="N85" t="str">
        <f t="shared" si="4"/>
        <v>insp_ext = cargar_imagen(docx_tpl, 'insp_ext', 'insp_ext.png', 149, 'width', datos_airtable)</v>
      </c>
    </row>
    <row r="86" spans="2:14" x14ac:dyDescent="0.3">
      <c r="B86" t="s">
        <v>1812</v>
      </c>
      <c r="C86" t="s">
        <v>816</v>
      </c>
      <c r="D86" t="s">
        <v>805</v>
      </c>
      <c r="E86" t="s">
        <v>712</v>
      </c>
      <c r="F86" t="str">
        <f t="shared" si="6"/>
        <v>insp_dh.png</v>
      </c>
      <c r="G86" t="str">
        <f t="shared" si="7"/>
        <v>{{ insp_dh }}</v>
      </c>
      <c r="H86">
        <v>155</v>
      </c>
      <c r="I86" t="s">
        <v>1671</v>
      </c>
      <c r="J86" s="20" t="s">
        <v>19</v>
      </c>
      <c r="K86" t="s">
        <v>298</v>
      </c>
      <c r="L86" t="str">
        <f t="shared" si="8"/>
        <v>'equipo_brigada' : r_val['equipo_brigada'],</v>
      </c>
      <c r="M86" t="str">
        <f t="shared" si="5"/>
        <v>'insp_dh': insp_dh,</v>
      </c>
      <c r="N86" t="str">
        <f t="shared" si="4"/>
        <v>insp_dh = cargar_imagen(docx_tpl, 'insp_dh', 'insp_dh.png', 155, 'width', datos_airtable)</v>
      </c>
    </row>
    <row r="87" spans="2:14" x14ac:dyDescent="0.3">
      <c r="B87" t="s">
        <v>1812</v>
      </c>
      <c r="D87" t="s">
        <v>805</v>
      </c>
      <c r="E87" t="s">
        <v>713</v>
      </c>
      <c r="F87" t="str">
        <f t="shared" si="6"/>
        <v>insp_lamp.png</v>
      </c>
      <c r="G87" t="str">
        <f t="shared" si="7"/>
        <v>{{ insp_lamp }}</v>
      </c>
      <c r="H87">
        <v>155</v>
      </c>
      <c r="I87" t="s">
        <v>1671</v>
      </c>
      <c r="J87" s="20" t="s">
        <v>564</v>
      </c>
      <c r="K87" t="s">
        <v>563</v>
      </c>
      <c r="L87" t="str">
        <f t="shared" si="8"/>
        <v>'ubicacion_brigada' : r_val['ubicacion_brigada'],</v>
      </c>
      <c r="M87" t="str">
        <f t="shared" si="5"/>
        <v>'insp_lamp': insp_lamp,</v>
      </c>
      <c r="N87" t="str">
        <f t="shared" si="4"/>
        <v>insp_lamp = cargar_imagen(docx_tpl, 'insp_lamp', 'insp_lamp.png', 155, 'width', datos_airtable)</v>
      </c>
    </row>
    <row r="88" spans="2:14" x14ac:dyDescent="0.3">
      <c r="B88" t="s">
        <v>1812</v>
      </c>
      <c r="C88" t="s">
        <v>816</v>
      </c>
      <c r="D88" t="s">
        <v>805</v>
      </c>
      <c r="E88" t="s">
        <v>714</v>
      </c>
      <c r="F88" t="str">
        <f t="shared" si="6"/>
        <v>insp_alarm.png</v>
      </c>
      <c r="G88" t="str">
        <f t="shared" si="7"/>
        <v>{{ insp_alarm }}</v>
      </c>
      <c r="H88">
        <v>155</v>
      </c>
      <c r="I88" t="s">
        <v>1671</v>
      </c>
      <c r="J88" s="3" t="s">
        <v>694</v>
      </c>
      <c r="K88" t="s">
        <v>695</v>
      </c>
      <c r="L88" t="str">
        <f t="shared" si="8"/>
        <v>'ubiacion_brigadas' : r_val['ubiacion_brigadas'],</v>
      </c>
      <c r="M88" t="str">
        <f t="shared" si="5"/>
        <v>'insp_alarm': insp_alarm,</v>
      </c>
      <c r="N88" t="str">
        <f t="shared" si="4"/>
        <v>insp_alarm = cargar_imagen(docx_tpl, 'insp_alarm', 'insp_alarm.png', 155, 'width', datos_airtable)</v>
      </c>
    </row>
    <row r="89" spans="2:14" x14ac:dyDescent="0.3">
      <c r="B89" t="s">
        <v>1812</v>
      </c>
      <c r="C89" t="s">
        <v>816</v>
      </c>
      <c r="D89" t="s">
        <v>805</v>
      </c>
      <c r="E89" t="s">
        <v>709</v>
      </c>
      <c r="F89" t="str">
        <f t="shared" si="6"/>
        <v>ev_sim1.png</v>
      </c>
      <c r="G89" t="str">
        <f t="shared" si="7"/>
        <v>{{ ev_sim1 }}</v>
      </c>
      <c r="H89">
        <v>155</v>
      </c>
      <c r="I89" t="s">
        <v>1671</v>
      </c>
      <c r="J89" s="15" t="s">
        <v>20</v>
      </c>
      <c r="K89" t="s">
        <v>299</v>
      </c>
      <c r="L89" t="str">
        <f t="shared" si="8"/>
        <v>'lampara' : r_val['lampara'],</v>
      </c>
      <c r="M89" t="str">
        <f t="shared" si="5"/>
        <v>'ev_sim1': ev_sim1,</v>
      </c>
      <c r="N89" t="str">
        <f t="shared" si="4"/>
        <v>ev_sim1 = cargar_imagen(docx_tpl, 'ev_sim1', 'ev_sim1.png', 155, 'width', datos_airtable)</v>
      </c>
    </row>
    <row r="90" spans="2:14" x14ac:dyDescent="0.3">
      <c r="B90" t="s">
        <v>1812</v>
      </c>
      <c r="C90" t="s">
        <v>816</v>
      </c>
      <c r="D90" t="s">
        <v>805</v>
      </c>
      <c r="E90" t="s">
        <v>710</v>
      </c>
      <c r="F90" t="str">
        <f t="shared" si="6"/>
        <v>ev_sim2.png</v>
      </c>
      <c r="G90" t="str">
        <f t="shared" si="7"/>
        <v>{{ ev_sim2 }}</v>
      </c>
      <c r="H90">
        <v>155</v>
      </c>
      <c r="I90" t="s">
        <v>1671</v>
      </c>
      <c r="J90" s="15" t="s">
        <v>548</v>
      </c>
      <c r="K90" t="s">
        <v>547</v>
      </c>
      <c r="L90" t="str">
        <f t="shared" si="8"/>
        <v>'ubicacion_lampara' : r_val['ubicacion_lampara'],</v>
      </c>
      <c r="M90" t="str">
        <f t="shared" si="5"/>
        <v>'ev_sim2': ev_sim2,</v>
      </c>
      <c r="N90" t="str">
        <f t="shared" si="4"/>
        <v>ev_sim2 = cargar_imagen(docx_tpl, 'ev_sim2', 'ev_sim2.png', 155, 'width', datos_airtable)</v>
      </c>
    </row>
    <row r="91" spans="2:14" x14ac:dyDescent="0.3">
      <c r="B91" t="s">
        <v>1812</v>
      </c>
      <c r="C91" t="s">
        <v>816</v>
      </c>
      <c r="D91" t="s">
        <v>805</v>
      </c>
      <c r="E91" t="s">
        <v>711</v>
      </c>
      <c r="F91" t="str">
        <f t="shared" si="6"/>
        <v>visitas.png</v>
      </c>
      <c r="G91" t="str">
        <f t="shared" si="7"/>
        <v>{{ visitas }}</v>
      </c>
      <c r="H91">
        <v>155</v>
      </c>
      <c r="I91" t="s">
        <v>1671</v>
      </c>
      <c r="J91" s="20" t="s">
        <v>22</v>
      </c>
      <c r="K91" t="s">
        <v>300</v>
      </c>
      <c r="L91" t="str">
        <f t="shared" si="8"/>
        <v>'baterias' : r_val['baterias'],</v>
      </c>
      <c r="M91" t="str">
        <f t="shared" si="5"/>
        <v>'visitas': visitas,</v>
      </c>
      <c r="N91" t="str">
        <f t="shared" si="4"/>
        <v>visitas = cargar_imagen(docx_tpl, 'visitas', 'visitas.png', 155, 'width', datos_airtable)</v>
      </c>
    </row>
    <row r="92" spans="2:14" x14ac:dyDescent="0.3">
      <c r="B92" t="s">
        <v>1812</v>
      </c>
      <c r="C92" t="s">
        <v>816</v>
      </c>
      <c r="D92" t="s">
        <v>805</v>
      </c>
      <c r="E92" t="s">
        <v>918</v>
      </c>
      <c r="F92" t="s">
        <v>919</v>
      </c>
      <c r="G92" t="s">
        <v>920</v>
      </c>
      <c r="H92">
        <v>155</v>
      </c>
      <c r="I92" t="s">
        <v>1671</v>
      </c>
      <c r="J92" s="20" t="s">
        <v>558</v>
      </c>
      <c r="K92" t="s">
        <v>557</v>
      </c>
      <c r="L92" t="str">
        <f t="shared" si="8"/>
        <v>'ubiacion_baterias' : r_val['ubiacion_baterias'],</v>
      </c>
      <c r="M92" t="str">
        <f t="shared" si="5"/>
        <v>'dir_emer': dir_emer,</v>
      </c>
      <c r="N92" t="str">
        <f t="shared" si="4"/>
        <v>dir_emer = cargar_imagen(docx_tpl, 'dir_emer', 'dir_emer.jpg', 155, 'width', datos_airtable)</v>
      </c>
    </row>
    <row r="93" spans="2:14" x14ac:dyDescent="0.3">
      <c r="C93" t="s">
        <v>816</v>
      </c>
      <c r="E93" t="s">
        <v>1674</v>
      </c>
      <c r="F93" t="str">
        <f>+_xlfn.CONCAT(E93,".png")</f>
        <v>corresp1.png</v>
      </c>
      <c r="G93" t="str">
        <f>+_xlfn.CONCAT("{{ ",E93," }}")</f>
        <v>{{ corresp1 }}</v>
      </c>
      <c r="H93">
        <v>155</v>
      </c>
      <c r="I93" t="s">
        <v>1671</v>
      </c>
      <c r="J93" s="20" t="s">
        <v>23</v>
      </c>
      <c r="K93" t="s">
        <v>301</v>
      </c>
      <c r="L93" t="str">
        <f t="shared" si="8"/>
        <v>'tambo_arena' : r_val['tambo_arena'],</v>
      </c>
      <c r="M93" t="str">
        <f t="shared" si="5"/>
        <v>'corresp1': corresp1,</v>
      </c>
      <c r="N93" t="str">
        <f t="shared" si="4"/>
        <v>corresp1 = cargar_imagen(docx_tpl, 'corresp1', 'corresp1.png', 155, 'width', datos_airtable)</v>
      </c>
    </row>
    <row r="94" spans="2:14" x14ac:dyDescent="0.3">
      <c r="C94" t="s">
        <v>816</v>
      </c>
      <c r="E94" t="s">
        <v>1675</v>
      </c>
      <c r="F94" t="str">
        <f t="shared" ref="F94:F105" si="9">+_xlfn.CONCAT(E94,".png")</f>
        <v>corresp2.png</v>
      </c>
      <c r="G94" t="str">
        <f t="shared" ref="G94:G107" si="10">+_xlfn.CONCAT("{{ ",E94," }}")</f>
        <v>{{ corresp2 }}</v>
      </c>
      <c r="H94">
        <v>155</v>
      </c>
      <c r="I94" t="s">
        <v>1671</v>
      </c>
      <c r="J94" s="20" t="s">
        <v>550</v>
      </c>
      <c r="K94" t="s">
        <v>549</v>
      </c>
      <c r="L94" t="str">
        <f t="shared" si="8"/>
        <v>'ubicacion_tambo' : r_val['ubicacion_tambo'],</v>
      </c>
      <c r="M94" t="str">
        <f t="shared" si="5"/>
        <v>'corresp2': corresp2,</v>
      </c>
      <c r="N94" t="str">
        <f t="shared" si="4"/>
        <v>corresp2 = cargar_imagen(docx_tpl, 'corresp2', 'corresp2.png', 155, 'width', datos_airtable)</v>
      </c>
    </row>
    <row r="95" spans="2:14" x14ac:dyDescent="0.3">
      <c r="C95" t="s">
        <v>816</v>
      </c>
      <c r="E95" t="s">
        <v>1676</v>
      </c>
      <c r="F95" t="str">
        <f t="shared" si="9"/>
        <v>corresp3.png</v>
      </c>
      <c r="G95" t="str">
        <f t="shared" si="10"/>
        <v>{{ corresp3 }}</v>
      </c>
      <c r="H95">
        <v>155</v>
      </c>
      <c r="I95" t="s">
        <v>1671</v>
      </c>
      <c r="J95" s="16" t="s">
        <v>190</v>
      </c>
      <c r="K95" t="s">
        <v>302</v>
      </c>
      <c r="L95" t="str">
        <f t="shared" si="8"/>
        <v>'tanques' : r_val['tanques'],</v>
      </c>
      <c r="M95" t="str">
        <f t="shared" si="5"/>
        <v>'corresp3': corresp3,</v>
      </c>
      <c r="N95" t="str">
        <f t="shared" si="4"/>
        <v>corresp3 = cargar_imagen(docx_tpl, 'corresp3', 'corresp3.png', 155, 'width', datos_airtable)</v>
      </c>
    </row>
    <row r="96" spans="2:14" x14ac:dyDescent="0.3">
      <c r="C96" t="s">
        <v>816</v>
      </c>
      <c r="E96" t="s">
        <v>1677</v>
      </c>
      <c r="F96" t="str">
        <f t="shared" si="9"/>
        <v>carta_respon.png</v>
      </c>
      <c r="G96" t="str">
        <f t="shared" si="10"/>
        <v>{{ carta_respon }}</v>
      </c>
      <c r="H96">
        <v>155</v>
      </c>
      <c r="I96" t="s">
        <v>1671</v>
      </c>
      <c r="J96" s="16" t="s">
        <v>191</v>
      </c>
      <c r="K96" t="s">
        <v>303</v>
      </c>
      <c r="L96" t="str">
        <f t="shared" si="8"/>
        <v>'tanque_1' : r_val['tanque_1'],</v>
      </c>
      <c r="M96" t="str">
        <f t="shared" si="5"/>
        <v>'carta_respon': carta_respon,</v>
      </c>
      <c r="N96" t="str">
        <f t="shared" si="4"/>
        <v>carta_respon = cargar_imagen(docx_tpl, 'carta_respon', 'carta_respon.png', 155, 'width', datos_airtable)</v>
      </c>
    </row>
    <row r="97" spans="2:14" x14ac:dyDescent="0.3">
      <c r="C97" t="s">
        <v>816</v>
      </c>
      <c r="E97" t="s">
        <v>1678</v>
      </c>
      <c r="F97" t="str">
        <f t="shared" si="9"/>
        <v>registro1.png</v>
      </c>
      <c r="G97" t="str">
        <f t="shared" si="10"/>
        <v>{{ registro1 }}</v>
      </c>
      <c r="H97">
        <v>155</v>
      </c>
      <c r="I97" t="s">
        <v>1671</v>
      </c>
      <c r="J97" s="16" t="s">
        <v>192</v>
      </c>
      <c r="K97" t="s">
        <v>304</v>
      </c>
      <c r="L97" t="str">
        <f t="shared" si="8"/>
        <v>'tanque_2' : r_val['tanque_2'],</v>
      </c>
      <c r="M97" t="str">
        <f t="shared" si="5"/>
        <v>'registro1': registro1,</v>
      </c>
      <c r="N97" t="str">
        <f t="shared" si="4"/>
        <v>registro1 = cargar_imagen(docx_tpl, 'registro1', 'registro1.png', 155, 'width', datos_airtable)</v>
      </c>
    </row>
    <row r="98" spans="2:14" x14ac:dyDescent="0.3">
      <c r="C98" t="s">
        <v>816</v>
      </c>
      <c r="E98" t="s">
        <v>1679</v>
      </c>
      <c r="F98" t="str">
        <f t="shared" si="9"/>
        <v>registro2.png</v>
      </c>
      <c r="G98" t="str">
        <f t="shared" si="10"/>
        <v>{{ registro2 }}</v>
      </c>
      <c r="H98">
        <v>155</v>
      </c>
      <c r="I98" t="s">
        <v>1671</v>
      </c>
      <c r="J98" s="16" t="s">
        <v>193</v>
      </c>
      <c r="K98" t="s">
        <v>305</v>
      </c>
      <c r="L98" t="str">
        <f t="shared" si="8"/>
        <v>'tanque_3' : r_val['tanque_3'],</v>
      </c>
      <c r="M98" t="str">
        <f t="shared" si="5"/>
        <v>'registro2': registro2,</v>
      </c>
      <c r="N98" t="str">
        <f t="shared" si="4"/>
        <v>registro2 = cargar_imagen(docx_tpl, 'registro2', 'registro2.png', 155, 'width', datos_airtable)</v>
      </c>
    </row>
    <row r="99" spans="2:14" x14ac:dyDescent="0.3">
      <c r="C99" t="s">
        <v>816</v>
      </c>
      <c r="E99" t="s">
        <v>1680</v>
      </c>
      <c r="F99" t="str">
        <f t="shared" si="9"/>
        <v>ries_circ.png</v>
      </c>
      <c r="G99" t="str">
        <f t="shared" si="10"/>
        <v>{{ ries_circ }}</v>
      </c>
      <c r="H99">
        <v>155</v>
      </c>
      <c r="I99" t="s">
        <v>1671</v>
      </c>
      <c r="J99" s="18" t="s">
        <v>0</v>
      </c>
      <c r="K99" t="s">
        <v>306</v>
      </c>
      <c r="L99" t="str">
        <f t="shared" si="8"/>
        <v>'dia' : r_val['dia'],</v>
      </c>
      <c r="M99" t="str">
        <f t="shared" si="5"/>
        <v>'ries_circ': ries_circ,</v>
      </c>
      <c r="N99" t="str">
        <f t="shared" si="4"/>
        <v>ries_circ = cargar_imagen(docx_tpl, 'ries_circ', 'ries_circ.png', 155, 'width', datos_airtable)</v>
      </c>
    </row>
    <row r="100" spans="2:14" x14ac:dyDescent="0.3">
      <c r="C100" t="s">
        <v>816</v>
      </c>
      <c r="E100" t="s">
        <v>1681</v>
      </c>
      <c r="F100" t="str">
        <f t="shared" si="9"/>
        <v>mapa_ext.png</v>
      </c>
      <c r="G100" t="str">
        <f t="shared" si="10"/>
        <v>{{ mapa_ext }}</v>
      </c>
      <c r="H100">
        <v>155</v>
      </c>
      <c r="I100" t="s">
        <v>1671</v>
      </c>
      <c r="J100" s="18" t="s">
        <v>1</v>
      </c>
      <c r="K100" t="s">
        <v>307</v>
      </c>
      <c r="L100" t="str">
        <f t="shared" si="8"/>
        <v>'mes' : r_val['mes'],</v>
      </c>
      <c r="M100" t="str">
        <f t="shared" si="5"/>
        <v>'mapa_ext': mapa_ext,</v>
      </c>
      <c r="N100" t="str">
        <f t="shared" si="4"/>
        <v>mapa_ext = cargar_imagen(docx_tpl, 'mapa_ext', 'mapa_ext.png', 155, 'width', datos_airtable)</v>
      </c>
    </row>
    <row r="101" spans="2:14" x14ac:dyDescent="0.3">
      <c r="C101" t="s">
        <v>816</v>
      </c>
      <c r="E101" t="s">
        <v>1682</v>
      </c>
      <c r="F101" t="str">
        <f t="shared" si="9"/>
        <v>rec_ext.png</v>
      </c>
      <c r="G101" t="str">
        <f t="shared" si="10"/>
        <v>{{ rec_ext }}</v>
      </c>
      <c r="H101">
        <v>155</v>
      </c>
      <c r="I101" t="s">
        <v>1671</v>
      </c>
      <c r="J101" s="3" t="s">
        <v>2</v>
      </c>
      <c r="K101" t="s">
        <v>308</v>
      </c>
      <c r="L101" t="str">
        <f t="shared" si="8"/>
        <v>'anio' : r_val['anio'],</v>
      </c>
      <c r="M101" t="str">
        <f t="shared" si="5"/>
        <v>'rec_ext': rec_ext,</v>
      </c>
      <c r="N101" t="str">
        <f t="shared" si="4"/>
        <v>rec_ext = cargar_imagen(docx_tpl, 'rec_ext', 'rec_ext.png', 155, 'width', datos_airtable)</v>
      </c>
    </row>
    <row r="102" spans="2:14" x14ac:dyDescent="0.3">
      <c r="C102" t="s">
        <v>816</v>
      </c>
      <c r="E102" t="s">
        <v>1683</v>
      </c>
      <c r="F102" t="str">
        <f t="shared" si="9"/>
        <v>mayor_ries.png</v>
      </c>
      <c r="G102" t="str">
        <f t="shared" si="10"/>
        <v>{{ mayor_ries }}</v>
      </c>
      <c r="H102">
        <v>155</v>
      </c>
      <c r="I102" t="s">
        <v>1671</v>
      </c>
      <c r="J102" s="17" t="s">
        <v>194</v>
      </c>
      <c r="K102" t="s">
        <v>309</v>
      </c>
      <c r="L102" t="str">
        <f t="shared" si="8"/>
        <v>'coordenadas' : r_val['coordenadas'],</v>
      </c>
      <c r="M102" t="str">
        <f t="shared" si="5"/>
        <v>'mayor_ries': mayor_ries,</v>
      </c>
      <c r="N102" t="str">
        <f t="shared" si="4"/>
        <v>mayor_ries = cargar_imagen(docx_tpl, 'mayor_ries', 'mayor_ries.png', 155, 'width', datos_airtable)</v>
      </c>
    </row>
    <row r="103" spans="2:14" x14ac:dyDescent="0.3">
      <c r="C103" t="s">
        <v>816</v>
      </c>
      <c r="E103" t="s">
        <v>1684</v>
      </c>
      <c r="F103" t="str">
        <f t="shared" si="9"/>
        <v>menor_ries.png</v>
      </c>
      <c r="G103" t="str">
        <f t="shared" si="10"/>
        <v>{{ menor_ries }}</v>
      </c>
      <c r="H103">
        <v>155</v>
      </c>
      <c r="I103" t="s">
        <v>1671</v>
      </c>
      <c r="J103" s="17" t="s">
        <v>195</v>
      </c>
      <c r="K103" t="s">
        <v>310</v>
      </c>
      <c r="L103" t="str">
        <f t="shared" si="8"/>
        <v>'norte' : r_val['norte'],</v>
      </c>
      <c r="M103" t="str">
        <f t="shared" si="5"/>
        <v>'menor_ries': menor_ries,</v>
      </c>
      <c r="N103" t="str">
        <f t="shared" si="4"/>
        <v>menor_ries = cargar_imagen(docx_tpl, 'menor_ries', 'menor_ries.png', 155, 'width', datos_airtable)</v>
      </c>
    </row>
    <row r="104" spans="2:14" x14ac:dyDescent="0.3">
      <c r="C104" t="s">
        <v>816</v>
      </c>
      <c r="E104" t="s">
        <v>1685</v>
      </c>
      <c r="F104" t="str">
        <f t="shared" si="9"/>
        <v>zona_evac.png</v>
      </c>
      <c r="G104" t="str">
        <f t="shared" si="10"/>
        <v>{{ zona_evac }}</v>
      </c>
      <c r="H104">
        <v>155</v>
      </c>
      <c r="I104" t="s">
        <v>1671</v>
      </c>
      <c r="J104" s="17" t="s">
        <v>196</v>
      </c>
      <c r="K104" t="s">
        <v>311</v>
      </c>
      <c r="L104" t="str">
        <f t="shared" si="8"/>
        <v>'sur' : r_val['sur'],</v>
      </c>
      <c r="M104" t="str">
        <f t="shared" si="5"/>
        <v>'zona_evac': zona_evac,</v>
      </c>
      <c r="N104" t="str">
        <f t="shared" si="4"/>
        <v>zona_evac = cargar_imagen(docx_tpl, 'zona_evac', 'zona_evac.png', 155, 'width', datos_airtable)</v>
      </c>
    </row>
    <row r="105" spans="2:14" x14ac:dyDescent="0.3">
      <c r="B105" t="s">
        <v>1812</v>
      </c>
      <c r="C105" t="s">
        <v>816</v>
      </c>
      <c r="E105" t="s">
        <v>2029</v>
      </c>
      <c r="F105" t="str">
        <f t="shared" si="9"/>
        <v>firma.png</v>
      </c>
      <c r="G105" t="str">
        <f t="shared" si="10"/>
        <v>{{ firma }}</v>
      </c>
      <c r="H105">
        <v>14</v>
      </c>
      <c r="I105" t="s">
        <v>1672</v>
      </c>
      <c r="J105" s="17" t="s">
        <v>197</v>
      </c>
      <c r="K105" t="s">
        <v>312</v>
      </c>
      <c r="L105" t="str">
        <f t="shared" si="8"/>
        <v>'este' : r_val['este'],</v>
      </c>
      <c r="M105" t="str">
        <f t="shared" si="5"/>
        <v>'firma': firma,</v>
      </c>
      <c r="N105" t="str">
        <f t="shared" si="4"/>
        <v>firma = cargar_imagen(docx_tpl, 'firma', 'firma.png', 14, 'height', datos_airtable)</v>
      </c>
    </row>
    <row r="106" spans="2:14" x14ac:dyDescent="0.3">
      <c r="B106" t="s">
        <v>2091</v>
      </c>
      <c r="E106" t="s">
        <v>2031</v>
      </c>
      <c r="F106" t="s">
        <v>2055</v>
      </c>
      <c r="G106" t="str">
        <f t="shared" si="10"/>
        <v>{{ layout1 }}</v>
      </c>
      <c r="H106">
        <v>160</v>
      </c>
      <c r="I106" t="s">
        <v>1671</v>
      </c>
      <c r="J106" s="17" t="s">
        <v>198</v>
      </c>
      <c r="K106" t="s">
        <v>313</v>
      </c>
      <c r="L106" t="str">
        <f t="shared" si="8"/>
        <v>'oeste' : r_val['oeste'],</v>
      </c>
      <c r="M106" t="str">
        <f t="shared" ref="M106:M117" si="11">+_xlfn.CONCAT("'",E106,"': ",E106,",")</f>
        <v>'layout1': layout1,</v>
      </c>
      <c r="N106" t="str">
        <f t="shared" si="4"/>
        <v>layout1 = cargar_imagen(docx_tpl, 'layout1', 'layout (1).png', 160, 'width', datos_airtable)</v>
      </c>
    </row>
    <row r="107" spans="2:14" x14ac:dyDescent="0.3">
      <c r="B107" t="s">
        <v>2091</v>
      </c>
      <c r="E107" t="s">
        <v>2032</v>
      </c>
      <c r="F107" t="s">
        <v>2056</v>
      </c>
      <c r="G107" t="str">
        <f t="shared" si="10"/>
        <v>{{ layout2 }}</v>
      </c>
      <c r="H107">
        <v>160</v>
      </c>
      <c r="I107" t="s">
        <v>1671</v>
      </c>
      <c r="J107" s="17" t="s">
        <v>583</v>
      </c>
      <c r="K107" t="s">
        <v>584</v>
      </c>
      <c r="L107" t="str">
        <f t="shared" si="8"/>
        <v>'ref_llegar' : r_val['ref_llegar'],</v>
      </c>
      <c r="M107" t="str">
        <f t="shared" si="11"/>
        <v>'layout2': layout2,</v>
      </c>
      <c r="N107" t="str">
        <f t="shared" si="4"/>
        <v>layout2 = cargar_imagen(docx_tpl, 'layout2', 'layout (2).png', 160, 'width', datos_airtable)</v>
      </c>
    </row>
    <row r="108" spans="2:14" x14ac:dyDescent="0.3">
      <c r="B108" t="s">
        <v>2091</v>
      </c>
      <c r="E108" t="s">
        <v>2033</v>
      </c>
      <c r="F108" t="s">
        <v>2057</v>
      </c>
      <c r="G108" t="str">
        <f t="shared" ref="G108:G118" si="12">+_xlfn.CONCAT("{{ ",E108," }}")</f>
        <v>{{ layout3 }}</v>
      </c>
      <c r="H108">
        <v>160</v>
      </c>
      <c r="I108" t="s">
        <v>1671</v>
      </c>
      <c r="J108" s="3" t="s">
        <v>199</v>
      </c>
      <c r="K108" t="s">
        <v>314</v>
      </c>
      <c r="L108" t="str">
        <f t="shared" si="8"/>
        <v>'ley' : r_val['ley'],</v>
      </c>
      <c r="M108" t="str">
        <f t="shared" si="11"/>
        <v>'layout3': layout3,</v>
      </c>
      <c r="N108" t="str">
        <f t="shared" si="4"/>
        <v>layout3 = cargar_imagen(docx_tpl, 'layout3', 'layout (3).png', 160, 'width', datos_airtable)</v>
      </c>
    </row>
    <row r="109" spans="2:14" x14ac:dyDescent="0.3">
      <c r="B109" t="s">
        <v>2091</v>
      </c>
      <c r="E109" t="s">
        <v>2034</v>
      </c>
      <c r="F109" t="s">
        <v>2058</v>
      </c>
      <c r="G109" t="str">
        <f t="shared" si="12"/>
        <v>{{ layout4 }}</v>
      </c>
      <c r="H109">
        <v>160</v>
      </c>
      <c r="I109" t="s">
        <v>1671</v>
      </c>
      <c r="J109" s="3" t="s">
        <v>200</v>
      </c>
      <c r="K109" t="s">
        <v>315</v>
      </c>
      <c r="L109" t="str">
        <f t="shared" si="8"/>
        <v>'reglamento' : r_val['reglamento'],</v>
      </c>
      <c r="M109" t="str">
        <f t="shared" si="11"/>
        <v>'layout4': layout4,</v>
      </c>
      <c r="N109" t="str">
        <f t="shared" si="4"/>
        <v>layout4 = cargar_imagen(docx_tpl, 'layout4', 'layout (4).png', 160, 'width', datos_airtable)</v>
      </c>
    </row>
    <row r="110" spans="2:14" x14ac:dyDescent="0.3">
      <c r="B110" t="s">
        <v>2091</v>
      </c>
      <c r="E110" t="s">
        <v>2035</v>
      </c>
      <c r="F110" t="s">
        <v>2059</v>
      </c>
      <c r="G110" t="str">
        <f t="shared" si="12"/>
        <v>{{ layout5 }}</v>
      </c>
      <c r="H110">
        <v>160</v>
      </c>
      <c r="I110" t="s">
        <v>1671</v>
      </c>
      <c r="J110" s="14" t="s">
        <v>633</v>
      </c>
      <c r="K110" t="s">
        <v>673</v>
      </c>
      <c r="L110" t="str">
        <f t="shared" si="8"/>
        <v>'m_dir' : r_val['m_dir'],</v>
      </c>
      <c r="M110" t="str">
        <f t="shared" si="11"/>
        <v>'layout5': layout5,</v>
      </c>
      <c r="N110" t="str">
        <f t="shared" si="4"/>
        <v>layout5 = cargar_imagen(docx_tpl, 'layout5', 'layout (5).png', 160, 'width', datos_airtable)</v>
      </c>
    </row>
    <row r="111" spans="2:14" x14ac:dyDescent="0.3">
      <c r="B111" t="s">
        <v>2091</v>
      </c>
      <c r="E111" t="s">
        <v>2036</v>
      </c>
      <c r="F111" t="s">
        <v>2060</v>
      </c>
      <c r="G111" t="str">
        <f t="shared" si="12"/>
        <v>{{ layout6 }}</v>
      </c>
      <c r="H111">
        <v>160</v>
      </c>
      <c r="I111" t="s">
        <v>1671</v>
      </c>
      <c r="J111" s="14" t="s">
        <v>201</v>
      </c>
      <c r="K111" t="s">
        <v>316</v>
      </c>
      <c r="L111" t="str">
        <f t="shared" ref="L111:L142" si="13">+_xlfn.CONCAT("'",J111,"' : r_val['",J111,"'],")</f>
        <v>'coord_suplente' : r_val['coord_suplente'],</v>
      </c>
      <c r="M111" t="str">
        <f t="shared" si="11"/>
        <v>'layout6': layout6,</v>
      </c>
      <c r="N111" t="str">
        <f t="shared" si="4"/>
        <v>layout6 = cargar_imagen(docx_tpl, 'layout6', 'layout (6).png', 160, 'width', datos_airtable)</v>
      </c>
    </row>
    <row r="112" spans="2:14" x14ac:dyDescent="0.3">
      <c r="B112" t="s">
        <v>2091</v>
      </c>
      <c r="E112" t="s">
        <v>2037</v>
      </c>
      <c r="F112" t="s">
        <v>2061</v>
      </c>
      <c r="G112" t="str">
        <f t="shared" si="12"/>
        <v>{{ layout7 }}</v>
      </c>
      <c r="H112">
        <v>160</v>
      </c>
      <c r="I112" t="s">
        <v>1671</v>
      </c>
      <c r="J112" s="14" t="s">
        <v>634</v>
      </c>
      <c r="K112" t="s">
        <v>674</v>
      </c>
      <c r="L112" t="str">
        <f t="shared" si="13"/>
        <v>'m_jef_caj' : r_val['m_jef_caj'],</v>
      </c>
      <c r="M112" t="str">
        <f t="shared" si="11"/>
        <v>'layout7': layout7,</v>
      </c>
      <c r="N112" t="str">
        <f t="shared" si="4"/>
        <v>layout7 = cargar_imagen(docx_tpl, 'layout7', 'layout (7).png', 160, 'width', datos_airtable)</v>
      </c>
    </row>
    <row r="113" spans="2:14" x14ac:dyDescent="0.3">
      <c r="B113" t="s">
        <v>2091</v>
      </c>
      <c r="E113" t="s">
        <v>2038</v>
      </c>
      <c r="F113" t="s">
        <v>2062</v>
      </c>
      <c r="G113" t="str">
        <f t="shared" si="12"/>
        <v>{{ layout8 }}</v>
      </c>
      <c r="H113">
        <v>160</v>
      </c>
      <c r="I113" t="s">
        <v>1671</v>
      </c>
      <c r="J113" s="14" t="s">
        <v>202</v>
      </c>
      <c r="K113" t="s">
        <v>317</v>
      </c>
      <c r="L113" t="str">
        <f t="shared" si="13"/>
        <v>'evacuacion' : r_val['evacuacion'],</v>
      </c>
      <c r="M113" t="str">
        <f t="shared" si="11"/>
        <v>'layout8': layout8,</v>
      </c>
      <c r="N113" t="str">
        <f t="shared" si="4"/>
        <v>layout8 = cargar_imagen(docx_tpl, 'layout8', 'layout (8).png', 160, 'width', datos_airtable)</v>
      </c>
    </row>
    <row r="114" spans="2:14" x14ac:dyDescent="0.3">
      <c r="B114" t="s">
        <v>2091</v>
      </c>
      <c r="E114" t="s">
        <v>2039</v>
      </c>
      <c r="F114" t="s">
        <v>2063</v>
      </c>
      <c r="G114" t="str">
        <f t="shared" si="12"/>
        <v>{{ layout9 }}</v>
      </c>
      <c r="H114">
        <v>160</v>
      </c>
      <c r="I114" t="s">
        <v>1671</v>
      </c>
      <c r="J114" s="14" t="s">
        <v>567</v>
      </c>
      <c r="K114" t="s">
        <v>575</v>
      </c>
      <c r="L114" t="str">
        <f t="shared" si="13"/>
        <v>'evac_puesto' : r_val['evac_puesto'],</v>
      </c>
      <c r="M114" t="str">
        <f t="shared" si="11"/>
        <v>'layout9': layout9,</v>
      </c>
      <c r="N114" t="str">
        <f t="shared" si="4"/>
        <v>layout9 = cargar_imagen(docx_tpl, 'layout9', 'layout (9).png', 160, 'width', datos_airtable)</v>
      </c>
    </row>
    <row r="115" spans="2:14" x14ac:dyDescent="0.3">
      <c r="B115" t="s">
        <v>2091</v>
      </c>
      <c r="E115" t="s">
        <v>2040</v>
      </c>
      <c r="F115" t="s">
        <v>2064</v>
      </c>
      <c r="G115" t="str">
        <f t="shared" si="12"/>
        <v>{{ layout10 }}</v>
      </c>
      <c r="H115">
        <v>160</v>
      </c>
      <c r="I115" t="s">
        <v>1671</v>
      </c>
      <c r="J115" s="14" t="s">
        <v>635</v>
      </c>
      <c r="K115" t="s">
        <v>675</v>
      </c>
      <c r="L115" t="str">
        <f t="shared" si="13"/>
        <v>'m_evac' : r_val['m_evac'],</v>
      </c>
      <c r="M115" t="str">
        <f t="shared" si="11"/>
        <v>'layout10': layout10,</v>
      </c>
      <c r="N115" t="str">
        <f t="shared" si="4"/>
        <v>layout10 = cargar_imagen(docx_tpl, 'layout10', 'layout (10).png', 160, 'width', datos_airtable)</v>
      </c>
    </row>
    <row r="116" spans="2:14" x14ac:dyDescent="0.3">
      <c r="B116" t="s">
        <v>2091</v>
      </c>
      <c r="E116" t="s">
        <v>2041</v>
      </c>
      <c r="F116" t="s">
        <v>2065</v>
      </c>
      <c r="G116" t="str">
        <f t="shared" si="12"/>
        <v>{{ layout11 }}</v>
      </c>
      <c r="H116">
        <v>160</v>
      </c>
      <c r="I116" t="s">
        <v>1671</v>
      </c>
      <c r="J116" s="14" t="s">
        <v>203</v>
      </c>
      <c r="K116" t="s">
        <v>318</v>
      </c>
      <c r="L116" t="str">
        <f t="shared" si="13"/>
        <v>'evac_suplente' : r_val['evac_suplente'],</v>
      </c>
      <c r="M116" t="str">
        <f t="shared" si="11"/>
        <v>'layout11': layout11,</v>
      </c>
      <c r="N116" t="str">
        <f t="shared" si="4"/>
        <v>layout11 = cargar_imagen(docx_tpl, 'layout11', 'layout (11).png', 160, 'width', datos_airtable)</v>
      </c>
    </row>
    <row r="117" spans="2:14" x14ac:dyDescent="0.3">
      <c r="B117" t="s">
        <v>2091</v>
      </c>
      <c r="E117" t="s">
        <v>2042</v>
      </c>
      <c r="F117" t="s">
        <v>2066</v>
      </c>
      <c r="G117" t="str">
        <f t="shared" si="12"/>
        <v>{{ layout12 }}</v>
      </c>
      <c r="H117">
        <v>160</v>
      </c>
      <c r="I117" t="s">
        <v>1671</v>
      </c>
      <c r="J117" s="14" t="s">
        <v>568</v>
      </c>
      <c r="K117" t="s">
        <v>576</v>
      </c>
      <c r="L117" t="str">
        <f t="shared" si="13"/>
        <v>'supl_evac_pue' : r_val['supl_evac_pue'],</v>
      </c>
      <c r="M117" t="str">
        <f t="shared" si="11"/>
        <v>'layout12': layout12,</v>
      </c>
      <c r="N117" t="str">
        <f t="shared" si="4"/>
        <v>layout12 = cargar_imagen(docx_tpl, 'layout12', 'layout (12).png', 160, 'width', datos_airtable)</v>
      </c>
    </row>
    <row r="118" spans="2:14" x14ac:dyDescent="0.3">
      <c r="B118" t="s">
        <v>2091</v>
      </c>
      <c r="E118" t="s">
        <v>2049</v>
      </c>
      <c r="F118" t="s">
        <v>2043</v>
      </c>
      <c r="G118" t="str">
        <f t="shared" si="12"/>
        <v>{{ ev_sim3 }}</v>
      </c>
      <c r="H118">
        <v>155</v>
      </c>
      <c r="I118" t="s">
        <v>1671</v>
      </c>
      <c r="J118" s="14" t="s">
        <v>636</v>
      </c>
      <c r="K118" t="s">
        <v>676</v>
      </c>
      <c r="L118" t="str">
        <f t="shared" si="13"/>
        <v>'m_supl_evac' : r_val['m_supl_evac'],</v>
      </c>
      <c r="M118" t="str">
        <f t="shared" ref="M118:M123" si="14">+_xlfn.CONCAT("'",E118,"': ",E118,",")</f>
        <v>'ev_sim3': ev_sim3,</v>
      </c>
      <c r="N118" t="str">
        <f t="shared" si="4"/>
        <v>ev_sim3 = cargar_imagen(docx_tpl, 'ev_sim3', 'ev_sim (3).png', 155, 'width', datos_airtable)</v>
      </c>
    </row>
    <row r="119" spans="2:14" x14ac:dyDescent="0.3">
      <c r="B119" t="s">
        <v>2091</v>
      </c>
      <c r="E119" t="s">
        <v>2050</v>
      </c>
      <c r="F119" t="s">
        <v>2044</v>
      </c>
      <c r="G119" t="str">
        <f t="shared" ref="G119:G125" si="15">+_xlfn.CONCAT("{{ ",E119," }}")</f>
        <v>{{ ev_sim4 }}</v>
      </c>
      <c r="H119">
        <v>155</v>
      </c>
      <c r="I119" t="s">
        <v>1671</v>
      </c>
      <c r="J119" s="14" t="s">
        <v>204</v>
      </c>
      <c r="K119" t="s">
        <v>319</v>
      </c>
      <c r="L119" t="str">
        <f t="shared" si="13"/>
        <v>'incendios' : r_val['incendios'],</v>
      </c>
      <c r="M119" t="str">
        <f t="shared" si="14"/>
        <v>'ev_sim4': ev_sim4,</v>
      </c>
      <c r="N119" t="str">
        <f t="shared" si="4"/>
        <v>ev_sim4 = cargar_imagen(docx_tpl, 'ev_sim4', 'ev_sim (4).png', 155, 'width', datos_airtable)</v>
      </c>
    </row>
    <row r="120" spans="2:14" x14ac:dyDescent="0.3">
      <c r="B120" t="s">
        <v>2091</v>
      </c>
      <c r="E120" t="s">
        <v>2051</v>
      </c>
      <c r="F120" t="s">
        <v>2045</v>
      </c>
      <c r="G120" t="str">
        <f t="shared" si="15"/>
        <v>{{ ev_sim5 }}</v>
      </c>
      <c r="H120">
        <v>155</v>
      </c>
      <c r="I120" t="s">
        <v>1671</v>
      </c>
      <c r="J120" s="14" t="s">
        <v>569</v>
      </c>
      <c r="K120" t="s">
        <v>577</v>
      </c>
      <c r="L120" t="str">
        <f t="shared" si="13"/>
        <v>'incen_puesto' : r_val['incen_puesto'],</v>
      </c>
      <c r="M120" t="str">
        <f t="shared" si="14"/>
        <v>'ev_sim5': ev_sim5,</v>
      </c>
      <c r="N120" t="str">
        <f t="shared" si="4"/>
        <v>ev_sim5 = cargar_imagen(docx_tpl, 'ev_sim5', 'ev_sim (5).png', 155, 'width', datos_airtable)</v>
      </c>
    </row>
    <row r="121" spans="2:14" x14ac:dyDescent="0.3">
      <c r="B121" t="s">
        <v>2091</v>
      </c>
      <c r="E121" t="s">
        <v>2052</v>
      </c>
      <c r="F121" t="s">
        <v>2046</v>
      </c>
      <c r="G121" t="str">
        <f t="shared" si="15"/>
        <v>{{ ev_sim6 }}</v>
      </c>
      <c r="H121">
        <v>155</v>
      </c>
      <c r="I121" t="s">
        <v>1671</v>
      </c>
      <c r="J121" s="14" t="s">
        <v>637</v>
      </c>
      <c r="K121" t="s">
        <v>677</v>
      </c>
      <c r="L121" t="str">
        <f t="shared" si="13"/>
        <v>'m_inc' : r_val['m_inc'],</v>
      </c>
      <c r="M121" t="str">
        <f t="shared" si="14"/>
        <v>'ev_sim6': ev_sim6,</v>
      </c>
      <c r="N121" t="str">
        <f t="shared" si="4"/>
        <v>ev_sim6 = cargar_imagen(docx_tpl, 'ev_sim6', 'ev_sim (6).png', 155, 'width', datos_airtable)</v>
      </c>
    </row>
    <row r="122" spans="2:14" x14ac:dyDescent="0.3">
      <c r="B122" t="s">
        <v>2091</v>
      </c>
      <c r="E122" t="s">
        <v>2053</v>
      </c>
      <c r="F122" t="s">
        <v>2067</v>
      </c>
      <c r="G122" t="str">
        <f t="shared" si="15"/>
        <v>{{ ev_sim7 }}</v>
      </c>
      <c r="H122">
        <v>155</v>
      </c>
      <c r="I122" t="s">
        <v>1671</v>
      </c>
      <c r="J122" s="14" t="s">
        <v>205</v>
      </c>
      <c r="K122" t="s">
        <v>320</v>
      </c>
      <c r="L122" t="str">
        <f t="shared" si="13"/>
        <v>'inc_suplente' : r_val['inc_suplente'],</v>
      </c>
      <c r="M122" t="str">
        <f t="shared" si="14"/>
        <v>'ev_sim7': ev_sim7,</v>
      </c>
      <c r="N122" t="str">
        <f t="shared" si="4"/>
        <v>ev_sim7 = cargar_imagen(docx_tpl, 'ev_sim7', 'ev_sim (7).png', 155, 'width', datos_airtable)</v>
      </c>
    </row>
    <row r="123" spans="2:14" x14ac:dyDescent="0.3">
      <c r="B123" t="s">
        <v>2091</v>
      </c>
      <c r="E123" t="s">
        <v>2054</v>
      </c>
      <c r="F123" t="s">
        <v>2068</v>
      </c>
      <c r="G123" t="str">
        <f t="shared" si="15"/>
        <v>{{ ev_sim8 }}</v>
      </c>
      <c r="H123">
        <v>155</v>
      </c>
      <c r="I123" t="s">
        <v>1671</v>
      </c>
      <c r="J123" s="14" t="s">
        <v>570</v>
      </c>
      <c r="K123" t="s">
        <v>578</v>
      </c>
      <c r="L123" t="str">
        <f t="shared" si="13"/>
        <v>'supl_inc_puesto' : r_val['supl_inc_puesto'],</v>
      </c>
      <c r="M123" t="str">
        <f t="shared" si="14"/>
        <v>'ev_sim8': ev_sim8,</v>
      </c>
      <c r="N123" t="str">
        <f t="shared" si="4"/>
        <v>ev_sim8 = cargar_imagen(docx_tpl, 'ev_sim8', 'ev_sim (8).png', 155, 'width', datos_airtable)</v>
      </c>
    </row>
    <row r="124" spans="2:14" x14ac:dyDescent="0.3">
      <c r="B124" t="s">
        <v>2091</v>
      </c>
      <c r="E124" t="s">
        <v>2047</v>
      </c>
      <c r="F124" t="str">
        <f>+_xlfn.CONCAT(E124,".png")</f>
        <v>acta3.png</v>
      </c>
      <c r="G124" t="str">
        <f t="shared" si="15"/>
        <v>{{ acta3 }}</v>
      </c>
      <c r="H124">
        <v>155</v>
      </c>
      <c r="I124" t="s">
        <v>1671</v>
      </c>
      <c r="J124" s="14" t="s">
        <v>638</v>
      </c>
      <c r="K124" t="s">
        <v>678</v>
      </c>
      <c r="L124" t="str">
        <f t="shared" si="13"/>
        <v>'m_supl_inc' : r_val['m_supl_inc'],</v>
      </c>
      <c r="M124" t="str">
        <f>+_xlfn.CONCAT("'",E124,"': ",E124,",")</f>
        <v>'acta3': acta3,</v>
      </c>
      <c r="N124" t="str">
        <f t="shared" si="4"/>
        <v>acta3 = cargar_imagen(docx_tpl, 'acta3', 'acta3.png', 155, 'width', datos_airtable)</v>
      </c>
    </row>
    <row r="125" spans="2:14" x14ac:dyDescent="0.3">
      <c r="B125" t="s">
        <v>2091</v>
      </c>
      <c r="E125" t="s">
        <v>2048</v>
      </c>
      <c r="F125" t="str">
        <f>+_xlfn.CONCAT(E125,".png")</f>
        <v>acta4.png</v>
      </c>
      <c r="G125" t="str">
        <f t="shared" si="15"/>
        <v>{{ acta4 }}</v>
      </c>
      <c r="H125">
        <v>155</v>
      </c>
      <c r="I125" t="s">
        <v>1671</v>
      </c>
      <c r="J125" s="14" t="s">
        <v>206</v>
      </c>
      <c r="K125" t="s">
        <v>321</v>
      </c>
      <c r="L125" t="str">
        <f t="shared" si="13"/>
        <v>'primeros_auxilios' : r_val['primeros_auxilios'],</v>
      </c>
      <c r="M125" t="str">
        <f>+_xlfn.CONCAT("'",E125,"': ",E125,",")</f>
        <v>'acta4': acta4,</v>
      </c>
      <c r="N125" t="str">
        <f t="shared" si="4"/>
        <v>acta4 = cargar_imagen(docx_tpl, 'acta4', 'acta4.png', 155, 'width', datos_airtable)</v>
      </c>
    </row>
    <row r="126" spans="2:14" x14ac:dyDescent="0.3">
      <c r="J126" s="14" t="s">
        <v>571</v>
      </c>
      <c r="K126" t="s">
        <v>579</v>
      </c>
      <c r="L126" t="str">
        <f t="shared" si="13"/>
        <v>'prim_aux_puesto' : r_val['prim_aux_puesto'],</v>
      </c>
    </row>
    <row r="127" spans="2:14" x14ac:dyDescent="0.3">
      <c r="J127" s="14" t="s">
        <v>639</v>
      </c>
      <c r="K127" t="s">
        <v>679</v>
      </c>
      <c r="L127" t="str">
        <f t="shared" si="13"/>
        <v>'m_prim_aux' : r_val['m_prim_aux'],</v>
      </c>
    </row>
    <row r="128" spans="2:14" x14ac:dyDescent="0.3">
      <c r="J128" s="14" t="s">
        <v>207</v>
      </c>
      <c r="K128" t="s">
        <v>322</v>
      </c>
      <c r="L128" t="str">
        <f t="shared" si="13"/>
        <v>'aux_suplente' : r_val['aux_suplente'],</v>
      </c>
    </row>
    <row r="129" spans="10:12" x14ac:dyDescent="0.3">
      <c r="J129" s="14" t="s">
        <v>572</v>
      </c>
      <c r="K129" t="s">
        <v>580</v>
      </c>
      <c r="L129" t="str">
        <f t="shared" si="13"/>
        <v>'supl_prim_aux_puesto' : r_val['supl_prim_aux_puesto'],</v>
      </c>
    </row>
    <row r="130" spans="10:12" x14ac:dyDescent="0.3">
      <c r="J130" s="14" t="s">
        <v>640</v>
      </c>
      <c r="K130" t="s">
        <v>680</v>
      </c>
      <c r="L130" t="str">
        <f t="shared" si="13"/>
        <v>'m_supl_paux' : r_val['m_supl_paux'],</v>
      </c>
    </row>
    <row r="131" spans="10:12" x14ac:dyDescent="0.3">
      <c r="J131" s="14" t="s">
        <v>208</v>
      </c>
      <c r="K131" t="s">
        <v>323</v>
      </c>
      <c r="L131" t="str">
        <f t="shared" si="13"/>
        <v>'busqueda' : r_val['busqueda'],</v>
      </c>
    </row>
    <row r="132" spans="10:12" x14ac:dyDescent="0.3">
      <c r="J132" s="14" t="s">
        <v>573</v>
      </c>
      <c r="K132" t="s">
        <v>581</v>
      </c>
      <c r="L132" t="str">
        <f t="shared" si="13"/>
        <v>'busq_puesto' : r_val['busq_puesto'],</v>
      </c>
    </row>
    <row r="133" spans="10:12" x14ac:dyDescent="0.3">
      <c r="J133" s="14" t="s">
        <v>641</v>
      </c>
      <c r="K133" t="s">
        <v>681</v>
      </c>
      <c r="L133" t="str">
        <f t="shared" si="13"/>
        <v>'m_busq' : r_val['m_busq'],</v>
      </c>
    </row>
    <row r="134" spans="10:12" x14ac:dyDescent="0.3">
      <c r="J134" s="14" t="s">
        <v>209</v>
      </c>
      <c r="K134" t="s">
        <v>324</v>
      </c>
      <c r="L134" t="str">
        <f t="shared" si="13"/>
        <v>'busq_suplente' : r_val['busq_suplente'],</v>
      </c>
    </row>
    <row r="135" spans="10:12" x14ac:dyDescent="0.3">
      <c r="J135" s="14" t="s">
        <v>574</v>
      </c>
      <c r="K135" t="s">
        <v>582</v>
      </c>
      <c r="L135" t="str">
        <f t="shared" si="13"/>
        <v>'supl_busq_puesto' : r_val['supl_busq_puesto'],</v>
      </c>
    </row>
    <row r="136" spans="10:12" x14ac:dyDescent="0.3">
      <c r="J136" s="14" t="s">
        <v>642</v>
      </c>
      <c r="K136" t="s">
        <v>682</v>
      </c>
      <c r="L136" t="str">
        <f t="shared" si="13"/>
        <v>'m_supl_busq' : r_val['m_supl_busq'],</v>
      </c>
    </row>
    <row r="137" spans="10:12" x14ac:dyDescent="0.3">
      <c r="J137" s="18" t="s">
        <v>210</v>
      </c>
      <c r="K137" t="s">
        <v>325</v>
      </c>
      <c r="L137" t="str">
        <f t="shared" si="13"/>
        <v>'descrip_gi' : r_val['descrip_gi'],</v>
      </c>
    </row>
    <row r="138" spans="10:12" x14ac:dyDescent="0.3">
      <c r="J138" s="18" t="s">
        <v>211</v>
      </c>
      <c r="K138" t="s">
        <v>326</v>
      </c>
      <c r="L138" t="str">
        <f t="shared" si="13"/>
        <v>'gas_inflamable' : r_val['gas_inflamable'],</v>
      </c>
    </row>
    <row r="139" spans="10:12" x14ac:dyDescent="0.3">
      <c r="J139" s="18" t="s">
        <v>212</v>
      </c>
      <c r="K139" t="s">
        <v>327</v>
      </c>
      <c r="L139" t="str">
        <f t="shared" si="13"/>
        <v>'valor_gi' : r_val['valor_gi'],</v>
      </c>
    </row>
    <row r="140" spans="10:12" x14ac:dyDescent="0.3">
      <c r="J140" s="18" t="s">
        <v>213</v>
      </c>
      <c r="K140" t="s">
        <v>328</v>
      </c>
      <c r="L140" t="str">
        <f t="shared" si="13"/>
        <v>'descrp_li' : r_val['descrp_li'],</v>
      </c>
    </row>
    <row r="141" spans="10:12" x14ac:dyDescent="0.3">
      <c r="J141" s="18" t="s">
        <v>214</v>
      </c>
      <c r="K141" t="s">
        <v>329</v>
      </c>
      <c r="L141" t="str">
        <f t="shared" si="13"/>
        <v>'liquido_inflamable' : r_val['liquido_inflamable'],</v>
      </c>
    </row>
    <row r="142" spans="10:12" x14ac:dyDescent="0.3">
      <c r="J142" s="18" t="s">
        <v>215</v>
      </c>
      <c r="K142" t="s">
        <v>330</v>
      </c>
      <c r="L142" t="str">
        <f t="shared" si="13"/>
        <v>'valor_li' : r_val['valor_li'],</v>
      </c>
    </row>
    <row r="143" spans="10:12" x14ac:dyDescent="0.3">
      <c r="J143" s="18" t="s">
        <v>216</v>
      </c>
      <c r="K143" t="s">
        <v>331</v>
      </c>
      <c r="L143" t="str">
        <f t="shared" ref="L143:L181" si="16">+_xlfn.CONCAT("'",J143,"' : r_val['",J143,"'],")</f>
        <v>'descrip_lc' : r_val['descrip_lc'],</v>
      </c>
    </row>
    <row r="144" spans="10:12" x14ac:dyDescent="0.3">
      <c r="J144" s="18" t="s">
        <v>217</v>
      </c>
      <c r="K144" t="s">
        <v>332</v>
      </c>
      <c r="L144" t="str">
        <f t="shared" si="16"/>
        <v>'liquido_combustible' : r_val['liquido_combustible'],</v>
      </c>
    </row>
    <row r="145" spans="10:12" x14ac:dyDescent="0.3">
      <c r="J145" s="18" t="s">
        <v>218</v>
      </c>
      <c r="K145" t="s">
        <v>333</v>
      </c>
      <c r="L145" t="str">
        <f t="shared" si="16"/>
        <v>'valor_lc' : r_val['valor_lc'],</v>
      </c>
    </row>
    <row r="146" spans="10:12" x14ac:dyDescent="0.3">
      <c r="J146" s="18" t="s">
        <v>219</v>
      </c>
      <c r="K146" t="s">
        <v>334</v>
      </c>
      <c r="L146" t="str">
        <f t="shared" si="16"/>
        <v>'descrip_sc' : r_val['descrip_sc'],</v>
      </c>
    </row>
    <row r="147" spans="10:12" x14ac:dyDescent="0.3">
      <c r="J147" s="18" t="s">
        <v>220</v>
      </c>
      <c r="K147" t="s">
        <v>335</v>
      </c>
      <c r="L147" t="str">
        <f t="shared" si="16"/>
        <v>'solido_combusible' : r_val['solido_combusible'],</v>
      </c>
    </row>
    <row r="148" spans="10:12" x14ac:dyDescent="0.3">
      <c r="J148" s="18" t="s">
        <v>221</v>
      </c>
      <c r="K148" t="s">
        <v>336</v>
      </c>
      <c r="L148" t="str">
        <f t="shared" si="16"/>
        <v>'valor_sc' : r_val['valor_sc'],</v>
      </c>
    </row>
    <row r="149" spans="10:12" x14ac:dyDescent="0.3">
      <c r="J149" s="18" t="s">
        <v>222</v>
      </c>
      <c r="K149" t="s">
        <v>337</v>
      </c>
      <c r="L149" t="str">
        <f t="shared" si="16"/>
        <v>'tipo_riesgo' : r_val['tipo_riesgo'],</v>
      </c>
    </row>
    <row r="150" spans="10:12" x14ac:dyDescent="0.3">
      <c r="J150" t="s">
        <v>603</v>
      </c>
      <c r="K150" t="s">
        <v>643</v>
      </c>
      <c r="L150" t="str">
        <f t="shared" si="16"/>
        <v>'nombre1' : r_val['nombre1'],</v>
      </c>
    </row>
    <row r="151" spans="10:12" x14ac:dyDescent="0.3">
      <c r="J151" t="s">
        <v>605</v>
      </c>
      <c r="K151" t="s">
        <v>644</v>
      </c>
      <c r="L151" t="str">
        <f t="shared" si="16"/>
        <v>'puesto1' : r_val['puesto1'],</v>
      </c>
    </row>
    <row r="152" spans="10:12" x14ac:dyDescent="0.3">
      <c r="J152" t="s">
        <v>623</v>
      </c>
      <c r="K152" t="s">
        <v>645</v>
      </c>
      <c r="L152" t="str">
        <f t="shared" si="16"/>
        <v>'m1' : r_val['m1'],</v>
      </c>
    </row>
    <row r="153" spans="10:12" x14ac:dyDescent="0.3">
      <c r="J153" t="s">
        <v>604</v>
      </c>
      <c r="K153" t="s">
        <v>646</v>
      </c>
      <c r="L153" t="str">
        <f t="shared" si="16"/>
        <v>'nombre2' : r_val['nombre2'],</v>
      </c>
    </row>
    <row r="154" spans="10:12" x14ac:dyDescent="0.3">
      <c r="J154" t="s">
        <v>606</v>
      </c>
      <c r="K154" t="s">
        <v>647</v>
      </c>
      <c r="L154" t="str">
        <f t="shared" si="16"/>
        <v>'puesto2' : r_val['puesto2'],</v>
      </c>
    </row>
    <row r="155" spans="10:12" x14ac:dyDescent="0.3">
      <c r="J155" t="s">
        <v>624</v>
      </c>
      <c r="K155" t="s">
        <v>648</v>
      </c>
      <c r="L155" t="str">
        <f t="shared" si="16"/>
        <v>'m2' : r_val['m2'],</v>
      </c>
    </row>
    <row r="156" spans="10:12" x14ac:dyDescent="0.3">
      <c r="J156" t="s">
        <v>607</v>
      </c>
      <c r="K156" t="s">
        <v>649</v>
      </c>
      <c r="L156" t="str">
        <f t="shared" si="16"/>
        <v>'nombre3' : r_val['nombre3'],</v>
      </c>
    </row>
    <row r="157" spans="10:12" x14ac:dyDescent="0.3">
      <c r="J157" t="s">
        <v>608</v>
      </c>
      <c r="K157" t="s">
        <v>650</v>
      </c>
      <c r="L157" t="str">
        <f t="shared" si="16"/>
        <v>'puesto3' : r_val['puesto3'],</v>
      </c>
    </row>
    <row r="158" spans="10:12" x14ac:dyDescent="0.3">
      <c r="J158" t="s">
        <v>625</v>
      </c>
      <c r="K158" t="s">
        <v>651</v>
      </c>
      <c r="L158" t="str">
        <f t="shared" si="16"/>
        <v>'m3' : r_val['m3'],</v>
      </c>
    </row>
    <row r="159" spans="10:12" x14ac:dyDescent="0.3">
      <c r="J159" t="s">
        <v>609</v>
      </c>
      <c r="K159" t="s">
        <v>652</v>
      </c>
      <c r="L159" t="str">
        <f t="shared" si="16"/>
        <v>'nombre4' : r_val['nombre4'],</v>
      </c>
    </row>
    <row r="160" spans="10:12" x14ac:dyDescent="0.3">
      <c r="J160" t="s">
        <v>610</v>
      </c>
      <c r="K160" t="s">
        <v>653</v>
      </c>
      <c r="L160" t="str">
        <f t="shared" si="16"/>
        <v>'puesto4' : r_val['puesto4'],</v>
      </c>
    </row>
    <row r="161" spans="10:12" x14ac:dyDescent="0.3">
      <c r="J161" t="s">
        <v>626</v>
      </c>
      <c r="K161" t="s">
        <v>654</v>
      </c>
      <c r="L161" t="str">
        <f t="shared" si="16"/>
        <v>'m4' : r_val['m4'],</v>
      </c>
    </row>
    <row r="162" spans="10:12" x14ac:dyDescent="0.3">
      <c r="J162" t="s">
        <v>611</v>
      </c>
      <c r="K162" t="s">
        <v>655</v>
      </c>
      <c r="L162" t="str">
        <f t="shared" si="16"/>
        <v>'nombre5' : r_val['nombre5'],</v>
      </c>
    </row>
    <row r="163" spans="10:12" x14ac:dyDescent="0.3">
      <c r="J163" t="s">
        <v>612</v>
      </c>
      <c r="K163" t="s">
        <v>656</v>
      </c>
      <c r="L163" t="str">
        <f t="shared" si="16"/>
        <v>'puesto5' : r_val['puesto5'],</v>
      </c>
    </row>
    <row r="164" spans="10:12" x14ac:dyDescent="0.3">
      <c r="J164" t="s">
        <v>627</v>
      </c>
      <c r="K164" t="s">
        <v>657</v>
      </c>
      <c r="L164" t="str">
        <f t="shared" si="16"/>
        <v>'m5' : r_val['m5'],</v>
      </c>
    </row>
    <row r="165" spans="10:12" x14ac:dyDescent="0.3">
      <c r="J165" t="s">
        <v>613</v>
      </c>
      <c r="K165" t="s">
        <v>658</v>
      </c>
      <c r="L165" t="str">
        <f t="shared" si="16"/>
        <v>'nombre6' : r_val['nombre6'],</v>
      </c>
    </row>
    <row r="166" spans="10:12" x14ac:dyDescent="0.3">
      <c r="J166" t="s">
        <v>614</v>
      </c>
      <c r="K166" t="s">
        <v>659</v>
      </c>
      <c r="L166" t="str">
        <f t="shared" si="16"/>
        <v>'puesto6' : r_val['puesto6'],</v>
      </c>
    </row>
    <row r="167" spans="10:12" x14ac:dyDescent="0.3">
      <c r="J167" t="s">
        <v>628</v>
      </c>
      <c r="K167" t="s">
        <v>660</v>
      </c>
      <c r="L167" t="str">
        <f t="shared" si="16"/>
        <v>'m6' : r_val['m6'],</v>
      </c>
    </row>
    <row r="168" spans="10:12" x14ac:dyDescent="0.3">
      <c r="J168" t="s">
        <v>615</v>
      </c>
      <c r="K168" t="s">
        <v>661</v>
      </c>
      <c r="L168" t="str">
        <f t="shared" si="16"/>
        <v>'nombre7' : r_val['nombre7'],</v>
      </c>
    </row>
    <row r="169" spans="10:12" x14ac:dyDescent="0.3">
      <c r="J169" t="s">
        <v>616</v>
      </c>
      <c r="K169" t="s">
        <v>662</v>
      </c>
      <c r="L169" t="str">
        <f t="shared" si="16"/>
        <v>'puesto7' : r_val['puesto7'],</v>
      </c>
    </row>
    <row r="170" spans="10:12" x14ac:dyDescent="0.3">
      <c r="J170" t="s">
        <v>629</v>
      </c>
      <c r="K170" t="s">
        <v>663</v>
      </c>
      <c r="L170" t="str">
        <f t="shared" si="16"/>
        <v>'m7' : r_val['m7'],</v>
      </c>
    </row>
    <row r="171" spans="10:12" x14ac:dyDescent="0.3">
      <c r="J171" t="s">
        <v>617</v>
      </c>
      <c r="K171" t="s">
        <v>664</v>
      </c>
      <c r="L171" t="str">
        <f t="shared" si="16"/>
        <v>'nombre8' : r_val['nombre8'],</v>
      </c>
    </row>
    <row r="172" spans="10:12" x14ac:dyDescent="0.3">
      <c r="J172" t="s">
        <v>618</v>
      </c>
      <c r="K172" t="s">
        <v>665</v>
      </c>
      <c r="L172" t="str">
        <f t="shared" si="16"/>
        <v>'puesto8' : r_val['puesto8'],</v>
      </c>
    </row>
    <row r="173" spans="10:12" x14ac:dyDescent="0.3">
      <c r="J173" t="s">
        <v>630</v>
      </c>
      <c r="K173" t="s">
        <v>666</v>
      </c>
      <c r="L173" t="str">
        <f t="shared" si="16"/>
        <v>'m8' : r_val['m8'],</v>
      </c>
    </row>
    <row r="174" spans="10:12" x14ac:dyDescent="0.3">
      <c r="J174" t="s">
        <v>619</v>
      </c>
      <c r="K174" t="s">
        <v>667</v>
      </c>
      <c r="L174" t="str">
        <f t="shared" si="16"/>
        <v>'nombre9' : r_val['nombre9'],</v>
      </c>
    </row>
    <row r="175" spans="10:12" x14ac:dyDescent="0.3">
      <c r="J175" t="s">
        <v>620</v>
      </c>
      <c r="K175" t="s">
        <v>668</v>
      </c>
      <c r="L175" t="str">
        <f t="shared" si="16"/>
        <v>'puesto9' : r_val['puesto9'],</v>
      </c>
    </row>
    <row r="176" spans="10:12" x14ac:dyDescent="0.3">
      <c r="J176" t="s">
        <v>631</v>
      </c>
      <c r="K176" t="s">
        <v>669</v>
      </c>
      <c r="L176" t="str">
        <f t="shared" si="16"/>
        <v>'m9' : r_val['m9'],</v>
      </c>
    </row>
    <row r="177" spans="10:12" x14ac:dyDescent="0.3">
      <c r="J177" t="s">
        <v>621</v>
      </c>
      <c r="K177" t="s">
        <v>670</v>
      </c>
      <c r="L177" t="str">
        <f t="shared" si="16"/>
        <v>'nombre10' : r_val['nombre10'],</v>
      </c>
    </row>
    <row r="178" spans="10:12" x14ac:dyDescent="0.3">
      <c r="J178" t="s">
        <v>622</v>
      </c>
      <c r="K178" t="s">
        <v>671</v>
      </c>
      <c r="L178" t="str">
        <f t="shared" si="16"/>
        <v>'puesto10' : r_val['puesto10'],</v>
      </c>
    </row>
    <row r="179" spans="10:12" x14ac:dyDescent="0.3">
      <c r="J179" t="s">
        <v>632</v>
      </c>
      <c r="K179" t="s">
        <v>672</v>
      </c>
      <c r="L179" t="str">
        <f t="shared" si="16"/>
        <v>'m10' : r_val['m10'],</v>
      </c>
    </row>
    <row r="180" spans="10:12" x14ac:dyDescent="0.3">
      <c r="J180" s="19" t="s">
        <v>1643</v>
      </c>
      <c r="K180" t="str">
        <f t="shared" ref="K180:K194" si="17">+_xlfn.CONCAT("{{ ",J180," }}")</f>
        <v>{{ registro_perito }}</v>
      </c>
      <c r="L180" t="str">
        <f t="shared" si="16"/>
        <v>'registro_perito' : r_val['registro_perito'],</v>
      </c>
    </row>
    <row r="181" spans="10:12" x14ac:dyDescent="0.3">
      <c r="J181" s="19" t="s">
        <v>1644</v>
      </c>
      <c r="K181" t="str">
        <f t="shared" si="17"/>
        <v>{{ no_registro }}</v>
      </c>
      <c r="L181" t="str">
        <f t="shared" si="16"/>
        <v>'no_registro' : r_val['no_registro'],</v>
      </c>
    </row>
    <row r="182" spans="10:12" x14ac:dyDescent="0.3">
      <c r="J182" s="3" t="s">
        <v>1648</v>
      </c>
      <c r="K182" t="str">
        <f t="shared" si="17"/>
        <v>{{ dh_int }}</v>
      </c>
      <c r="L182" t="str">
        <f t="shared" ref="L182:L194" si="18">+_xlfn.CONCAT("'",J182,"' : r_val['",J182,"'],")</f>
        <v>'dh_int' : r_val['dh_int'],</v>
      </c>
    </row>
    <row r="183" spans="10:12" x14ac:dyDescent="0.3">
      <c r="J183" s="15" t="s">
        <v>1649</v>
      </c>
      <c r="K183" t="str">
        <f t="shared" si="17"/>
        <v>{{ dh_ext }}</v>
      </c>
      <c r="L183" t="str">
        <f t="shared" si="18"/>
        <v>'dh_ext' : r_val['dh_ext'],</v>
      </c>
    </row>
    <row r="184" spans="10:12" x14ac:dyDescent="0.3">
      <c r="J184" s="20" t="s">
        <v>1650</v>
      </c>
      <c r="K184" t="str">
        <f t="shared" si="17"/>
        <v>{{ detectores_ext }}</v>
      </c>
      <c r="L184" t="str">
        <f t="shared" si="18"/>
        <v>'detectores_ext' : r_val['detectores_ext'],</v>
      </c>
    </row>
    <row r="185" spans="10:12" x14ac:dyDescent="0.3">
      <c r="J185" s="14" t="s">
        <v>1651</v>
      </c>
      <c r="K185" t="str">
        <f t="shared" si="17"/>
        <v>{{ coord_sup_puesto }}</v>
      </c>
      <c r="L185" t="str">
        <f t="shared" si="18"/>
        <v>'coord_sup_puesto' : r_val['coord_sup_puesto'],</v>
      </c>
    </row>
    <row r="186" spans="10:12" x14ac:dyDescent="0.3">
      <c r="J186" s="17" t="s">
        <v>1657</v>
      </c>
      <c r="K186" t="str">
        <f t="shared" si="17"/>
        <v>{{ riesgo1 }}</v>
      </c>
      <c r="L186" t="str">
        <f t="shared" si="18"/>
        <v>'riesgo1' : r_val['riesgo1'],</v>
      </c>
    </row>
    <row r="187" spans="10:12" x14ac:dyDescent="0.3">
      <c r="J187" s="17" t="s">
        <v>1658</v>
      </c>
      <c r="K187" t="str">
        <f t="shared" si="17"/>
        <v>{{ riesgo2 }}</v>
      </c>
      <c r="L187" t="str">
        <f t="shared" si="18"/>
        <v>'riesgo2' : r_val['riesgo2'],</v>
      </c>
    </row>
    <row r="188" spans="10:12" x14ac:dyDescent="0.3">
      <c r="J188" s="17" t="s">
        <v>1659</v>
      </c>
      <c r="K188" t="str">
        <f t="shared" si="17"/>
        <v>{{ riesgo3 }}</v>
      </c>
      <c r="L188" t="str">
        <f t="shared" si="18"/>
        <v>'riesgo3' : r_val['riesgo3'],</v>
      </c>
    </row>
    <row r="189" spans="10:12" x14ac:dyDescent="0.3">
      <c r="J189" s="17" t="s">
        <v>1660</v>
      </c>
      <c r="K189" t="str">
        <f t="shared" si="17"/>
        <v>{{ riesgo4 }}</v>
      </c>
      <c r="L189" t="str">
        <f t="shared" si="18"/>
        <v>'riesgo4' : r_val['riesgo4'],</v>
      </c>
    </row>
    <row r="190" spans="10:12" x14ac:dyDescent="0.3">
      <c r="J190" s="18" t="s">
        <v>1664</v>
      </c>
      <c r="K190" t="str">
        <f t="shared" si="17"/>
        <v>{{ valor_gri }}</v>
      </c>
      <c r="L190" t="str">
        <f t="shared" si="18"/>
        <v>'valor_gri' : r_val['valor_gri'],</v>
      </c>
    </row>
    <row r="191" spans="10:12" x14ac:dyDescent="0.3">
      <c r="J191" s="3" t="s">
        <v>1665</v>
      </c>
      <c r="K191" t="str">
        <f t="shared" si="17"/>
        <v>{{ medidas_ries1 }}</v>
      </c>
      <c r="L191" t="str">
        <f t="shared" si="18"/>
        <v>'medidas_ries1' : r_val['medidas_ries1'],</v>
      </c>
    </row>
    <row r="192" spans="10:12" x14ac:dyDescent="0.3">
      <c r="J192" s="3" t="s">
        <v>1666</v>
      </c>
      <c r="K192" t="str">
        <f t="shared" si="17"/>
        <v>{{ medidas_ries2 }}</v>
      </c>
      <c r="L192" t="str">
        <f t="shared" si="18"/>
        <v>'medidas_ries2' : r_val['medidas_ries2'],</v>
      </c>
    </row>
    <row r="193" spans="10:12" x14ac:dyDescent="0.3">
      <c r="J193" s="3" t="s">
        <v>1667</v>
      </c>
      <c r="K193" t="str">
        <f t="shared" si="17"/>
        <v>{{ medidas_ries3 }}</v>
      </c>
      <c r="L193" t="str">
        <f t="shared" si="18"/>
        <v>'medidas_ries3' : r_val['medidas_ries3'],</v>
      </c>
    </row>
    <row r="194" spans="10:12" x14ac:dyDescent="0.3">
      <c r="J194" s="3" t="s">
        <v>1668</v>
      </c>
      <c r="K194" t="str">
        <f t="shared" si="17"/>
        <v>{{ medidas_ries4 }}</v>
      </c>
      <c r="L194" t="str">
        <f t="shared" si="18"/>
        <v>'medidas_ries4' : r_val['medidas_ries4'],</v>
      </c>
    </row>
    <row r="195" spans="10:12" x14ac:dyDescent="0.3">
      <c r="J195" s="20" t="s">
        <v>1969</v>
      </c>
      <c r="K195" t="str">
        <f t="shared" ref="K195:K210" si="19">+_xlfn.CONCAT("{{ ",J195," }}")</f>
        <v>{{ barretas }}</v>
      </c>
      <c r="L195" t="str">
        <f t="shared" ref="L195:L210" si="20">+_xlfn.CONCAT("'",J195,"' : r_val['",J195,"'],")</f>
        <v>'barretas' : r_val['barretas'],</v>
      </c>
    </row>
    <row r="196" spans="10:12" x14ac:dyDescent="0.3">
      <c r="J196" s="20" t="s">
        <v>1970</v>
      </c>
      <c r="K196" t="str">
        <f t="shared" si="19"/>
        <v>{{ barretas_ubicacion }}</v>
      </c>
      <c r="L196" t="str">
        <f t="shared" si="20"/>
        <v>'barretas_ubicacion' : r_val['barretas_ubicacion'],</v>
      </c>
    </row>
    <row r="197" spans="10:12" x14ac:dyDescent="0.3">
      <c r="J197" s="20" t="s">
        <v>1971</v>
      </c>
      <c r="K197" t="str">
        <f t="shared" si="19"/>
        <v>{{ banderines }}</v>
      </c>
      <c r="L197" t="str">
        <f t="shared" si="20"/>
        <v>'banderines' : r_val['banderines'],</v>
      </c>
    </row>
    <row r="198" spans="10:12" x14ac:dyDescent="0.3">
      <c r="J198" s="20" t="s">
        <v>1972</v>
      </c>
      <c r="K198" t="str">
        <f t="shared" si="19"/>
        <v>{{ banderines_ubicacion }}</v>
      </c>
      <c r="L198" t="str">
        <f t="shared" si="20"/>
        <v>'banderines_ubicacion' : r_val['banderines_ubicacion'],</v>
      </c>
    </row>
    <row r="199" spans="10:12" x14ac:dyDescent="0.3">
      <c r="J199" s="20" t="s">
        <v>1973</v>
      </c>
      <c r="K199" t="str">
        <f t="shared" si="19"/>
        <v>{{ casco }}</v>
      </c>
      <c r="L199" t="str">
        <f t="shared" si="20"/>
        <v>'casco' : r_val['casco'],</v>
      </c>
    </row>
    <row r="200" spans="10:12" x14ac:dyDescent="0.3">
      <c r="J200" s="20" t="s">
        <v>1974</v>
      </c>
      <c r="K200" t="str">
        <f t="shared" si="19"/>
        <v>{{ casco_ubicacion }}</v>
      </c>
      <c r="L200" t="str">
        <f t="shared" si="20"/>
        <v>'casco_ubicacion' : r_val['casco_ubicacion'],</v>
      </c>
    </row>
    <row r="201" spans="10:12" x14ac:dyDescent="0.3">
      <c r="J201" s="20" t="s">
        <v>1975</v>
      </c>
      <c r="K201" t="str">
        <f t="shared" si="19"/>
        <v>{{ guantes }}</v>
      </c>
      <c r="L201" t="str">
        <f t="shared" si="20"/>
        <v>'guantes' : r_val['guantes'],</v>
      </c>
    </row>
    <row r="202" spans="10:12" x14ac:dyDescent="0.3">
      <c r="J202" s="20" t="s">
        <v>1976</v>
      </c>
      <c r="K202" t="str">
        <f t="shared" si="19"/>
        <v>{{ guantes_ubicacion }}</v>
      </c>
      <c r="L202" t="str">
        <f t="shared" si="20"/>
        <v>'guantes_ubicacion' : r_val['guantes_ubicacion'],</v>
      </c>
    </row>
    <row r="203" spans="10:12" x14ac:dyDescent="0.3">
      <c r="J203" s="20" t="s">
        <v>1977</v>
      </c>
      <c r="K203" t="str">
        <f t="shared" si="19"/>
        <v>{{ linterna }}</v>
      </c>
      <c r="L203" t="str">
        <f t="shared" si="20"/>
        <v>'linterna' : r_val['linterna'],</v>
      </c>
    </row>
    <row r="204" spans="10:12" x14ac:dyDescent="0.3">
      <c r="J204" s="20" t="s">
        <v>1978</v>
      </c>
      <c r="K204" t="str">
        <f t="shared" si="19"/>
        <v>{{ linterna_ubicacion }}</v>
      </c>
      <c r="L204" t="str">
        <f t="shared" si="20"/>
        <v>'linterna_ubicacion' : r_val['linterna_ubicacion'],</v>
      </c>
    </row>
    <row r="205" spans="10:12" x14ac:dyDescent="0.3">
      <c r="J205" s="20" t="s">
        <v>1979</v>
      </c>
      <c r="K205" t="str">
        <f t="shared" si="19"/>
        <v>{{ pala }}</v>
      </c>
      <c r="L205" t="str">
        <f t="shared" si="20"/>
        <v>'pala' : r_val['pala'],</v>
      </c>
    </row>
    <row r="206" spans="10:12" x14ac:dyDescent="0.3">
      <c r="J206" s="20" t="s">
        <v>1980</v>
      </c>
      <c r="K206" t="str">
        <f t="shared" si="19"/>
        <v>{{ pala_ubicacion }}</v>
      </c>
      <c r="L206" t="str">
        <f t="shared" si="20"/>
        <v>'pala_ubicacion' : r_val['pala_ubicacion'],</v>
      </c>
    </row>
    <row r="207" spans="10:12" x14ac:dyDescent="0.3">
      <c r="J207" s="20" t="s">
        <v>1981</v>
      </c>
      <c r="K207" t="str">
        <f t="shared" si="19"/>
        <v>{{ pico }}</v>
      </c>
      <c r="L207" t="str">
        <f t="shared" si="20"/>
        <v>'pico' : r_val['pico'],</v>
      </c>
    </row>
    <row r="208" spans="10:12" x14ac:dyDescent="0.3">
      <c r="J208" s="20" t="s">
        <v>1982</v>
      </c>
      <c r="K208" t="str">
        <f t="shared" si="19"/>
        <v>{{ pico_ubicacion }}</v>
      </c>
      <c r="L208" t="str">
        <f t="shared" si="20"/>
        <v>'pico_ubicacion' : r_val['pico_ubicacion'],</v>
      </c>
    </row>
    <row r="209" spans="10:12" x14ac:dyDescent="0.3">
      <c r="J209" s="20" t="s">
        <v>1983</v>
      </c>
      <c r="K209" t="str">
        <f t="shared" si="19"/>
        <v>{{ camilla }}</v>
      </c>
      <c r="L209" t="str">
        <f t="shared" si="20"/>
        <v>'camilla' : r_val['camilla'],</v>
      </c>
    </row>
    <row r="210" spans="10:12" x14ac:dyDescent="0.3">
      <c r="J210" s="20" t="s">
        <v>1984</v>
      </c>
      <c r="K210" t="str">
        <f t="shared" si="19"/>
        <v>{{ camilla_ubicacion }}</v>
      </c>
      <c r="L210" t="str">
        <f t="shared" si="20"/>
        <v>'camilla_ubicacion' : r_val['camilla_ubicacion'],</v>
      </c>
    </row>
  </sheetData>
  <phoneticPr fontId="1" type="noConversion"/>
  <pageMargins left="0.7" right="0.7" top="0.75" bottom="0.75" header="0.3" footer="0.3"/>
  <pageSetup orientation="portrait" horizontalDpi="4294967294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BD</vt:lpstr>
      <vt:lpstr>DATOS</vt:lpstr>
      <vt:lpstr>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6A</dc:creator>
  <cp:lastModifiedBy>Luis 6A</cp:lastModifiedBy>
  <dcterms:created xsi:type="dcterms:W3CDTF">2024-03-03T20:26:44Z</dcterms:created>
  <dcterms:modified xsi:type="dcterms:W3CDTF">2025-03-10T01:22:24Z</dcterms:modified>
</cp:coreProperties>
</file>