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23475" windowHeight="9510"/>
  </bookViews>
  <sheets>
    <sheet name="8va" sheetId="23" r:id="rId1"/>
    <sheet name="Visitas" sheetId="4" r:id="rId2"/>
    <sheet name="BD" sheetId="22" r:id="rId3"/>
    <sheet name="Hoja2" sheetId="25" r:id="rId4"/>
    <sheet name="Hoja3" sheetId="26" r:id="rId5"/>
  </sheets>
  <calcPr calcId="125725"/>
</workbook>
</file>

<file path=xl/calcChain.xml><?xml version="1.0" encoding="utf-8"?>
<calcChain xmlns="http://schemas.openxmlformats.org/spreadsheetml/2006/main">
  <c r="E27" i="23"/>
  <c r="E3"/>
  <c r="E4"/>
  <c r="E5"/>
  <c r="E6"/>
  <c r="E7"/>
  <c r="E8"/>
  <c r="E9"/>
  <c r="E10"/>
  <c r="E11"/>
  <c r="E2"/>
  <c r="O5"/>
  <c r="B41"/>
  <c r="B43" s="1"/>
  <c r="C41"/>
  <c r="B42"/>
  <c r="C42"/>
  <c r="E42" s="1"/>
  <c r="A43"/>
  <c r="M16"/>
  <c r="M2"/>
  <c r="C2" i="26"/>
  <c r="D2" s="1"/>
  <c r="C3"/>
  <c r="D3"/>
  <c r="H3" s="1"/>
  <c r="C4"/>
  <c r="D4"/>
  <c r="H4" s="1"/>
  <c r="C5"/>
  <c r="D5"/>
  <c r="H5" s="1"/>
  <c r="C6"/>
  <c r="D6"/>
  <c r="F6" s="1"/>
  <c r="C7"/>
  <c r="D7"/>
  <c r="F7" s="1"/>
  <c r="H7" s="1"/>
  <c r="C8"/>
  <c r="D8"/>
  <c r="F8" s="1"/>
  <c r="H8" s="1"/>
  <c r="C9"/>
  <c r="D9"/>
  <c r="F9" s="1"/>
  <c r="H9" s="1"/>
  <c r="C10"/>
  <c r="D10"/>
  <c r="F10" s="1"/>
  <c r="H10" s="1"/>
  <c r="C11"/>
  <c r="D11"/>
  <c r="F11" s="1"/>
  <c r="A19"/>
  <c r="A26"/>
  <c r="D17" i="25"/>
  <c r="F25" i="23"/>
  <c r="M3"/>
  <c r="C25"/>
  <c r="I30"/>
  <c r="N30"/>
  <c r="M30"/>
  <c r="G8" i="4"/>
  <c r="F8"/>
  <c r="N31" i="23"/>
  <c r="N29"/>
  <c r="I28"/>
  <c r="I29"/>
  <c r="I31"/>
  <c r="I32"/>
  <c r="I33"/>
  <c r="G51"/>
  <c r="E51"/>
  <c r="F50"/>
  <c r="E50"/>
  <c r="G50" s="1"/>
  <c r="G49"/>
  <c r="F49"/>
  <c r="E49"/>
  <c r="N42"/>
  <c r="L42"/>
  <c r="O42" s="1"/>
  <c r="K41"/>
  <c r="N40"/>
  <c r="O40" s="1"/>
  <c r="K40"/>
  <c r="K39"/>
  <c r="O38"/>
  <c r="N38"/>
  <c r="K38"/>
  <c r="C36"/>
  <c r="N32"/>
  <c r="M8"/>
  <c r="D1" i="22"/>
  <c r="F1"/>
  <c r="E41" i="23" l="1"/>
  <c r="M4"/>
  <c r="H6" i="26"/>
  <c r="C24"/>
  <c r="C17"/>
  <c r="H2"/>
  <c r="F2"/>
  <c r="H11"/>
  <c r="C23"/>
  <c r="C16"/>
  <c r="F5"/>
  <c r="F4"/>
  <c r="F3"/>
  <c r="D25" i="23"/>
  <c r="C45"/>
  <c r="N28"/>
  <c r="N33"/>
  <c r="N37" l="1"/>
  <c r="O37" s="1"/>
  <c r="M5"/>
  <c r="N39"/>
  <c r="O39" s="1"/>
  <c r="C25" i="26"/>
  <c r="C18"/>
  <c r="C19" s="1"/>
  <c r="C26"/>
  <c r="N34" i="23"/>
  <c r="G25"/>
  <c r="M6" l="1"/>
  <c r="N41"/>
  <c r="O41" s="1"/>
  <c r="M15"/>
  <c r="M17" s="1"/>
  <c r="E25"/>
  <c r="J25" s="1"/>
  <c r="F7" i="4" l="1"/>
  <c r="G7"/>
  <c r="F6"/>
  <c r="G6"/>
  <c r="E10" l="1"/>
  <c r="F10"/>
  <c r="D10"/>
  <c r="G4"/>
  <c r="G3"/>
  <c r="F3"/>
  <c r="E5"/>
  <c r="F4"/>
  <c r="F2"/>
</calcChain>
</file>

<file path=xl/comments1.xml><?xml version="1.0" encoding="utf-8"?>
<comments xmlns="http://schemas.openxmlformats.org/spreadsheetml/2006/main">
  <authors>
    <author>Luis Angel Maciel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Luis Angel Maciel:</t>
        </r>
        <r>
          <rPr>
            <sz val="9"/>
            <color indexed="81"/>
            <rFont val="Tahoma"/>
            <family val="2"/>
          </rPr>
          <t xml:space="preserve">
REVISAR BLANCO ARRIBA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Luis Angel Maciel:</t>
        </r>
        <r>
          <rPr>
            <sz val="9"/>
            <color indexed="81"/>
            <rFont val="Tahoma"/>
            <family val="2"/>
          </rPr>
          <t xml:space="preserve">
REVISAR BLANCO A LADO</t>
        </r>
      </text>
    </comment>
  </commentList>
</comments>
</file>

<file path=xl/sharedStrings.xml><?xml version="1.0" encoding="utf-8"?>
<sst xmlns="http://schemas.openxmlformats.org/spreadsheetml/2006/main" count="157" uniqueCount="124">
  <si>
    <t xml:space="preserve">Concepto </t>
  </si>
  <si>
    <t>A la venta</t>
  </si>
  <si>
    <t>Nombre</t>
  </si>
  <si>
    <t>Gastos</t>
  </si>
  <si>
    <t xml:space="preserve">Ganancia </t>
  </si>
  <si>
    <t xml:space="preserve">Antonio </t>
  </si>
  <si>
    <t xml:space="preserve">Marco </t>
  </si>
  <si>
    <t>Total</t>
  </si>
  <si>
    <t>Uber</t>
  </si>
  <si>
    <t>Cris</t>
  </si>
  <si>
    <t xml:space="preserve">Blanco </t>
  </si>
  <si>
    <t xml:space="preserve">Gramo </t>
  </si>
  <si>
    <t xml:space="preserve">TOTAL </t>
  </si>
  <si>
    <t xml:space="preserve">Total </t>
  </si>
  <si>
    <t>C/U</t>
  </si>
  <si>
    <t>Status</t>
  </si>
  <si>
    <t>Observacion</t>
  </si>
  <si>
    <t xml:space="preserve">Unitario </t>
  </si>
  <si>
    <t>TOTAL</t>
  </si>
  <si>
    <t>Fecha</t>
  </si>
  <si>
    <t>Gasto</t>
  </si>
  <si>
    <t>Roberto Scout</t>
  </si>
  <si>
    <t>Días</t>
  </si>
  <si>
    <t xml:space="preserve">Entrega en: </t>
  </si>
  <si>
    <t xml:space="preserve">Chabacano </t>
  </si>
  <si>
    <t xml:space="preserve">UAM </t>
  </si>
  <si>
    <t>Fecha 1</t>
  </si>
  <si>
    <t>Fecha 2</t>
  </si>
  <si>
    <t>Gramos</t>
  </si>
  <si>
    <t xml:space="preserve">Precio </t>
  </si>
  <si>
    <t>Visita</t>
  </si>
  <si>
    <t xml:space="preserve">TOTALES </t>
  </si>
  <si>
    <t>g</t>
  </si>
  <si>
    <t>costo real</t>
  </si>
  <si>
    <t>ganancia</t>
  </si>
  <si>
    <t xml:space="preserve">Precio a vender </t>
  </si>
  <si>
    <t>C/u</t>
  </si>
  <si>
    <t xml:space="preserve">Medio cada uno </t>
  </si>
  <si>
    <t>porcentaje</t>
  </si>
  <si>
    <t>Debe volver</t>
  </si>
  <si>
    <t xml:space="preserve">Slam </t>
  </si>
  <si>
    <t>Complementos</t>
  </si>
  <si>
    <t>Encendedores</t>
  </si>
  <si>
    <t>Pipas</t>
  </si>
  <si>
    <t>Nada</t>
  </si>
  <si>
    <t>Medio</t>
  </si>
  <si>
    <t xml:space="preserve">Pack </t>
  </si>
  <si>
    <t xml:space="preserve">Quedan </t>
  </si>
  <si>
    <t>Entregados</t>
  </si>
  <si>
    <t>Slam</t>
  </si>
  <si>
    <t>UAM</t>
  </si>
  <si>
    <t xml:space="preserve">2 pipas </t>
  </si>
  <si>
    <t>Tarjeta</t>
  </si>
  <si>
    <t xml:space="preserve">Efectivo </t>
  </si>
  <si>
    <t>Debe más ganancia</t>
  </si>
  <si>
    <t>1 pipa</t>
  </si>
  <si>
    <t>G</t>
  </si>
  <si>
    <t>Pronostico de ventas</t>
  </si>
  <si>
    <t>Volver invertir</t>
  </si>
  <si>
    <t>Piezas</t>
  </si>
  <si>
    <t>Soplete</t>
  </si>
  <si>
    <t>Gas</t>
  </si>
  <si>
    <t>55 4860 6422</t>
  </si>
  <si>
    <t xml:space="preserve">Rodrigo </t>
  </si>
  <si>
    <t>Bellas Artes</t>
  </si>
  <si>
    <t>55 6914 3729</t>
  </si>
  <si>
    <t>55 1637 5339</t>
  </si>
  <si>
    <t>55 3516 9214</t>
  </si>
  <si>
    <t xml:space="preserve">Eduardo </t>
  </si>
  <si>
    <t>Revolución 7:30pm</t>
  </si>
  <si>
    <t>1 pipa, 2 sildenafil</t>
  </si>
  <si>
    <t>Junkie</t>
  </si>
  <si>
    <t>Amores</t>
  </si>
  <si>
    <t xml:space="preserve">2 pipas, 1 encendedor </t>
  </si>
  <si>
    <t>55 11203383</t>
  </si>
  <si>
    <t xml:space="preserve">Memo </t>
  </si>
  <si>
    <t>Oliver</t>
  </si>
  <si>
    <t>2 pipas</t>
  </si>
  <si>
    <t xml:space="preserve">1 slam </t>
  </si>
  <si>
    <t>55 5419 9782</t>
  </si>
  <si>
    <t>55 1428 2878</t>
  </si>
  <si>
    <t xml:space="preserve">MBA Angel </t>
  </si>
  <si>
    <t xml:space="preserve">Parque Hundido 3:50 </t>
  </si>
  <si>
    <t>1 pipa, 1 encendedor</t>
  </si>
  <si>
    <t>55 3630 7149</t>
  </si>
  <si>
    <t>Osmar_xxx</t>
  </si>
  <si>
    <t>56 1815 9398</t>
  </si>
  <si>
    <t>slam</t>
  </si>
  <si>
    <t>20 noviembre 4:30pm</t>
  </si>
  <si>
    <t>San Antonio Uber</t>
  </si>
  <si>
    <t>1 soplete y 3 pipas</t>
  </si>
  <si>
    <t>55 7956 6940</t>
  </si>
  <si>
    <t>Nada / Soplete</t>
  </si>
  <si>
    <t xml:space="preserve">Tepalcatas </t>
  </si>
  <si>
    <t>55 1301 4963</t>
  </si>
  <si>
    <t>´pasbarebacker1</t>
  </si>
  <si>
    <t>´jsau_mx</t>
  </si>
  <si>
    <t>Atlalilco</t>
  </si>
  <si>
    <t xml:space="preserve">1 slam, 1 pipa </t>
  </si>
  <si>
    <t>55 1457 4897</t>
  </si>
  <si>
    <t>Perdida</t>
  </si>
  <si>
    <t>Juan Coca</t>
  </si>
  <si>
    <t>55 5457 1435</t>
  </si>
  <si>
    <t xml:space="preserve">1 sildenafil </t>
  </si>
  <si>
    <t>Sebastian Ciber</t>
  </si>
  <si>
    <t>55 3656 3631</t>
  </si>
  <si>
    <t>Sildenafil</t>
  </si>
  <si>
    <t>Inventario</t>
  </si>
  <si>
    <t>Hasta $100</t>
  </si>
  <si>
    <t>´+ 10</t>
  </si>
  <si>
    <t>Hasta $80</t>
  </si>
  <si>
    <t>5 a 9</t>
  </si>
  <si>
    <t>Envias</t>
  </si>
  <si>
    <t>1 a 4</t>
  </si>
  <si>
    <t>Pieza</t>
  </si>
  <si>
    <t>Precio por g</t>
  </si>
  <si>
    <t xml:space="preserve">Pedidos </t>
  </si>
  <si>
    <t>Pronostico 2</t>
  </si>
  <si>
    <t>Pronostico 1</t>
  </si>
  <si>
    <t xml:space="preserve">Precio final </t>
  </si>
  <si>
    <t>Ganancia</t>
  </si>
  <si>
    <t>Porcentaje</t>
  </si>
  <si>
    <t xml:space="preserve">Costo </t>
  </si>
  <si>
    <t xml:space="preserve">1 a 10g </t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</si>
</sst>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&quot;$&quot;* #,##0.0_-;\-&quot;$&quot;* #,##0.0_-;_-&quot;$&quot;* &quot;-&quot;??_-;_-@_-"/>
    <numFmt numFmtId="166" formatCode="_-* #,##0_-;\-* #,##0_-;_-* &quot;-&quot;??_-;_-@_-"/>
    <numFmt numFmtId="167" formatCode="_-* #,##0.0_-;\-* #,##0.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Fill="1" applyBorder="1"/>
    <xf numFmtId="44" fontId="2" fillId="0" borderId="0" xfId="1" applyFont="1" applyFill="1" applyBorder="1"/>
    <xf numFmtId="0" fontId="0" fillId="0" borderId="0" xfId="0" applyFill="1" applyBorder="1"/>
    <xf numFmtId="0" fontId="0" fillId="0" borderId="8" xfId="0" applyBorder="1"/>
    <xf numFmtId="14" fontId="0" fillId="0" borderId="0" xfId="0" applyNumberFormat="1"/>
    <xf numFmtId="0" fontId="2" fillId="2" borderId="5" xfId="0" applyFont="1" applyFill="1" applyBorder="1"/>
    <xf numFmtId="0" fontId="2" fillId="2" borderId="8" xfId="0" applyFont="1" applyFill="1" applyBorder="1"/>
    <xf numFmtId="44" fontId="0" fillId="0" borderId="8" xfId="1" applyFont="1" applyBorder="1"/>
    <xf numFmtId="0" fontId="0" fillId="0" borderId="8" xfId="0" applyFill="1" applyBorder="1"/>
    <xf numFmtId="164" fontId="0" fillId="0" borderId="8" xfId="1" applyNumberFormat="1" applyFont="1" applyBorder="1"/>
    <xf numFmtId="164" fontId="2" fillId="2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0" fillId="0" borderId="0" xfId="0" applyNumberFormat="1"/>
    <xf numFmtId="164" fontId="0" fillId="0" borderId="8" xfId="1" applyNumberFormat="1" applyFont="1" applyFill="1" applyBorder="1"/>
    <xf numFmtId="164" fontId="0" fillId="0" borderId="0" xfId="1" applyNumberFormat="1" applyFont="1" applyFill="1" applyBorder="1"/>
    <xf numFmtId="0" fontId="0" fillId="4" borderId="8" xfId="0" applyFill="1" applyBorder="1"/>
    <xf numFmtId="0" fontId="3" fillId="4" borderId="8" xfId="0" applyFont="1" applyFill="1" applyBorder="1"/>
    <xf numFmtId="164" fontId="0" fillId="4" borderId="8" xfId="1" applyNumberFormat="1" applyFont="1" applyFill="1" applyBorder="1"/>
    <xf numFmtId="44" fontId="2" fillId="2" borderId="8" xfId="1" applyFont="1" applyFill="1" applyBorder="1"/>
    <xf numFmtId="4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0" fillId="8" borderId="8" xfId="0" applyFill="1" applyBorder="1"/>
    <xf numFmtId="164" fontId="0" fillId="8" borderId="8" xfId="1" applyNumberFormat="1" applyFont="1" applyFill="1" applyBorder="1"/>
    <xf numFmtId="0" fontId="5" fillId="0" borderId="0" xfId="0" applyFont="1" applyFill="1" applyBorder="1" applyAlignment="1">
      <alignment vertical="center"/>
    </xf>
    <xf numFmtId="0" fontId="0" fillId="0" borderId="8" xfId="1" applyNumberFormat="1" applyFont="1" applyFill="1" applyBorder="1"/>
    <xf numFmtId="0" fontId="0" fillId="4" borderId="8" xfId="1" applyNumberFormat="1" applyFont="1" applyFill="1" applyBorder="1"/>
    <xf numFmtId="16" fontId="0" fillId="0" borderId="8" xfId="0" applyNumberFormat="1" applyFont="1" applyFill="1" applyBorder="1"/>
    <xf numFmtId="0" fontId="0" fillId="0" borderId="8" xfId="0" applyFont="1" applyFill="1" applyBorder="1"/>
    <xf numFmtId="164" fontId="1" fillId="0" borderId="8" xfId="1" applyNumberFormat="1" applyFont="1" applyFill="1" applyBorder="1"/>
    <xf numFmtId="16" fontId="0" fillId="4" borderId="8" xfId="0" applyNumberFormat="1" applyFont="1" applyFill="1" applyBorder="1"/>
    <xf numFmtId="0" fontId="0" fillId="4" borderId="8" xfId="0" applyFont="1" applyFill="1" applyBorder="1"/>
    <xf numFmtId="164" fontId="1" fillId="4" borderId="8" xfId="1" applyNumberFormat="1" applyFont="1" applyFill="1" applyBorder="1"/>
    <xf numFmtId="16" fontId="0" fillId="8" borderId="8" xfId="0" applyNumberFormat="1" applyFont="1" applyFill="1" applyBorder="1"/>
    <xf numFmtId="0" fontId="0" fillId="8" borderId="8" xfId="0" applyFont="1" applyFill="1" applyBorder="1"/>
    <xf numFmtId="164" fontId="1" fillId="8" borderId="8" xfId="1" applyNumberFormat="1" applyFont="1" applyFill="1" applyBorder="1"/>
    <xf numFmtId="44" fontId="2" fillId="2" borderId="6" xfId="1" applyNumberFormat="1" applyFont="1" applyFill="1" applyBorder="1"/>
    <xf numFmtId="164" fontId="0" fillId="0" borderId="0" xfId="1" applyNumberFormat="1" applyFont="1" applyBorder="1"/>
    <xf numFmtId="0" fontId="2" fillId="0" borderId="0" xfId="0" applyFont="1" applyFill="1" applyBorder="1" applyAlignment="1">
      <alignment horizontal="center"/>
    </xf>
    <xf numFmtId="15" fontId="0" fillId="0" borderId="8" xfId="0" applyNumberFormat="1" applyBorder="1"/>
    <xf numFmtId="9" fontId="0" fillId="0" borderId="0" xfId="2" applyFont="1"/>
    <xf numFmtId="9" fontId="0" fillId="0" borderId="8" xfId="2" applyFont="1" applyFill="1" applyBorder="1"/>
    <xf numFmtId="9" fontId="0" fillId="4" borderId="8" xfId="2" applyFont="1" applyFill="1" applyBorder="1"/>
    <xf numFmtId="9" fontId="0" fillId="0" borderId="8" xfId="2" applyFont="1" applyBorder="1"/>
    <xf numFmtId="44" fontId="0" fillId="0" borderId="8" xfId="1" applyFont="1" applyFill="1" applyBorder="1"/>
    <xf numFmtId="44" fontId="0" fillId="4" borderId="8" xfId="1" applyFont="1" applyFill="1" applyBorder="1"/>
    <xf numFmtId="0" fontId="2" fillId="2" borderId="13" xfId="0" applyFont="1" applyFill="1" applyBorder="1" applyAlignment="1"/>
    <xf numFmtId="166" fontId="0" fillId="0" borderId="0" xfId="3" applyNumberFormat="1" applyFont="1"/>
    <xf numFmtId="43" fontId="0" fillId="0" borderId="0" xfId="3" applyNumberFormat="1" applyFont="1"/>
    <xf numFmtId="164" fontId="0" fillId="9" borderId="8" xfId="1" applyNumberFormat="1" applyFont="1" applyFill="1" applyBorder="1"/>
    <xf numFmtId="0" fontId="0" fillId="9" borderId="8" xfId="1" applyNumberFormat="1" applyFont="1" applyFill="1" applyBorder="1"/>
    <xf numFmtId="165" fontId="0" fillId="9" borderId="0" xfId="0" applyNumberFormat="1" applyFill="1"/>
    <xf numFmtId="0" fontId="0" fillId="9" borderId="0" xfId="0" applyFill="1"/>
    <xf numFmtId="165" fontId="0" fillId="7" borderId="0" xfId="0" applyNumberFormat="1" applyFill="1"/>
    <xf numFmtId="0" fontId="0" fillId="7" borderId="0" xfId="0" applyFill="1"/>
    <xf numFmtId="165" fontId="0" fillId="5" borderId="0" xfId="0" applyNumberFormat="1" applyFill="1"/>
    <xf numFmtId="44" fontId="0" fillId="9" borderId="0" xfId="0" applyNumberFormat="1" applyFill="1"/>
    <xf numFmtId="164" fontId="2" fillId="2" borderId="8" xfId="0" applyNumberFormat="1" applyFont="1" applyFill="1" applyBorder="1"/>
    <xf numFmtId="0" fontId="2" fillId="10" borderId="0" xfId="0" applyFont="1" applyFill="1"/>
    <xf numFmtId="164" fontId="6" fillId="11" borderId="0" xfId="0" applyNumberFormat="1" applyFont="1" applyFill="1"/>
    <xf numFmtId="164" fontId="2" fillId="12" borderId="0" xfId="0" applyNumberFormat="1" applyFont="1" applyFill="1"/>
    <xf numFmtId="164" fontId="2" fillId="2" borderId="3" xfId="1" applyNumberFormat="1" applyFont="1" applyFill="1" applyBorder="1" applyAlignment="1">
      <alignment horizontal="left"/>
    </xf>
    <xf numFmtId="44" fontId="0" fillId="0" borderId="0" xfId="0" applyNumberFormat="1" applyFill="1" applyBorder="1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44" fontId="7" fillId="0" borderId="0" xfId="1" applyFont="1"/>
    <xf numFmtId="0" fontId="7" fillId="0" borderId="0" xfId="0" applyFont="1" applyAlignment="1">
      <alignment horizontal="center" vertical="center"/>
    </xf>
    <xf numFmtId="44" fontId="0" fillId="0" borderId="0" xfId="1" applyFont="1" applyFill="1" applyBorder="1"/>
    <xf numFmtId="16" fontId="0" fillId="0" borderId="0" xfId="0" applyNumberFormat="1" applyFill="1" applyBorder="1"/>
    <xf numFmtId="0" fontId="3" fillId="0" borderId="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16" fontId="0" fillId="0" borderId="17" xfId="0" applyNumberFormat="1" applyFill="1" applyBorder="1"/>
    <xf numFmtId="0" fontId="0" fillId="0" borderId="18" xfId="0" applyFill="1" applyBorder="1"/>
    <xf numFmtId="0" fontId="2" fillId="2" borderId="10" xfId="0" applyFont="1" applyFill="1" applyBorder="1"/>
    <xf numFmtId="0" fontId="2" fillId="2" borderId="19" xfId="0" applyFont="1" applyFill="1" applyBorder="1"/>
    <xf numFmtId="44" fontId="2" fillId="2" borderId="11" xfId="1" applyFont="1" applyFill="1" applyBorder="1"/>
    <xf numFmtId="44" fontId="0" fillId="0" borderId="0" xfId="0" applyNumberFormat="1" applyFont="1"/>
    <xf numFmtId="9" fontId="0" fillId="0" borderId="0" xfId="2" applyFont="1" applyFill="1" applyBorder="1"/>
    <xf numFmtId="9" fontId="0" fillId="0" borderId="0" xfId="0" applyNumberFormat="1" applyFill="1" applyBorder="1"/>
    <xf numFmtId="44" fontId="0" fillId="0" borderId="8" xfId="0" applyNumberFormat="1" applyFont="1" applyBorder="1"/>
    <xf numFmtId="166" fontId="2" fillId="2" borderId="8" xfId="3" applyNumberFormat="1" applyFont="1" applyFill="1" applyBorder="1"/>
    <xf numFmtId="0" fontId="2" fillId="6" borderId="20" xfId="0" applyFont="1" applyFill="1" applyBorder="1" applyAlignment="1">
      <alignment horizontal="right"/>
    </xf>
    <xf numFmtId="44" fontId="2" fillId="6" borderId="20" xfId="1" applyFont="1" applyFill="1" applyBorder="1" applyAlignment="1">
      <alignment horizontal="center"/>
    </xf>
    <xf numFmtId="0" fontId="6" fillId="0" borderId="21" xfId="0" applyFont="1" applyFill="1" applyBorder="1" applyAlignment="1">
      <alignment horizontal="right"/>
    </xf>
    <xf numFmtId="44" fontId="6" fillId="0" borderId="22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11" xfId="0" applyBorder="1"/>
    <xf numFmtId="167" fontId="0" fillId="4" borderId="8" xfId="0" applyNumberFormat="1" applyFill="1" applyBorder="1"/>
    <xf numFmtId="43" fontId="2" fillId="2" borderId="0" xfId="3" applyFont="1" applyFill="1"/>
    <xf numFmtId="43" fontId="0" fillId="0" borderId="8" xfId="3" applyFont="1" applyBorder="1"/>
    <xf numFmtId="43" fontId="2" fillId="2" borderId="23" xfId="3" applyFont="1" applyFill="1" applyBorder="1"/>
    <xf numFmtId="44" fontId="2" fillId="2" borderId="24" xfId="1" applyFont="1" applyFill="1" applyBorder="1"/>
    <xf numFmtId="0" fontId="4" fillId="0" borderId="0" xfId="0" applyFont="1"/>
    <xf numFmtId="0" fontId="4" fillId="0" borderId="8" xfId="0" applyFont="1" applyFill="1" applyBorder="1"/>
    <xf numFmtId="0" fontId="6" fillId="0" borderId="8" xfId="0" applyFont="1" applyFill="1" applyBorder="1" applyAlignment="1">
      <alignment horizontal="left"/>
    </xf>
    <xf numFmtId="44" fontId="6" fillId="0" borderId="8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3" fontId="0" fillId="0" borderId="0" xfId="3" applyFont="1"/>
    <xf numFmtId="16" fontId="0" fillId="0" borderId="0" xfId="0" applyNumberFormat="1"/>
    <xf numFmtId="0" fontId="0" fillId="0" borderId="6" xfId="0" applyBorder="1"/>
    <xf numFmtId="44" fontId="0" fillId="0" borderId="0" xfId="0" applyNumberFormat="1" applyFont="1" applyFill="1" applyBorder="1"/>
    <xf numFmtId="43" fontId="0" fillId="0" borderId="8" xfId="3" applyNumberFormat="1" applyFont="1" applyBorder="1"/>
    <xf numFmtId="44" fontId="0" fillId="0" borderId="18" xfId="1" applyFont="1" applyBorder="1"/>
    <xf numFmtId="44" fontId="0" fillId="0" borderId="11" xfId="1" applyFont="1" applyBorder="1"/>
    <xf numFmtId="44" fontId="2" fillId="2" borderId="2" xfId="1" applyFont="1" applyFill="1" applyBorder="1" applyAlignment="1">
      <alignment horizontal="center"/>
    </xf>
    <xf numFmtId="0" fontId="6" fillId="7" borderId="21" xfId="0" applyFont="1" applyFill="1" applyBorder="1" applyAlignment="1">
      <alignment horizontal="right"/>
    </xf>
    <xf numFmtId="44" fontId="6" fillId="7" borderId="22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44" fontId="1" fillId="0" borderId="8" xfId="1" applyFont="1" applyFill="1" applyBorder="1"/>
    <xf numFmtId="44" fontId="1" fillId="4" borderId="8" xfId="1" applyFont="1" applyFill="1" applyBorder="1"/>
    <xf numFmtId="44" fontId="0" fillId="8" borderId="19" xfId="1" applyFont="1" applyFill="1" applyBorder="1"/>
    <xf numFmtId="0" fontId="0" fillId="8" borderId="19" xfId="0" applyFill="1" applyBorder="1"/>
    <xf numFmtId="44" fontId="0" fillId="8" borderId="8" xfId="1" applyFont="1" applyFill="1" applyBorder="1"/>
    <xf numFmtId="44" fontId="0" fillId="8" borderId="8" xfId="1" applyFont="1" applyFill="1" applyBorder="1" applyAlignment="1"/>
    <xf numFmtId="44" fontId="0" fillId="8" borderId="8" xfId="1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44" fontId="2" fillId="10" borderId="6" xfId="0" applyNumberFormat="1" applyFont="1" applyFill="1" applyBorder="1"/>
    <xf numFmtId="0" fontId="2" fillId="10" borderId="27" xfId="0" applyFont="1" applyFill="1" applyBorder="1"/>
    <xf numFmtId="0" fontId="2" fillId="10" borderId="5" xfId="0" applyFont="1" applyFill="1" applyBorder="1"/>
    <xf numFmtId="44" fontId="0" fillId="0" borderId="4" xfId="0" applyNumberFormat="1" applyBorder="1"/>
    <xf numFmtId="0" fontId="0" fillId="0" borderId="0" xfId="0" applyBorder="1"/>
    <xf numFmtId="44" fontId="0" fillId="0" borderId="2" xfId="0" applyNumberFormat="1" applyBorder="1"/>
    <xf numFmtId="0" fontId="0" fillId="0" borderId="7" xfId="0" applyBorder="1"/>
    <xf numFmtId="0" fontId="10" fillId="10" borderId="0" xfId="0" applyFont="1" applyFill="1" applyBorder="1" applyAlignment="1">
      <alignment horizontal="center"/>
    </xf>
    <xf numFmtId="44" fontId="0" fillId="4" borderId="19" xfId="1" applyFont="1" applyFill="1" applyBorder="1"/>
    <xf numFmtId="44" fontId="0" fillId="4" borderId="11" xfId="1" applyFont="1" applyFill="1" applyBorder="1"/>
    <xf numFmtId="0" fontId="0" fillId="4" borderId="19" xfId="0" applyFill="1" applyBorder="1"/>
    <xf numFmtId="9" fontId="0" fillId="4" borderId="19" xfId="0" applyNumberFormat="1" applyFill="1" applyBorder="1"/>
    <xf numFmtId="44" fontId="0" fillId="4" borderId="10" xfId="1" applyFont="1" applyFill="1" applyBorder="1"/>
    <xf numFmtId="9" fontId="0" fillId="0" borderId="8" xfId="0" applyNumberFormat="1" applyBorder="1"/>
    <xf numFmtId="44" fontId="0" fillId="0" borderId="17" xfId="1" applyFont="1" applyBorder="1"/>
    <xf numFmtId="44" fontId="0" fillId="4" borderId="18" xfId="1" applyFont="1" applyFill="1" applyBorder="1"/>
    <xf numFmtId="9" fontId="0" fillId="4" borderId="8" xfId="0" applyNumberFormat="1" applyFill="1" applyBorder="1"/>
    <xf numFmtId="44" fontId="0" fillId="4" borderId="17" xfId="1" applyFont="1" applyFill="1" applyBorder="1"/>
    <xf numFmtId="44" fontId="0" fillId="0" borderId="8" xfId="1" applyFont="1" applyBorder="1" applyAlignment="1"/>
    <xf numFmtId="44" fontId="0" fillId="4" borderId="18" xfId="1" applyFont="1" applyFill="1" applyBorder="1" applyAlignment="1">
      <alignment horizontal="center"/>
    </xf>
    <xf numFmtId="44" fontId="0" fillId="4" borderId="8" xfId="1" applyFont="1" applyFill="1" applyBorder="1" applyAlignment="1"/>
    <xf numFmtId="44" fontId="0" fillId="4" borderId="8" xfId="1" applyFont="1" applyFill="1" applyBorder="1" applyAlignment="1">
      <alignment horizontal="center"/>
    </xf>
    <xf numFmtId="9" fontId="0" fillId="4" borderId="8" xfId="0" applyNumberFormat="1" applyFill="1" applyBorder="1" applyAlignment="1">
      <alignment horizontal="right"/>
    </xf>
    <xf numFmtId="44" fontId="0" fillId="4" borderId="17" xfId="1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10" fillId="6" borderId="30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44" fontId="4" fillId="0" borderId="31" xfId="1" applyFont="1" applyFill="1" applyBorder="1"/>
    <xf numFmtId="44" fontId="2" fillId="6" borderId="8" xfId="1" applyFont="1" applyFill="1" applyBorder="1" applyAlignment="1">
      <alignment horizontal="center"/>
    </xf>
    <xf numFmtId="44" fontId="0" fillId="0" borderId="8" xfId="0" applyNumberFormat="1" applyBorder="1"/>
    <xf numFmtId="164" fontId="5" fillId="0" borderId="0" xfId="0" applyNumberFormat="1" applyFont="1" applyFill="1" applyBorder="1"/>
  </cellXfs>
  <cellStyles count="4">
    <cellStyle name="Millares" xfId="3" builtinId="3"/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workbookViewId="0">
      <selection activeCell="E27" sqref="E27"/>
    </sheetView>
  </sheetViews>
  <sheetFormatPr baseColWidth="10" defaultRowHeight="15"/>
  <cols>
    <col min="1" max="1" width="7.140625" bestFit="1" customWidth="1"/>
    <col min="2" max="2" width="15" bestFit="1" customWidth="1"/>
    <col min="3" max="3" width="17.7109375" bestFit="1" customWidth="1"/>
    <col min="5" max="5" width="11.7109375" bestFit="1" customWidth="1"/>
    <col min="6" max="6" width="12.42578125" bestFit="1" customWidth="1"/>
    <col min="7" max="7" width="12.140625" bestFit="1" customWidth="1"/>
    <col min="8" max="8" width="21.42578125" bestFit="1" customWidth="1"/>
    <col min="9" max="9" width="20.85546875" bestFit="1" customWidth="1"/>
    <col min="10" max="10" width="21.85546875" bestFit="1" customWidth="1"/>
    <col min="12" max="12" width="19.28515625" bestFit="1" customWidth="1"/>
    <col min="13" max="13" width="11.5703125" bestFit="1" customWidth="1"/>
    <col min="15" max="15" width="15" bestFit="1" customWidth="1"/>
  </cols>
  <sheetData>
    <row r="1" spans="1:18">
      <c r="A1" s="30" t="s">
        <v>19</v>
      </c>
      <c r="B1" s="30" t="s">
        <v>56</v>
      </c>
      <c r="C1" s="30" t="s">
        <v>2</v>
      </c>
      <c r="D1" s="30" t="s">
        <v>1</v>
      </c>
      <c r="E1" s="30" t="s">
        <v>39</v>
      </c>
      <c r="F1" s="30" t="s">
        <v>3</v>
      </c>
      <c r="G1" s="30" t="s">
        <v>4</v>
      </c>
      <c r="H1" s="30" t="s">
        <v>23</v>
      </c>
      <c r="I1" s="30" t="s">
        <v>41</v>
      </c>
      <c r="J1" s="126" t="s">
        <v>16</v>
      </c>
      <c r="L1" s="168" t="s">
        <v>9</v>
      </c>
      <c r="M1" s="169"/>
      <c r="N1" s="176" t="s">
        <v>123</v>
      </c>
      <c r="O1" s="15">
        <v>250</v>
      </c>
    </row>
    <row r="2" spans="1:18">
      <c r="A2" s="36">
        <v>43901</v>
      </c>
      <c r="B2" s="37">
        <v>1</v>
      </c>
      <c r="C2" s="31"/>
      <c r="D2" s="38">
        <v>400</v>
      </c>
      <c r="E2" s="38">
        <f>$N$5-$M$5</f>
        <v>126.19999999999999</v>
      </c>
      <c r="F2" s="38"/>
      <c r="G2" s="38"/>
      <c r="H2" s="22"/>
      <c r="I2" s="16"/>
      <c r="J2" s="16"/>
      <c r="L2" s="111">
        <v>10</v>
      </c>
      <c r="M2" s="175">
        <f>L2*O1</f>
        <v>2500</v>
      </c>
      <c r="N2" s="11"/>
      <c r="O2" s="11"/>
    </row>
    <row r="3" spans="1:18">
      <c r="A3" s="39">
        <v>43901</v>
      </c>
      <c r="B3" s="24">
        <v>1</v>
      </c>
      <c r="C3" s="24"/>
      <c r="D3" s="41">
        <v>400</v>
      </c>
      <c r="E3" s="41">
        <f t="shared" ref="E3:E11" si="0">$N$5-$M$5</f>
        <v>126.19999999999999</v>
      </c>
      <c r="F3" s="41"/>
      <c r="G3" s="41"/>
      <c r="H3" s="26"/>
      <c r="I3" s="24"/>
      <c r="J3" s="24"/>
      <c r="L3" s="111" t="s">
        <v>8</v>
      </c>
      <c r="M3" s="175">
        <f>145+93</f>
        <v>238</v>
      </c>
      <c r="N3" s="11"/>
      <c r="O3" s="11"/>
    </row>
    <row r="4" spans="1:18">
      <c r="A4" s="36">
        <v>43902</v>
      </c>
      <c r="B4" s="16">
        <v>1</v>
      </c>
      <c r="C4" s="16"/>
      <c r="D4" s="38">
        <v>400</v>
      </c>
      <c r="E4" s="38">
        <f t="shared" si="0"/>
        <v>126.19999999999999</v>
      </c>
      <c r="F4" s="38"/>
      <c r="G4" s="38"/>
      <c r="H4" s="22"/>
      <c r="I4" s="31"/>
      <c r="J4" s="31"/>
      <c r="L4" s="112" t="s">
        <v>7</v>
      </c>
      <c r="M4" s="113">
        <f>M2+M3</f>
        <v>2738</v>
      </c>
    </row>
    <row r="5" spans="1:18" ht="15.75" thickBot="1">
      <c r="A5" s="39">
        <v>43902</v>
      </c>
      <c r="B5" s="25">
        <v>1</v>
      </c>
      <c r="C5" s="26"/>
      <c r="D5" s="41">
        <v>400</v>
      </c>
      <c r="E5" s="41">
        <f t="shared" si="0"/>
        <v>126.19999999999999</v>
      </c>
      <c r="F5" s="41"/>
      <c r="G5" s="41"/>
      <c r="H5" s="24"/>
      <c r="I5" s="24"/>
      <c r="J5" s="24"/>
      <c r="L5" s="13" t="s">
        <v>11</v>
      </c>
      <c r="M5" s="45">
        <f>M4/L2</f>
        <v>273.8</v>
      </c>
      <c r="N5" s="95">
        <v>400</v>
      </c>
      <c r="O5" s="2">
        <f>N5-M5</f>
        <v>126.19999999999999</v>
      </c>
      <c r="R5" s="117"/>
    </row>
    <row r="6" spans="1:18" ht="15.75" thickBot="1">
      <c r="A6" s="36">
        <v>43903</v>
      </c>
      <c r="B6" s="37">
        <v>1</v>
      </c>
      <c r="C6" s="31"/>
      <c r="D6" s="38">
        <v>400</v>
      </c>
      <c r="E6" s="38">
        <f t="shared" si="0"/>
        <v>126.19999999999999</v>
      </c>
      <c r="F6" s="38"/>
      <c r="G6" s="38"/>
      <c r="H6" s="22"/>
      <c r="I6" s="16"/>
      <c r="J6" s="16"/>
      <c r="K6" s="8"/>
      <c r="L6" s="13" t="s">
        <v>45</v>
      </c>
      <c r="M6" s="45">
        <f>M5/2</f>
        <v>136.9</v>
      </c>
    </row>
    <row r="7" spans="1:18" ht="15.75" thickBot="1">
      <c r="A7" s="39">
        <v>43903</v>
      </c>
      <c r="B7" s="40">
        <v>1</v>
      </c>
      <c r="C7" s="26"/>
      <c r="D7" s="41">
        <v>400</v>
      </c>
      <c r="E7" s="41">
        <f t="shared" si="0"/>
        <v>126.19999999999999</v>
      </c>
      <c r="F7" s="41"/>
      <c r="G7" s="41"/>
      <c r="H7" s="24"/>
      <c r="I7" s="24"/>
      <c r="J7" s="24"/>
      <c r="K7" s="8"/>
      <c r="L7" s="13" t="s">
        <v>46</v>
      </c>
      <c r="M7" s="45">
        <v>28</v>
      </c>
    </row>
    <row r="8" spans="1:18" ht="15.75" thickBot="1">
      <c r="A8" s="36">
        <v>43901</v>
      </c>
      <c r="B8" s="16">
        <v>1</v>
      </c>
      <c r="C8" s="16"/>
      <c r="D8" s="38">
        <v>400</v>
      </c>
      <c r="E8" s="38">
        <f t="shared" si="0"/>
        <v>126.19999999999999</v>
      </c>
      <c r="F8" s="38"/>
      <c r="G8" s="38"/>
      <c r="H8" s="22"/>
      <c r="I8" s="31"/>
      <c r="J8" s="16"/>
      <c r="K8" s="8"/>
      <c r="L8" s="13" t="s">
        <v>49</v>
      </c>
      <c r="M8" s="45">
        <f>M33</f>
        <v>8.34</v>
      </c>
    </row>
    <row r="9" spans="1:18">
      <c r="A9" s="39">
        <v>43901</v>
      </c>
      <c r="B9" s="25">
        <v>1</v>
      </c>
      <c r="C9" s="24"/>
      <c r="D9" s="41">
        <v>400</v>
      </c>
      <c r="E9" s="41">
        <f t="shared" si="0"/>
        <v>126.19999999999999</v>
      </c>
      <c r="F9" s="41"/>
      <c r="G9" s="41"/>
      <c r="H9" s="26"/>
      <c r="I9" s="24"/>
      <c r="J9" s="24"/>
      <c r="K9" s="8"/>
    </row>
    <row r="10" spans="1:18" ht="15.75" thickBot="1">
      <c r="A10" s="36">
        <v>43902</v>
      </c>
      <c r="B10" s="37">
        <v>1</v>
      </c>
      <c r="C10" s="16"/>
      <c r="D10" s="38">
        <v>400</v>
      </c>
      <c r="E10" s="38">
        <f t="shared" si="0"/>
        <v>126.19999999999999</v>
      </c>
      <c r="F10" s="38"/>
      <c r="G10" s="38"/>
      <c r="H10" s="22"/>
      <c r="I10" s="16"/>
      <c r="J10" s="31"/>
      <c r="K10" s="8"/>
      <c r="N10" s="72"/>
    </row>
    <row r="11" spans="1:18">
      <c r="A11" s="39">
        <v>43902</v>
      </c>
      <c r="B11" s="40">
        <v>1</v>
      </c>
      <c r="C11" s="26"/>
      <c r="D11" s="41">
        <v>400</v>
      </c>
      <c r="E11" s="41">
        <f t="shared" si="0"/>
        <v>126.19999999999999</v>
      </c>
      <c r="F11" s="41"/>
      <c r="G11" s="41"/>
      <c r="H11" s="24"/>
      <c r="I11" s="24"/>
      <c r="J11" s="24"/>
      <c r="K11" s="8"/>
      <c r="L11" s="19" t="s">
        <v>9</v>
      </c>
      <c r="M11" s="20" t="s">
        <v>13</v>
      </c>
      <c r="N11" s="72"/>
    </row>
    <row r="12" spans="1:18">
      <c r="A12" s="36"/>
      <c r="B12" s="31"/>
      <c r="C12" s="31"/>
      <c r="D12" s="44"/>
      <c r="E12" s="44"/>
      <c r="F12" s="44"/>
      <c r="G12" s="44"/>
      <c r="H12" s="32"/>
      <c r="I12" s="31"/>
      <c r="J12" s="31"/>
      <c r="K12" s="8"/>
      <c r="L12" s="16" t="s">
        <v>52</v>
      </c>
      <c r="M12" s="92">
        <v>65</v>
      </c>
      <c r="N12" s="72"/>
    </row>
    <row r="13" spans="1:18">
      <c r="A13" s="39"/>
      <c r="B13" s="40"/>
      <c r="C13" s="24"/>
      <c r="D13" s="41"/>
      <c r="E13" s="41"/>
      <c r="F13" s="41"/>
      <c r="G13" s="41"/>
      <c r="H13" s="26"/>
      <c r="I13" s="24"/>
      <c r="J13" s="24"/>
      <c r="K13" s="10"/>
      <c r="L13" s="16" t="s">
        <v>53</v>
      </c>
      <c r="M13" s="177">
        <v>34</v>
      </c>
      <c r="N13" s="72"/>
    </row>
    <row r="14" spans="1:18" ht="15.75" thickBot="1">
      <c r="A14" s="36"/>
      <c r="B14" s="31"/>
      <c r="C14" s="31"/>
      <c r="D14" s="129"/>
      <c r="E14" s="129"/>
      <c r="F14" s="129"/>
      <c r="G14" s="129"/>
      <c r="H14" s="22"/>
      <c r="I14" s="16"/>
      <c r="J14" s="16"/>
      <c r="K14" s="10"/>
      <c r="L14" s="11"/>
      <c r="M14" s="92"/>
      <c r="N14" s="72"/>
    </row>
    <row r="15" spans="1:18" ht="15.75" thickBot="1">
      <c r="A15" s="39"/>
      <c r="B15" s="24"/>
      <c r="C15" s="24"/>
      <c r="D15" s="130"/>
      <c r="E15" s="130"/>
      <c r="F15" s="130"/>
      <c r="G15" s="130"/>
      <c r="H15" s="26"/>
      <c r="I15" s="24"/>
      <c r="J15" s="24"/>
      <c r="K15" s="10"/>
      <c r="L15" s="94" t="s">
        <v>12</v>
      </c>
      <c r="M15" s="95">
        <f>SUM(M12:M14)</f>
        <v>99</v>
      </c>
      <c r="N15" s="119"/>
      <c r="Q15" s="3"/>
      <c r="R15" s="4"/>
    </row>
    <row r="16" spans="1:18" ht="15.75" thickBot="1">
      <c r="A16" s="39"/>
      <c r="B16" s="25"/>
      <c r="C16" s="25"/>
      <c r="D16" s="54"/>
      <c r="E16" s="54"/>
      <c r="F16" s="54"/>
      <c r="G16" s="54"/>
      <c r="H16" s="22"/>
      <c r="I16" s="16"/>
      <c r="J16" s="16"/>
      <c r="K16" s="10"/>
      <c r="L16" s="96" t="s">
        <v>58</v>
      </c>
      <c r="M16" s="97">
        <f>M4</f>
        <v>2738</v>
      </c>
      <c r="N16" s="73"/>
      <c r="Q16" s="5"/>
      <c r="R16" s="6"/>
    </row>
    <row r="17" spans="1:18" ht="15.75" thickBot="1">
      <c r="A17" s="39"/>
      <c r="B17" s="25"/>
      <c r="C17" s="26"/>
      <c r="D17" s="41"/>
      <c r="E17" s="41"/>
      <c r="F17" s="41"/>
      <c r="G17" s="41"/>
      <c r="H17" s="41"/>
      <c r="I17" s="24"/>
      <c r="J17" s="24"/>
      <c r="K17" s="8"/>
      <c r="L17" s="124" t="s">
        <v>100</v>
      </c>
      <c r="M17" s="125">
        <f>M15-M16</f>
        <v>-2639</v>
      </c>
      <c r="N17" s="73"/>
      <c r="Q17" s="5"/>
      <c r="R17" s="6"/>
    </row>
    <row r="18" spans="1:18">
      <c r="A18" s="42"/>
      <c r="B18" s="43"/>
      <c r="C18" s="31"/>
      <c r="D18" s="38"/>
      <c r="E18" s="38"/>
      <c r="F18" s="38"/>
      <c r="G18" s="38"/>
      <c r="H18" s="38"/>
      <c r="I18" s="31"/>
      <c r="J18" s="31"/>
      <c r="L18" s="73"/>
      <c r="M18" s="89"/>
      <c r="N18" s="73"/>
      <c r="Q18" s="5"/>
      <c r="R18" s="6"/>
    </row>
    <row r="19" spans="1:18">
      <c r="A19" s="39"/>
      <c r="B19" s="40"/>
      <c r="C19" s="24"/>
      <c r="D19" s="41"/>
      <c r="E19" s="41"/>
      <c r="F19" s="41"/>
      <c r="G19" s="41"/>
      <c r="H19" s="41"/>
      <c r="I19" s="24"/>
      <c r="J19" s="24"/>
      <c r="L19" s="80"/>
      <c r="M19" s="80"/>
      <c r="N19" s="80"/>
      <c r="Q19" s="5"/>
      <c r="R19" s="6"/>
    </row>
    <row r="20" spans="1:18">
      <c r="A20" s="42"/>
      <c r="B20" s="25"/>
      <c r="C20" s="26"/>
      <c r="D20" s="38"/>
      <c r="E20" s="38"/>
      <c r="F20" s="38"/>
      <c r="G20" s="38"/>
      <c r="H20" s="38"/>
      <c r="I20" s="43"/>
      <c r="J20" s="43"/>
      <c r="L20" s="72"/>
      <c r="M20" s="72"/>
      <c r="N20" s="10"/>
      <c r="Q20" s="5"/>
      <c r="R20" s="6"/>
    </row>
    <row r="21" spans="1:18" ht="16.5" thickBot="1">
      <c r="A21" s="39"/>
      <c r="B21" s="37"/>
      <c r="C21" s="31"/>
      <c r="D21" s="41"/>
      <c r="E21" s="41"/>
      <c r="F21" s="41"/>
      <c r="G21" s="41"/>
      <c r="H21" s="41"/>
      <c r="I21" s="40"/>
      <c r="J21" s="40"/>
      <c r="L21" s="77"/>
      <c r="M21" s="72"/>
      <c r="N21" s="72"/>
      <c r="Q21" s="7"/>
      <c r="R21" s="118"/>
    </row>
    <row r="22" spans="1:18" ht="15.75">
      <c r="A22" s="42"/>
      <c r="B22" s="40"/>
      <c r="C22" s="26"/>
      <c r="D22" s="44"/>
      <c r="E22" s="44"/>
      <c r="F22" s="44"/>
      <c r="G22" s="44"/>
      <c r="H22" s="44"/>
      <c r="I22" s="43"/>
      <c r="J22" s="43"/>
      <c r="L22" s="76"/>
      <c r="M22" s="72"/>
      <c r="N22" s="72"/>
    </row>
    <row r="23" spans="1:18">
      <c r="A23" s="39"/>
      <c r="B23" s="40"/>
      <c r="C23" s="105"/>
      <c r="D23" s="41"/>
      <c r="E23" s="41"/>
      <c r="F23" s="41"/>
      <c r="G23" s="41"/>
      <c r="H23" s="41"/>
      <c r="I23" s="40"/>
      <c r="J23" s="40"/>
      <c r="L23" s="89"/>
      <c r="M23" s="72"/>
      <c r="N23" s="72"/>
    </row>
    <row r="24" spans="1:18">
      <c r="A24" s="42"/>
      <c r="B24" s="43"/>
      <c r="C24" s="31"/>
      <c r="D24" s="44"/>
      <c r="E24" s="44"/>
      <c r="F24" s="44"/>
      <c r="G24" s="44"/>
      <c r="H24" s="44"/>
      <c r="I24" s="43"/>
      <c r="J24" s="43"/>
      <c r="L24" s="72"/>
      <c r="M24" s="72"/>
      <c r="N24" s="72"/>
    </row>
    <row r="25" spans="1:18">
      <c r="A25" s="164"/>
      <c r="B25" s="164"/>
      <c r="C25" s="106">
        <f>SUM(B2:B24)</f>
        <v>10</v>
      </c>
      <c r="D25" s="69">
        <f>SUM(D2:D24)</f>
        <v>4000</v>
      </c>
      <c r="E25" s="70">
        <f>SUM(E2:E24)</f>
        <v>1262.0000000000002</v>
      </c>
      <c r="F25" s="68">
        <f>SUM(F2:F24)</f>
        <v>0</v>
      </c>
      <c r="G25" s="18">
        <f>SUM(G2:G24)</f>
        <v>0</v>
      </c>
      <c r="H25" s="165" t="s">
        <v>54</v>
      </c>
      <c r="I25" s="165"/>
      <c r="J25" s="95">
        <f>E25+G25</f>
        <v>1262.0000000000002</v>
      </c>
      <c r="L25" s="72"/>
      <c r="M25" s="72"/>
      <c r="N25" s="72"/>
    </row>
    <row r="26" spans="1:18" ht="15.75" thickBot="1">
      <c r="A26" s="47"/>
      <c r="D26" s="116"/>
      <c r="E26" s="21"/>
      <c r="F26" s="21"/>
      <c r="H26" s="115"/>
    </row>
    <row r="27" spans="1:18">
      <c r="A27" s="81" t="s">
        <v>19</v>
      </c>
      <c r="B27" s="82" t="s">
        <v>20</v>
      </c>
      <c r="C27" s="83" t="s">
        <v>7</v>
      </c>
      <c r="D27" s="10"/>
      <c r="E27" s="178">
        <f>D25-E25</f>
        <v>2738</v>
      </c>
      <c r="F27" s="8"/>
      <c r="G27" s="8"/>
      <c r="H27" s="98" t="s">
        <v>15</v>
      </c>
      <c r="I27" s="98" t="s">
        <v>47</v>
      </c>
      <c r="J27" s="114" t="s">
        <v>48</v>
      </c>
      <c r="K27" s="114" t="s">
        <v>59</v>
      </c>
      <c r="L27" s="99" t="s">
        <v>0</v>
      </c>
      <c r="M27" s="99" t="s">
        <v>14</v>
      </c>
      <c r="N27" s="99" t="s">
        <v>7</v>
      </c>
      <c r="O27" s="110"/>
      <c r="P27" s="110"/>
      <c r="Q27" s="110"/>
    </row>
    <row r="28" spans="1:18">
      <c r="A28" s="84"/>
      <c r="B28" s="16"/>
      <c r="C28" s="85"/>
      <c r="D28" s="10"/>
      <c r="E28" s="79"/>
      <c r="F28" s="10"/>
      <c r="G28" s="10"/>
      <c r="H28" s="127"/>
      <c r="I28" s="100">
        <f t="shared" ref="I28:I33" si="1">K28-J28</f>
        <v>1</v>
      </c>
      <c r="J28" s="11">
        <v>0</v>
      </c>
      <c r="K28" s="11">
        <v>1</v>
      </c>
      <c r="L28" s="101" t="s">
        <v>43</v>
      </c>
      <c r="M28" s="121">
        <v>8</v>
      </c>
      <c r="N28" s="121">
        <f>M28*K28</f>
        <v>8</v>
      </c>
      <c r="O28" s="110"/>
      <c r="P28" s="110"/>
      <c r="Q28" s="110"/>
    </row>
    <row r="29" spans="1:18">
      <c r="A29" s="84"/>
      <c r="B29" s="16"/>
      <c r="C29" s="85"/>
      <c r="D29" s="10"/>
      <c r="E29" s="79"/>
      <c r="F29" s="10"/>
      <c r="G29" s="10"/>
      <c r="H29" s="127"/>
      <c r="I29" s="100">
        <f t="shared" si="1"/>
        <v>5</v>
      </c>
      <c r="J29" s="11">
        <v>0</v>
      </c>
      <c r="K29" s="11">
        <v>5</v>
      </c>
      <c r="L29" s="101" t="s">
        <v>60</v>
      </c>
      <c r="M29" s="121">
        <v>85</v>
      </c>
      <c r="N29" s="121">
        <f>M29*K29</f>
        <v>425</v>
      </c>
      <c r="O29" s="110"/>
      <c r="P29" s="110"/>
      <c r="Q29" s="110"/>
    </row>
    <row r="30" spans="1:18">
      <c r="A30" s="84"/>
      <c r="B30" s="16"/>
      <c r="C30" s="85"/>
      <c r="D30" s="10"/>
      <c r="E30" s="79"/>
      <c r="F30" s="10"/>
      <c r="G30" s="10"/>
      <c r="H30" s="127" t="s">
        <v>107</v>
      </c>
      <c r="I30" s="100">
        <f t="shared" si="1"/>
        <v>8</v>
      </c>
      <c r="J30" s="11">
        <v>0</v>
      </c>
      <c r="K30" s="11">
        <v>8</v>
      </c>
      <c r="L30" s="101" t="s">
        <v>106</v>
      </c>
      <c r="M30" s="121">
        <f>50/4</f>
        <v>12.5</v>
      </c>
      <c r="N30" s="121">
        <f>K30*M30</f>
        <v>100</v>
      </c>
      <c r="O30" s="110"/>
      <c r="P30" s="110"/>
      <c r="Q30" s="110"/>
    </row>
    <row r="31" spans="1:18">
      <c r="A31" s="84"/>
      <c r="B31" s="16"/>
      <c r="C31" s="85"/>
      <c r="D31" s="10"/>
      <c r="E31" s="79"/>
      <c r="F31" s="10"/>
      <c r="G31" s="10"/>
      <c r="H31" s="127"/>
      <c r="I31" s="100">
        <f t="shared" si="1"/>
        <v>2</v>
      </c>
      <c r="J31" s="11">
        <v>0</v>
      </c>
      <c r="K31" s="11">
        <v>2</v>
      </c>
      <c r="L31" s="101" t="s">
        <v>61</v>
      </c>
      <c r="M31" s="121">
        <v>65</v>
      </c>
      <c r="N31" s="121">
        <f>M31*K31</f>
        <v>130</v>
      </c>
      <c r="O31" s="110"/>
      <c r="P31" s="110"/>
      <c r="Q31" s="110"/>
    </row>
    <row r="32" spans="1:18">
      <c r="A32" s="84"/>
      <c r="B32" s="16"/>
      <c r="C32" s="85"/>
      <c r="D32" s="10"/>
      <c r="E32" s="79"/>
      <c r="F32" s="10"/>
      <c r="G32" s="10"/>
      <c r="H32" s="127"/>
      <c r="I32" s="100">
        <f t="shared" si="1"/>
        <v>12</v>
      </c>
      <c r="J32" s="11">
        <v>0</v>
      </c>
      <c r="K32" s="11">
        <v>12</v>
      </c>
      <c r="L32" s="101" t="s">
        <v>42</v>
      </c>
      <c r="M32" s="121">
        <v>12</v>
      </c>
      <c r="N32" s="121">
        <f>M32*K32</f>
        <v>144</v>
      </c>
      <c r="O32" s="110"/>
      <c r="P32" s="110"/>
      <c r="Q32" s="110"/>
    </row>
    <row r="33" spans="1:17" ht="15.75" thickBot="1">
      <c r="A33" s="84"/>
      <c r="B33" s="16"/>
      <c r="C33" s="85"/>
      <c r="D33" s="10"/>
      <c r="E33" s="79"/>
      <c r="F33" s="10"/>
      <c r="G33" s="10"/>
      <c r="H33" s="128"/>
      <c r="I33" s="102">
        <f t="shared" si="1"/>
        <v>14</v>
      </c>
      <c r="J33" s="103">
        <v>0</v>
      </c>
      <c r="K33" s="103">
        <v>14</v>
      </c>
      <c r="L33" s="104" t="s">
        <v>40</v>
      </c>
      <c r="M33" s="122">
        <v>8.34</v>
      </c>
      <c r="N33" s="122">
        <f>M33*K33</f>
        <v>116.75999999999999</v>
      </c>
      <c r="O33" s="110"/>
      <c r="P33" s="110"/>
      <c r="Q33" s="110"/>
    </row>
    <row r="34" spans="1:17">
      <c r="A34" s="84"/>
      <c r="B34" s="16"/>
      <c r="C34" s="85"/>
      <c r="D34" s="10"/>
      <c r="E34" s="79"/>
      <c r="F34" s="10"/>
      <c r="G34" s="10"/>
      <c r="H34" s="1"/>
      <c r="I34" s="74"/>
      <c r="J34" s="74"/>
      <c r="K34" s="166" t="s">
        <v>7</v>
      </c>
      <c r="L34" s="166"/>
      <c r="M34" s="123" t="s">
        <v>18</v>
      </c>
      <c r="N34" s="123">
        <f>SUM(N28:N33)</f>
        <v>923.76</v>
      </c>
      <c r="O34" s="110"/>
      <c r="P34" s="110"/>
      <c r="Q34" s="110"/>
    </row>
    <row r="35" spans="1:17">
      <c r="A35" s="84"/>
      <c r="B35" s="16"/>
      <c r="C35" s="85"/>
      <c r="D35" s="10"/>
      <c r="E35" s="79"/>
      <c r="F35" s="10"/>
      <c r="G35" s="10"/>
      <c r="H35" s="1"/>
      <c r="I35" s="75"/>
      <c r="J35" s="75"/>
    </row>
    <row r="36" spans="1:17" ht="15.75" thickBot="1">
      <c r="A36" s="86"/>
      <c r="B36" s="87" t="s">
        <v>18</v>
      </c>
      <c r="C36" s="88">
        <f>SUM(C28:C35)</f>
        <v>0</v>
      </c>
      <c r="D36" s="10"/>
      <c r="E36" s="8"/>
      <c r="F36" s="8"/>
      <c r="G36" s="9"/>
      <c r="H36" s="78"/>
      <c r="I36" s="75"/>
      <c r="J36" s="74"/>
      <c r="K36" s="55" t="s">
        <v>36</v>
      </c>
      <c r="L36" s="55" t="s">
        <v>35</v>
      </c>
      <c r="M36" s="55" t="s">
        <v>32</v>
      </c>
      <c r="N36" s="55" t="s">
        <v>33</v>
      </c>
      <c r="O36" s="55" t="s">
        <v>34</v>
      </c>
      <c r="P36" s="55" t="s">
        <v>38</v>
      </c>
    </row>
    <row r="37" spans="1:17">
      <c r="A37" s="28"/>
      <c r="B37" s="29"/>
      <c r="C37" s="29"/>
      <c r="D37" s="9"/>
      <c r="E37" s="29"/>
      <c r="F37" s="29"/>
      <c r="G37" s="33"/>
      <c r="H37" s="78"/>
      <c r="I37" s="49"/>
      <c r="J37" s="60"/>
      <c r="K37" s="22">
        <v>400</v>
      </c>
      <c r="L37" s="58">
        <v>400</v>
      </c>
      <c r="M37" s="59">
        <v>1</v>
      </c>
      <c r="N37" s="53">
        <f>M5</f>
        <v>273.8</v>
      </c>
      <c r="O37" s="53">
        <f t="shared" ref="O37:O42" si="2">L37-N37</f>
        <v>126.19999999999999</v>
      </c>
      <c r="P37" s="50">
        <v>1.1000000000000001</v>
      </c>
    </row>
    <row r="38" spans="1:17">
      <c r="B38" s="29"/>
      <c r="D38" s="10"/>
      <c r="E38" s="10"/>
      <c r="F38" s="10"/>
      <c r="G38" s="10"/>
      <c r="H38" s="10"/>
      <c r="I38" s="49"/>
      <c r="J38" s="60"/>
      <c r="K38" s="26">
        <f>780/2</f>
        <v>390</v>
      </c>
      <c r="L38" s="58">
        <v>780</v>
      </c>
      <c r="M38" s="59">
        <v>2</v>
      </c>
      <c r="N38" s="54">
        <f>(190.9*2)</f>
        <v>381.8</v>
      </c>
      <c r="O38" s="54">
        <f t="shared" si="2"/>
        <v>398.2</v>
      </c>
      <c r="P38" s="51">
        <v>1.04</v>
      </c>
    </row>
    <row r="39" spans="1:17">
      <c r="A39" s="167" t="s">
        <v>57</v>
      </c>
      <c r="B39" s="167"/>
      <c r="C39" s="167"/>
      <c r="D39" s="167"/>
      <c r="E39" s="167"/>
      <c r="F39" s="21"/>
      <c r="H39" s="10"/>
      <c r="J39" s="64"/>
      <c r="K39" s="22">
        <f>L39/3</f>
        <v>383.33333333333331</v>
      </c>
      <c r="L39" s="22">
        <v>1150</v>
      </c>
      <c r="M39" s="34">
        <v>3</v>
      </c>
      <c r="N39" s="53">
        <f>M5*3</f>
        <v>821.40000000000009</v>
      </c>
      <c r="O39" s="53">
        <f t="shared" si="2"/>
        <v>328.59999999999991</v>
      </c>
      <c r="P39" s="50">
        <v>0.99</v>
      </c>
    </row>
    <row r="40" spans="1:17">
      <c r="A40" s="93" t="s">
        <v>56</v>
      </c>
      <c r="B40" s="27" t="s">
        <v>1</v>
      </c>
      <c r="C40" s="14" t="s">
        <v>39</v>
      </c>
      <c r="D40" s="14" t="s">
        <v>3</v>
      </c>
      <c r="E40" s="14" t="s">
        <v>4</v>
      </c>
      <c r="F40" s="21"/>
      <c r="H40" s="10"/>
      <c r="J40" s="62"/>
      <c r="K40" s="26">
        <f>L40/4</f>
        <v>375</v>
      </c>
      <c r="L40" s="26">
        <v>1500</v>
      </c>
      <c r="M40" s="35">
        <v>4</v>
      </c>
      <c r="N40" s="54">
        <f>190.9*4</f>
        <v>763.6</v>
      </c>
      <c r="O40" s="54">
        <f t="shared" si="2"/>
        <v>736.4</v>
      </c>
      <c r="P40" s="51">
        <v>0.96</v>
      </c>
    </row>
    <row r="41" spans="1:17">
      <c r="A41" s="107">
        <v>10</v>
      </c>
      <c r="B41" s="15">
        <f>A41*350</f>
        <v>3500</v>
      </c>
      <c r="C41" s="15">
        <f>A41*M5</f>
        <v>2738</v>
      </c>
      <c r="D41" s="15">
        <v>0</v>
      </c>
      <c r="E41" s="15">
        <f>B41-C41-D41</f>
        <v>762</v>
      </c>
      <c r="F41" s="21"/>
      <c r="H41" s="33"/>
      <c r="J41" s="65"/>
      <c r="K41" s="22">
        <f>L41/5</f>
        <v>350</v>
      </c>
      <c r="L41" s="58">
        <v>1750</v>
      </c>
      <c r="M41" s="59">
        <v>5</v>
      </c>
      <c r="N41" s="53">
        <f>M5*5</f>
        <v>1369</v>
      </c>
      <c r="O41" s="15">
        <f t="shared" si="2"/>
        <v>381</v>
      </c>
      <c r="P41" s="52">
        <v>0.83</v>
      </c>
    </row>
    <row r="42" spans="1:17">
      <c r="A42" s="120"/>
      <c r="B42" s="15">
        <f>A42*400</f>
        <v>0</v>
      </c>
      <c r="C42" s="15">
        <f>A42*M5</f>
        <v>0</v>
      </c>
      <c r="D42" s="15">
        <v>0</v>
      </c>
      <c r="E42" s="15">
        <f>B42-C42-D42</f>
        <v>0</v>
      </c>
      <c r="F42" s="21"/>
      <c r="J42" s="63"/>
      <c r="K42" s="26">
        <v>325</v>
      </c>
      <c r="L42" s="26">
        <f>325*10</f>
        <v>3250</v>
      </c>
      <c r="M42" s="35">
        <v>10</v>
      </c>
      <c r="N42" s="54">
        <f>190.9*10</f>
        <v>1909</v>
      </c>
      <c r="O42" s="54">
        <f t="shared" si="2"/>
        <v>1341</v>
      </c>
      <c r="P42" s="51">
        <v>1.1000000000000001</v>
      </c>
    </row>
    <row r="43" spans="1:17">
      <c r="A43" s="108">
        <f>SUM(A41:A42)</f>
        <v>10</v>
      </c>
      <c r="B43" s="109">
        <f>B42+B41</f>
        <v>3500</v>
      </c>
      <c r="C43" s="9"/>
      <c r="D43" s="9"/>
      <c r="E43" s="9"/>
      <c r="F43" s="21"/>
    </row>
    <row r="44" spans="1:17">
      <c r="F44" s="21"/>
      <c r="J44" s="61"/>
      <c r="K44" s="1">
        <v>400</v>
      </c>
      <c r="L44" t="s">
        <v>10</v>
      </c>
      <c r="P44" s="23"/>
    </row>
    <row r="45" spans="1:17">
      <c r="C45" s="2">
        <f>B43-4400-1400</f>
        <v>-2300</v>
      </c>
      <c r="F45" s="21"/>
      <c r="J45" s="61"/>
      <c r="K45" s="1">
        <v>450</v>
      </c>
      <c r="L45" t="s">
        <v>37</v>
      </c>
      <c r="M45" s="1"/>
    </row>
    <row r="46" spans="1:17">
      <c r="F46" s="21"/>
      <c r="L46" s="56"/>
      <c r="M46" s="1"/>
    </row>
    <row r="47" spans="1:17">
      <c r="H47" s="46"/>
      <c r="I47" s="2"/>
      <c r="J47" s="21"/>
      <c r="L47" s="57"/>
      <c r="M47" s="1"/>
    </row>
    <row r="48" spans="1:17">
      <c r="H48" s="46"/>
    </row>
    <row r="49" spans="1:15">
      <c r="A49" s="42">
        <v>43796</v>
      </c>
      <c r="B49" s="43">
        <v>1</v>
      </c>
      <c r="C49" s="31" t="s">
        <v>81</v>
      </c>
      <c r="D49" s="44">
        <v>430</v>
      </c>
      <c r="E49" s="44">
        <f>M42+M43+8+12</f>
        <v>30</v>
      </c>
      <c r="F49" s="44">
        <f>15</f>
        <v>15</v>
      </c>
      <c r="G49" s="44">
        <f>D49-E49-F49</f>
        <v>385</v>
      </c>
      <c r="H49" s="32" t="s">
        <v>82</v>
      </c>
      <c r="I49" s="31" t="s">
        <v>83</v>
      </c>
      <c r="J49" s="31" t="s">
        <v>84</v>
      </c>
      <c r="K49" s="10"/>
      <c r="L49" s="10"/>
      <c r="M49" s="10"/>
      <c r="N49" s="90"/>
      <c r="O49" s="71"/>
    </row>
    <row r="50" spans="1:15">
      <c r="A50" s="39">
        <v>43796</v>
      </c>
      <c r="B50" s="40">
        <v>0.5</v>
      </c>
      <c r="C50" s="24" t="s">
        <v>85</v>
      </c>
      <c r="D50" s="41">
        <v>230</v>
      </c>
      <c r="E50" s="41">
        <f>M43+M45</f>
        <v>0</v>
      </c>
      <c r="F50" s="41">
        <f>10</f>
        <v>10</v>
      </c>
      <c r="G50" s="41">
        <f>D50-E50-F50</f>
        <v>220</v>
      </c>
      <c r="H50" s="26" t="s">
        <v>88</v>
      </c>
      <c r="I50" s="24" t="s">
        <v>87</v>
      </c>
      <c r="J50" s="24" t="s">
        <v>86</v>
      </c>
      <c r="K50" s="10"/>
      <c r="L50" s="10"/>
      <c r="M50" s="10"/>
      <c r="N50" s="90"/>
      <c r="O50" s="71"/>
    </row>
    <row r="51" spans="1:15">
      <c r="A51" s="42">
        <v>43796</v>
      </c>
      <c r="B51" s="43">
        <v>3</v>
      </c>
      <c r="C51" s="32" t="s">
        <v>68</v>
      </c>
      <c r="D51" s="44">
        <v>1150</v>
      </c>
      <c r="E51" s="44">
        <f>(M46*3)+25+8</f>
        <v>33</v>
      </c>
      <c r="F51" s="44">
        <v>10</v>
      </c>
      <c r="G51" s="44">
        <f>D51-E51-F51</f>
        <v>1107</v>
      </c>
      <c r="H51" s="31" t="s">
        <v>69</v>
      </c>
      <c r="I51" s="31" t="s">
        <v>70</v>
      </c>
      <c r="J51" s="31" t="s">
        <v>67</v>
      </c>
      <c r="K51" s="10"/>
      <c r="L51" s="10"/>
      <c r="M51" s="71"/>
      <c r="N51" s="71"/>
      <c r="O51" s="10"/>
    </row>
    <row r="52" spans="1:15">
      <c r="B52" s="80"/>
      <c r="C52" s="23"/>
      <c r="D52" s="10"/>
      <c r="E52" s="10"/>
      <c r="F52" s="10"/>
      <c r="G52" s="10"/>
      <c r="H52" s="71"/>
      <c r="I52" s="10"/>
      <c r="J52" s="10"/>
      <c r="K52" s="10"/>
      <c r="L52" s="10"/>
      <c r="M52" s="10"/>
      <c r="N52" s="10"/>
      <c r="O52" s="10"/>
    </row>
    <row r="53" spans="1:15">
      <c r="B53" s="7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B54" s="73"/>
      <c r="C54" s="10"/>
      <c r="D54" s="10"/>
      <c r="E54" s="10"/>
      <c r="F54" s="10"/>
      <c r="G54" s="10"/>
      <c r="H54" s="71"/>
      <c r="I54" s="10"/>
      <c r="J54" s="10"/>
      <c r="K54" s="10"/>
      <c r="L54" s="10"/>
      <c r="M54" s="10"/>
      <c r="N54" s="10"/>
      <c r="O54" s="10"/>
    </row>
    <row r="55" spans="1:15">
      <c r="B55" s="73"/>
      <c r="C55" s="10"/>
      <c r="D55" s="10"/>
      <c r="E55" s="10"/>
      <c r="F55" s="10"/>
      <c r="G55" s="10"/>
      <c r="H55" s="71"/>
      <c r="I55" s="10"/>
      <c r="J55" s="10"/>
      <c r="K55" s="10"/>
      <c r="L55" s="10"/>
      <c r="M55" s="10"/>
      <c r="N55" s="10"/>
      <c r="O55" s="10"/>
    </row>
    <row r="56" spans="1:1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B57" s="10"/>
      <c r="C57" s="10"/>
      <c r="D57" s="10"/>
      <c r="E57" s="10"/>
      <c r="F57" s="10"/>
      <c r="G57" s="10"/>
      <c r="H57" s="71"/>
      <c r="I57" s="90"/>
      <c r="J57" s="71"/>
      <c r="K57" s="10"/>
      <c r="L57" s="10"/>
      <c r="M57" s="10"/>
      <c r="N57" s="10"/>
      <c r="O57" s="10"/>
    </row>
    <row r="58" spans="1:15">
      <c r="B58" s="10"/>
      <c r="C58" s="10"/>
      <c r="D58" s="10"/>
      <c r="E58" s="10"/>
      <c r="F58" s="10"/>
      <c r="G58" s="10"/>
      <c r="H58" s="78"/>
      <c r="I58" s="91"/>
      <c r="J58" s="10"/>
      <c r="K58" s="10"/>
      <c r="L58" s="10"/>
      <c r="M58" s="10"/>
      <c r="N58" s="10"/>
      <c r="O58" s="10"/>
    </row>
    <row r="59" spans="1:15">
      <c r="B59" s="10"/>
      <c r="C59" s="10"/>
      <c r="D59" s="10"/>
      <c r="E59" s="10"/>
      <c r="F59" s="10"/>
      <c r="G59" s="10"/>
      <c r="H59" s="71"/>
      <c r="I59" s="10"/>
      <c r="J59" s="10"/>
      <c r="K59" s="10"/>
      <c r="L59" s="10"/>
      <c r="M59" s="10"/>
      <c r="N59" s="10"/>
      <c r="O59" s="10"/>
    </row>
    <row r="60" spans="1:1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5">
    <mergeCell ref="A25:B25"/>
    <mergeCell ref="H25:I25"/>
    <mergeCell ref="K34:L34"/>
    <mergeCell ref="A39:E39"/>
    <mergeCell ref="L1:M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" sqref="G3"/>
    </sheetView>
  </sheetViews>
  <sheetFormatPr baseColWidth="10" defaultRowHeight="15"/>
  <cols>
    <col min="3" max="3" width="20.5703125" bestFit="1" customWidth="1"/>
    <col min="7" max="8" width="11.85546875" bestFit="1" customWidth="1"/>
  </cols>
  <sheetData>
    <row r="1" spans="1:8">
      <c r="A1" s="30" t="s">
        <v>30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17</v>
      </c>
      <c r="G1" s="30" t="s">
        <v>22</v>
      </c>
    </row>
    <row r="2" spans="1:8">
      <c r="A2" s="11">
        <v>1</v>
      </c>
      <c r="B2" s="48">
        <v>43744</v>
      </c>
      <c r="C2" s="48">
        <v>43753</v>
      </c>
      <c r="D2" s="11">
        <v>40</v>
      </c>
      <c r="E2" s="17">
        <v>7500</v>
      </c>
      <c r="F2" s="17">
        <f>E2/D2</f>
        <v>187.5</v>
      </c>
      <c r="G2" s="11">
        <v>9</v>
      </c>
      <c r="H2" s="12"/>
    </row>
    <row r="3" spans="1:8">
      <c r="A3" s="11">
        <v>2</v>
      </c>
      <c r="B3" s="48">
        <v>43754</v>
      </c>
      <c r="C3" s="48">
        <v>43759</v>
      </c>
      <c r="D3" s="11">
        <v>40</v>
      </c>
      <c r="E3" s="17">
        <v>7400</v>
      </c>
      <c r="F3" s="17">
        <f>E3/40</f>
        <v>185</v>
      </c>
      <c r="G3" s="11">
        <f>C3-B3</f>
        <v>5</v>
      </c>
    </row>
    <row r="4" spans="1:8">
      <c r="A4" s="11">
        <v>3</v>
      </c>
      <c r="B4" s="48">
        <v>43760</v>
      </c>
      <c r="C4" s="48">
        <v>43776</v>
      </c>
      <c r="D4" s="11">
        <v>20</v>
      </c>
      <c r="E4" s="17">
        <v>4200</v>
      </c>
      <c r="F4" s="17">
        <f>E4/D4</f>
        <v>210</v>
      </c>
      <c r="G4" s="11">
        <f>C4-B4</f>
        <v>16</v>
      </c>
    </row>
    <row r="5" spans="1:8">
      <c r="A5" s="11">
        <v>4</v>
      </c>
      <c r="B5" s="48">
        <v>43776</v>
      </c>
      <c r="C5" s="48">
        <v>43783</v>
      </c>
      <c r="D5" s="11">
        <v>22</v>
      </c>
      <c r="E5" s="17">
        <f>D5*F5</f>
        <v>4620</v>
      </c>
      <c r="F5" s="17">
        <v>210</v>
      </c>
      <c r="G5" s="11">
        <v>7</v>
      </c>
    </row>
    <row r="6" spans="1:8">
      <c r="A6" s="11">
        <v>5</v>
      </c>
      <c r="B6" s="48">
        <v>43784</v>
      </c>
      <c r="C6" s="48">
        <v>43789</v>
      </c>
      <c r="D6" s="11">
        <v>40</v>
      </c>
      <c r="E6" s="17">
        <v>7400</v>
      </c>
      <c r="F6" s="17">
        <f>E6/D6</f>
        <v>185</v>
      </c>
      <c r="G6" s="11">
        <f>C6-B6</f>
        <v>5</v>
      </c>
    </row>
    <row r="7" spans="1:8">
      <c r="A7" s="11">
        <v>6</v>
      </c>
      <c r="B7" s="48">
        <v>43790</v>
      </c>
      <c r="C7" s="48">
        <v>43796</v>
      </c>
      <c r="D7" s="11">
        <v>40</v>
      </c>
      <c r="E7" s="17">
        <v>7400</v>
      </c>
      <c r="F7" s="17">
        <f>E7/D7</f>
        <v>185</v>
      </c>
      <c r="G7" s="11">
        <f>C7-B7</f>
        <v>6</v>
      </c>
    </row>
    <row r="8" spans="1:8">
      <c r="A8" s="11">
        <v>7</v>
      </c>
      <c r="B8" s="48">
        <v>43797</v>
      </c>
      <c r="C8" s="48"/>
      <c r="D8" s="11">
        <v>40</v>
      </c>
      <c r="E8" s="17">
        <v>7400</v>
      </c>
      <c r="F8" s="17">
        <f>E8/D8</f>
        <v>185</v>
      </c>
      <c r="G8" s="11">
        <f>C8-B8</f>
        <v>-43797</v>
      </c>
    </row>
    <row r="9" spans="1:8">
      <c r="A9" s="11"/>
      <c r="B9" s="48"/>
      <c r="C9" s="48"/>
      <c r="D9" s="11"/>
      <c r="E9" s="17"/>
      <c r="F9" s="17"/>
      <c r="G9" s="11"/>
    </row>
    <row r="10" spans="1:8">
      <c r="A10" s="170" t="s">
        <v>31</v>
      </c>
      <c r="B10" s="170"/>
      <c r="C10" s="171"/>
      <c r="D10" s="14">
        <f>SUM(D2:D9)</f>
        <v>242</v>
      </c>
      <c r="E10" s="66">
        <f>SUM(E2:E9)</f>
        <v>45920</v>
      </c>
      <c r="F10" s="66">
        <f>AVERAGE(F2:F9)</f>
        <v>192.5</v>
      </c>
      <c r="G10" s="67"/>
    </row>
  </sheetData>
  <mergeCells count="1"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B12" sqref="B12"/>
    </sheetView>
  </sheetViews>
  <sheetFormatPr baseColWidth="10" defaultRowHeight="15"/>
  <cols>
    <col min="1" max="3" width="7" bestFit="1" customWidth="1"/>
    <col min="4" max="4" width="4" bestFit="1" customWidth="1"/>
    <col min="5" max="5" width="15.42578125" bestFit="1" customWidth="1"/>
    <col min="6" max="6" width="8" bestFit="1" customWidth="1"/>
    <col min="7" max="7" width="18" bestFit="1" customWidth="1"/>
    <col min="8" max="8" width="20.85546875" bestFit="1" customWidth="1"/>
    <col min="9" max="9" width="11.85546875" bestFit="1" customWidth="1"/>
  </cols>
  <sheetData>
    <row r="1" spans="1:9">
      <c r="A1" s="36">
        <v>43791</v>
      </c>
      <c r="B1" s="36">
        <v>43797</v>
      </c>
      <c r="C1" s="36"/>
      <c r="D1" s="37">
        <f>5+5</f>
        <v>10</v>
      </c>
      <c r="E1" s="31" t="s">
        <v>6</v>
      </c>
      <c r="F1" s="38">
        <f>(1850)+2000</f>
        <v>3850</v>
      </c>
      <c r="G1" s="22" t="s">
        <v>89</v>
      </c>
      <c r="H1" s="16" t="s">
        <v>92</v>
      </c>
      <c r="I1" s="16" t="s">
        <v>62</v>
      </c>
    </row>
    <row r="2" spans="1:9">
      <c r="A2" s="39">
        <v>43795</v>
      </c>
      <c r="B2" s="39"/>
      <c r="C2" s="39"/>
      <c r="D2" s="24">
        <v>1</v>
      </c>
      <c r="E2" s="24" t="s">
        <v>63</v>
      </c>
      <c r="F2" s="41">
        <v>450</v>
      </c>
      <c r="G2" s="26" t="s">
        <v>64</v>
      </c>
      <c r="H2" s="24" t="s">
        <v>55</v>
      </c>
      <c r="I2" s="24" t="s">
        <v>65</v>
      </c>
    </row>
    <row r="3" spans="1:9">
      <c r="A3" s="36">
        <v>43795</v>
      </c>
      <c r="B3" s="36">
        <v>43797</v>
      </c>
      <c r="C3" s="36">
        <v>43798</v>
      </c>
      <c r="D3" s="16">
        <v>1.5</v>
      </c>
      <c r="E3" s="16" t="s">
        <v>76</v>
      </c>
      <c r="F3" s="38">
        <v>600</v>
      </c>
      <c r="G3" s="22" t="s">
        <v>25</v>
      </c>
      <c r="H3" s="31" t="s">
        <v>78</v>
      </c>
      <c r="I3" s="31" t="s">
        <v>80</v>
      </c>
    </row>
    <row r="4" spans="1:9">
      <c r="A4" s="39">
        <v>43795</v>
      </c>
      <c r="B4" s="39">
        <v>43798</v>
      </c>
      <c r="C4" s="39"/>
      <c r="D4" s="25">
        <v>2</v>
      </c>
      <c r="E4" s="24" t="s">
        <v>21</v>
      </c>
      <c r="F4" s="41">
        <v>900</v>
      </c>
      <c r="G4" s="24" t="s">
        <v>50</v>
      </c>
      <c r="H4" s="24" t="s">
        <v>51</v>
      </c>
      <c r="I4" s="24" t="s">
        <v>66</v>
      </c>
    </row>
    <row r="5" spans="1:9">
      <c r="A5" s="36">
        <v>43795</v>
      </c>
      <c r="B5" s="36"/>
      <c r="C5" s="36"/>
      <c r="D5" s="37">
        <v>1.5</v>
      </c>
      <c r="E5" s="31" t="s">
        <v>71</v>
      </c>
      <c r="F5" s="38">
        <v>590</v>
      </c>
      <c r="G5" s="22" t="s">
        <v>72</v>
      </c>
      <c r="H5" s="16" t="s">
        <v>73</v>
      </c>
      <c r="I5" s="16" t="s">
        <v>74</v>
      </c>
    </row>
    <row r="6" spans="1:9">
      <c r="A6" s="39">
        <v>43795</v>
      </c>
      <c r="B6" s="39"/>
      <c r="C6" s="39"/>
      <c r="D6" s="40">
        <v>0.5</v>
      </c>
      <c r="E6" s="26" t="s">
        <v>75</v>
      </c>
      <c r="F6" s="41">
        <v>200</v>
      </c>
      <c r="G6" s="24" t="s">
        <v>25</v>
      </c>
      <c r="H6" s="24" t="s">
        <v>77</v>
      </c>
      <c r="I6" s="24" t="s">
        <v>79</v>
      </c>
    </row>
    <row r="7" spans="1:9">
      <c r="A7" s="36">
        <v>43797</v>
      </c>
      <c r="B7" s="36"/>
      <c r="C7" s="36"/>
      <c r="D7" s="16">
        <v>5</v>
      </c>
      <c r="E7" s="16" t="s">
        <v>6</v>
      </c>
      <c r="F7" s="38">
        <v>2000</v>
      </c>
      <c r="G7" s="22" t="s">
        <v>89</v>
      </c>
      <c r="H7" s="31" t="s">
        <v>60</v>
      </c>
      <c r="I7" s="16" t="s">
        <v>62</v>
      </c>
    </row>
    <row r="8" spans="1:9">
      <c r="A8" s="39">
        <v>43797</v>
      </c>
      <c r="B8" s="39"/>
      <c r="C8" s="39"/>
      <c r="D8" s="25">
        <v>4</v>
      </c>
      <c r="E8" s="24" t="s">
        <v>5</v>
      </c>
      <c r="F8" s="41">
        <v>2000</v>
      </c>
      <c r="G8" s="26" t="s">
        <v>93</v>
      </c>
      <c r="H8" s="24" t="s">
        <v>90</v>
      </c>
      <c r="I8" s="24" t="s">
        <v>91</v>
      </c>
    </row>
    <row r="9" spans="1:9">
      <c r="A9" s="36">
        <v>43786</v>
      </c>
      <c r="B9" s="36">
        <v>43797</v>
      </c>
      <c r="C9" s="36"/>
      <c r="D9" s="37">
        <v>1.5</v>
      </c>
      <c r="E9" s="16" t="s">
        <v>95</v>
      </c>
      <c r="F9" s="38">
        <v>300</v>
      </c>
      <c r="G9" s="22" t="s">
        <v>24</v>
      </c>
      <c r="H9" s="16" t="s">
        <v>44</v>
      </c>
      <c r="I9" s="16" t="s">
        <v>94</v>
      </c>
    </row>
    <row r="10" spans="1:9">
      <c r="A10" s="39">
        <v>43797</v>
      </c>
      <c r="B10" s="39"/>
      <c r="C10" s="39"/>
      <c r="D10" s="24">
        <v>1</v>
      </c>
      <c r="E10" s="24" t="s">
        <v>96</v>
      </c>
      <c r="F10" s="41">
        <v>400</v>
      </c>
      <c r="G10" s="26" t="s">
        <v>97</v>
      </c>
      <c r="H10" s="24" t="s">
        <v>98</v>
      </c>
      <c r="I10" s="24" t="s">
        <v>99</v>
      </c>
    </row>
    <row r="11" spans="1:9">
      <c r="A11" s="36">
        <v>43798</v>
      </c>
      <c r="B11" s="36"/>
      <c r="C11" s="36"/>
      <c r="D11" s="37">
        <v>1</v>
      </c>
      <c r="E11" s="31" t="s">
        <v>101</v>
      </c>
      <c r="F11" s="38">
        <v>550</v>
      </c>
      <c r="G11" s="22" t="s">
        <v>50</v>
      </c>
      <c r="H11" s="16" t="s">
        <v>103</v>
      </c>
      <c r="I11" s="16" t="s">
        <v>102</v>
      </c>
    </row>
    <row r="12" spans="1:9">
      <c r="A12" s="39">
        <v>43798</v>
      </c>
      <c r="B12" s="39"/>
      <c r="C12" s="39"/>
      <c r="D12" s="40">
        <v>0.5</v>
      </c>
      <c r="E12" s="24" t="s">
        <v>104</v>
      </c>
      <c r="F12" s="41">
        <v>200</v>
      </c>
      <c r="G12" s="26" t="s">
        <v>25</v>
      </c>
      <c r="H12" s="24" t="s">
        <v>44</v>
      </c>
      <c r="I12" s="24" t="s">
        <v>105</v>
      </c>
    </row>
    <row r="13" spans="1:9">
      <c r="A13" s="36"/>
      <c r="B13" s="36"/>
      <c r="C13" s="36"/>
      <c r="D13" s="16"/>
      <c r="E13" s="16"/>
      <c r="F13" s="38"/>
      <c r="G13" s="22"/>
      <c r="H13" s="31"/>
      <c r="I13" s="31"/>
    </row>
    <row r="14" spans="1:9">
      <c r="A14" s="39"/>
      <c r="B14" s="39"/>
      <c r="C14" s="39"/>
      <c r="D14" s="25"/>
      <c r="E14" s="26"/>
      <c r="F14" s="41"/>
      <c r="G14" s="24"/>
      <c r="H14" s="24"/>
      <c r="I14" s="24"/>
    </row>
    <row r="15" spans="1:9">
      <c r="A15" s="36"/>
      <c r="B15" s="36"/>
      <c r="C15" s="36"/>
      <c r="D15" s="37"/>
      <c r="E15" s="31"/>
      <c r="F15" s="38"/>
      <c r="G15" s="22"/>
      <c r="H15" s="16"/>
      <c r="I15" s="16"/>
    </row>
    <row r="16" spans="1:9">
      <c r="A16" s="39"/>
      <c r="B16" s="39"/>
      <c r="C16" s="39"/>
      <c r="D16" s="40"/>
      <c r="E16" s="26"/>
      <c r="F16" s="41"/>
      <c r="G16" s="24"/>
      <c r="H16" s="24"/>
      <c r="I16" s="24"/>
    </row>
    <row r="17" spans="1:9">
      <c r="A17" s="36"/>
      <c r="B17" s="36"/>
      <c r="C17" s="36"/>
      <c r="D17" s="16"/>
      <c r="E17" s="16"/>
      <c r="F17" s="38"/>
      <c r="G17" s="22"/>
      <c r="H17" s="31"/>
      <c r="I17" s="16"/>
    </row>
    <row r="18" spans="1:9">
      <c r="A18" s="39"/>
      <c r="B18" s="39"/>
      <c r="C18" s="39"/>
      <c r="D18" s="25"/>
      <c r="E18" s="24"/>
      <c r="F18" s="41"/>
      <c r="G18" s="26"/>
      <c r="H18" s="24"/>
      <c r="I18" s="24"/>
    </row>
    <row r="19" spans="1:9">
      <c r="A19" s="36"/>
      <c r="B19" s="36"/>
      <c r="C19" s="36"/>
      <c r="D19" s="37"/>
      <c r="E19" s="16"/>
      <c r="F19" s="38"/>
      <c r="G19" s="22"/>
      <c r="H19" s="16"/>
      <c r="I19" s="16"/>
    </row>
    <row r="20" spans="1:9">
      <c r="A20" s="39"/>
      <c r="B20" s="39"/>
      <c r="C20" s="39"/>
      <c r="D20" s="24"/>
      <c r="E20" s="24"/>
      <c r="F20" s="41"/>
      <c r="G20" s="26"/>
      <c r="H20" s="24"/>
      <c r="I2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29" sqref="D29"/>
    </sheetView>
  </sheetViews>
  <sheetFormatPr baseColWidth="10" defaultRowHeight="15"/>
  <cols>
    <col min="1" max="1" width="12.85546875" bestFit="1" customWidth="1"/>
    <col min="2" max="2" width="6" bestFit="1" customWidth="1"/>
    <col min="3" max="3" width="11.7109375" bestFit="1" customWidth="1"/>
  </cols>
  <sheetData>
    <row r="1" spans="1:3" ht="15.75">
      <c r="A1" s="137" t="s">
        <v>115</v>
      </c>
      <c r="B1" s="137" t="s">
        <v>114</v>
      </c>
      <c r="C1" s="136" t="s">
        <v>8</v>
      </c>
    </row>
    <row r="2" spans="1:3">
      <c r="A2" s="135">
        <v>360</v>
      </c>
      <c r="B2" s="31" t="s">
        <v>113</v>
      </c>
      <c r="C2" s="134" t="s">
        <v>112</v>
      </c>
    </row>
    <row r="3" spans="1:3">
      <c r="A3" s="133">
        <v>330</v>
      </c>
      <c r="B3" s="31" t="s">
        <v>111</v>
      </c>
      <c r="C3" s="133" t="s">
        <v>110</v>
      </c>
    </row>
    <row r="4" spans="1:3" ht="15.75" thickBot="1">
      <c r="A4" s="131">
        <v>300</v>
      </c>
      <c r="B4" s="132" t="s">
        <v>109</v>
      </c>
      <c r="C4" s="131" t="s">
        <v>108</v>
      </c>
    </row>
    <row r="17" spans="4:4">
      <c r="D17">
        <f>50*20</f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sqref="A1:H26"/>
    </sheetView>
  </sheetViews>
  <sheetFormatPr baseColWidth="10" defaultRowHeight="15"/>
  <sheetData>
    <row r="1" spans="1:8" ht="15.75">
      <c r="A1" s="163" t="s">
        <v>122</v>
      </c>
      <c r="B1" s="137" t="s">
        <v>121</v>
      </c>
      <c r="C1" s="137" t="s">
        <v>120</v>
      </c>
      <c r="D1" s="137" t="s">
        <v>115</v>
      </c>
      <c r="E1" s="137" t="s">
        <v>114</v>
      </c>
      <c r="F1" s="162" t="s">
        <v>119</v>
      </c>
      <c r="G1" s="136" t="s">
        <v>8</v>
      </c>
      <c r="H1" s="162" t="s">
        <v>119</v>
      </c>
    </row>
    <row r="2" spans="1:8">
      <c r="A2" s="161">
        <v>180</v>
      </c>
      <c r="B2" s="160">
        <v>1</v>
      </c>
      <c r="C2" s="159">
        <f t="shared" ref="C2:C11" si="0">$B2*$A$2</f>
        <v>180</v>
      </c>
      <c r="D2" s="159">
        <f t="shared" ref="D2:D11" si="1">$C2+$A$2</f>
        <v>360</v>
      </c>
      <c r="E2" s="24">
        <v>1</v>
      </c>
      <c r="F2" s="157">
        <f t="shared" ref="F2:F11" si="2">$E2*$D2</f>
        <v>360</v>
      </c>
      <c r="G2" s="158" t="s">
        <v>112</v>
      </c>
      <c r="H2" s="157">
        <f>$E2*$D2</f>
        <v>360</v>
      </c>
    </row>
    <row r="3" spans="1:8">
      <c r="A3" s="152">
        <v>180</v>
      </c>
      <c r="B3" s="151">
        <v>0.95</v>
      </c>
      <c r="C3" s="15">
        <f t="shared" si="0"/>
        <v>171</v>
      </c>
      <c r="D3" s="15">
        <f t="shared" si="1"/>
        <v>351</v>
      </c>
      <c r="E3" s="11">
        <v>2</v>
      </c>
      <c r="F3" s="121">
        <f t="shared" si="2"/>
        <v>702</v>
      </c>
      <c r="G3" s="156" t="s">
        <v>112</v>
      </c>
      <c r="H3" s="121">
        <f>$E3*$D3</f>
        <v>702</v>
      </c>
    </row>
    <row r="4" spans="1:8">
      <c r="A4" s="152">
        <v>180</v>
      </c>
      <c r="B4" s="151">
        <v>0.9</v>
      </c>
      <c r="C4" s="15">
        <f t="shared" si="0"/>
        <v>162</v>
      </c>
      <c r="D4" s="15">
        <f t="shared" si="1"/>
        <v>342</v>
      </c>
      <c r="E4" s="11">
        <v>3</v>
      </c>
      <c r="F4" s="121">
        <f t="shared" si="2"/>
        <v>1026</v>
      </c>
      <c r="G4" s="15" t="s">
        <v>112</v>
      </c>
      <c r="H4" s="121">
        <f>$E4*$D4</f>
        <v>1026</v>
      </c>
    </row>
    <row r="5" spans="1:8">
      <c r="A5" s="152">
        <v>180</v>
      </c>
      <c r="B5" s="151">
        <v>0.85</v>
      </c>
      <c r="C5" s="15">
        <f t="shared" si="0"/>
        <v>153</v>
      </c>
      <c r="D5" s="15">
        <f t="shared" si="1"/>
        <v>333</v>
      </c>
      <c r="E5" s="11">
        <v>4</v>
      </c>
      <c r="F5" s="121">
        <f t="shared" si="2"/>
        <v>1332</v>
      </c>
      <c r="G5" s="15" t="s">
        <v>112</v>
      </c>
      <c r="H5" s="121">
        <f>$E5*$D5</f>
        <v>1332</v>
      </c>
    </row>
    <row r="6" spans="1:8">
      <c r="A6" s="155">
        <v>180</v>
      </c>
      <c r="B6" s="154">
        <v>0.8</v>
      </c>
      <c r="C6" s="54">
        <f t="shared" si="0"/>
        <v>144</v>
      </c>
      <c r="D6" s="54">
        <f t="shared" si="1"/>
        <v>324</v>
      </c>
      <c r="E6" s="24">
        <v>5</v>
      </c>
      <c r="F6" s="153">
        <f t="shared" si="2"/>
        <v>1620</v>
      </c>
      <c r="G6" s="54">
        <v>100</v>
      </c>
      <c r="H6" s="54">
        <f t="shared" ref="H6:H11" si="3">$F6+$G6</f>
        <v>1720</v>
      </c>
    </row>
    <row r="7" spans="1:8">
      <c r="A7" s="152">
        <v>180</v>
      </c>
      <c r="B7" s="151">
        <v>0.75</v>
      </c>
      <c r="C7" s="15">
        <f t="shared" si="0"/>
        <v>135</v>
      </c>
      <c r="D7" s="15">
        <f t="shared" si="1"/>
        <v>315</v>
      </c>
      <c r="E7" s="11">
        <v>6</v>
      </c>
      <c r="F7" s="121">
        <f t="shared" si="2"/>
        <v>1890</v>
      </c>
      <c r="G7" s="15">
        <v>100</v>
      </c>
      <c r="H7" s="15">
        <f t="shared" si="3"/>
        <v>1990</v>
      </c>
    </row>
    <row r="8" spans="1:8">
      <c r="A8" s="152">
        <v>180</v>
      </c>
      <c r="B8" s="151">
        <v>0.7</v>
      </c>
      <c r="C8" s="15">
        <f t="shared" si="0"/>
        <v>125.99999999999999</v>
      </c>
      <c r="D8" s="15">
        <f t="shared" si="1"/>
        <v>306</v>
      </c>
      <c r="E8" s="11">
        <v>7</v>
      </c>
      <c r="F8" s="121">
        <f t="shared" si="2"/>
        <v>2142</v>
      </c>
      <c r="G8" s="15">
        <v>100</v>
      </c>
      <c r="H8" s="15">
        <f t="shared" si="3"/>
        <v>2242</v>
      </c>
    </row>
    <row r="9" spans="1:8">
      <c r="A9" s="152">
        <v>180</v>
      </c>
      <c r="B9" s="151">
        <v>0.65</v>
      </c>
      <c r="C9" s="15">
        <f t="shared" si="0"/>
        <v>117</v>
      </c>
      <c r="D9" s="15">
        <f t="shared" si="1"/>
        <v>297</v>
      </c>
      <c r="E9" s="11">
        <v>8</v>
      </c>
      <c r="F9" s="121">
        <f t="shared" si="2"/>
        <v>2376</v>
      </c>
      <c r="G9" s="15">
        <v>100</v>
      </c>
      <c r="H9" s="15">
        <f t="shared" si="3"/>
        <v>2476</v>
      </c>
    </row>
    <row r="10" spans="1:8">
      <c r="A10" s="152">
        <v>180</v>
      </c>
      <c r="B10" s="151">
        <v>0.6</v>
      </c>
      <c r="C10" s="15">
        <f t="shared" si="0"/>
        <v>108</v>
      </c>
      <c r="D10" s="15">
        <f t="shared" si="1"/>
        <v>288</v>
      </c>
      <c r="E10" s="11">
        <v>9</v>
      </c>
      <c r="F10" s="121">
        <f t="shared" si="2"/>
        <v>2592</v>
      </c>
      <c r="G10" s="15">
        <v>100</v>
      </c>
      <c r="H10" s="15">
        <f t="shared" si="3"/>
        <v>2692</v>
      </c>
    </row>
    <row r="11" spans="1:8" ht="15.75" thickBot="1">
      <c r="A11" s="150">
        <v>180</v>
      </c>
      <c r="B11" s="149">
        <v>0.55000000000000004</v>
      </c>
      <c r="C11" s="146">
        <f t="shared" si="0"/>
        <v>99.000000000000014</v>
      </c>
      <c r="D11" s="146">
        <f t="shared" si="1"/>
        <v>279</v>
      </c>
      <c r="E11" s="148">
        <v>10</v>
      </c>
      <c r="F11" s="147">
        <f t="shared" si="2"/>
        <v>2790</v>
      </c>
      <c r="G11" s="146">
        <v>100</v>
      </c>
      <c r="H11" s="146">
        <f t="shared" si="3"/>
        <v>2890</v>
      </c>
    </row>
    <row r="13" spans="1:8" ht="15.75" thickBot="1"/>
    <row r="14" spans="1:8" ht="15.75">
      <c r="A14" s="172" t="s">
        <v>118</v>
      </c>
      <c r="B14" s="173"/>
      <c r="C14" s="174"/>
    </row>
    <row r="15" spans="1:8" ht="16.5" thickBot="1">
      <c r="A15" s="145" t="s">
        <v>116</v>
      </c>
      <c r="B15" s="145" t="s">
        <v>114</v>
      </c>
      <c r="C15" s="145" t="s">
        <v>13</v>
      </c>
    </row>
    <row r="16" spans="1:8">
      <c r="A16" s="3">
        <v>1</v>
      </c>
      <c r="B16" s="144">
        <v>10</v>
      </c>
      <c r="C16" s="143">
        <f>F11</f>
        <v>2790</v>
      </c>
    </row>
    <row r="17" spans="1:3">
      <c r="A17" s="5">
        <v>2</v>
      </c>
      <c r="B17" s="142">
        <v>5</v>
      </c>
      <c r="C17" s="141">
        <f>F6*A17</f>
        <v>3240</v>
      </c>
    </row>
    <row r="18" spans="1:3">
      <c r="A18" s="5">
        <v>20</v>
      </c>
      <c r="B18" s="142">
        <v>1</v>
      </c>
      <c r="C18" s="141">
        <f>F2*A18</f>
        <v>7200</v>
      </c>
    </row>
    <row r="19" spans="1:3" ht="15.75" thickBot="1">
      <c r="A19" s="140">
        <f>SUM(A16:A18)</f>
        <v>23</v>
      </c>
      <c r="B19" s="139">
        <v>40</v>
      </c>
      <c r="C19" s="138">
        <f>SUM(C16:C18)</f>
        <v>13230</v>
      </c>
    </row>
    <row r="20" spans="1:3" ht="15.75" thickBot="1"/>
    <row r="21" spans="1:3" ht="15.75">
      <c r="A21" s="172" t="s">
        <v>117</v>
      </c>
      <c r="B21" s="173"/>
      <c r="C21" s="174"/>
    </row>
    <row r="22" spans="1:3" ht="16.5" thickBot="1">
      <c r="A22" s="145" t="s">
        <v>116</v>
      </c>
      <c r="B22" s="145" t="s">
        <v>114</v>
      </c>
      <c r="C22" s="145" t="s">
        <v>13</v>
      </c>
    </row>
    <row r="23" spans="1:3">
      <c r="A23" s="3">
        <v>2</v>
      </c>
      <c r="B23" s="144">
        <v>10</v>
      </c>
      <c r="C23" s="143">
        <f>A23*F11</f>
        <v>5580</v>
      </c>
    </row>
    <row r="24" spans="1:3">
      <c r="A24" s="5">
        <v>3</v>
      </c>
      <c r="B24" s="142">
        <v>5</v>
      </c>
      <c r="C24" s="141">
        <f>A24*F6</f>
        <v>4860</v>
      </c>
    </row>
    <row r="25" spans="1:3">
      <c r="A25" s="5">
        <v>5</v>
      </c>
      <c r="B25" s="142">
        <v>1</v>
      </c>
      <c r="C25" s="141">
        <f>A25*F2</f>
        <v>1800</v>
      </c>
    </row>
    <row r="26" spans="1:3" ht="15.75" thickBot="1">
      <c r="A26" s="140">
        <f>SUM(A23:A25)</f>
        <v>10</v>
      </c>
      <c r="B26" s="139">
        <v>40</v>
      </c>
      <c r="C26" s="138">
        <f>SUM(C23:C25)</f>
        <v>12240</v>
      </c>
    </row>
  </sheetData>
  <mergeCells count="2">
    <mergeCell ref="A14:C14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8va</vt:lpstr>
      <vt:lpstr>Visitas</vt:lpstr>
      <vt:lpstr>BD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Maciel</dc:creator>
  <cp:lastModifiedBy>Luis Angel Maciel</cp:lastModifiedBy>
  <dcterms:created xsi:type="dcterms:W3CDTF">2019-10-06T06:32:38Z</dcterms:created>
  <dcterms:modified xsi:type="dcterms:W3CDTF">2020-03-11T03:44:40Z</dcterms:modified>
</cp:coreProperties>
</file>