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080" windowHeight="7095" firstSheet="20" activeTab="27"/>
  </bookViews>
  <sheets>
    <sheet name="16SepGen" sheetId="7" r:id="rId1"/>
    <sheet name="16Sep1" sheetId="2" r:id="rId2"/>
    <sheet name="16Sep2" sheetId="5" r:id="rId3"/>
    <sheet name="18Nov" sheetId="12" r:id="rId4"/>
    <sheet name="9Dic" sheetId="16" r:id="rId5"/>
    <sheet name="Veracruz " sheetId="26" r:id="rId6"/>
    <sheet name="Febrero" sheetId="23" r:id="rId7"/>
    <sheet name="Marzo" sheetId="29" r:id="rId8"/>
    <sheet name="Abril " sheetId="37" r:id="rId9"/>
    <sheet name="Mayo" sheetId="30" r:id="rId10"/>
    <sheet name="Jun" sheetId="34" r:id="rId11"/>
    <sheet name="21jul" sheetId="47" r:id="rId12"/>
    <sheet name="Vallarta Julio " sheetId="31" r:id="rId13"/>
    <sheet name="Ago" sheetId="46" r:id="rId14"/>
    <sheet name="Tolantngo" sheetId="40" r:id="rId15"/>
    <sheet name="Hoja12" sheetId="57" r:id="rId16"/>
    <sheet name="Acapulco Julio" sheetId="20" r:id="rId17"/>
    <sheet name="Hoja10" sheetId="55" r:id="rId18"/>
    <sheet name="aca julio habita" sheetId="52" r:id="rId19"/>
    <sheet name="AcaAbril2019" sheetId="36" r:id="rId20"/>
    <sheet name="SEp" sheetId="49" r:id="rId21"/>
    <sheet name="Acapulco Sep" sheetId="35" r:id="rId22"/>
    <sheet name="LISTAHOTEL" sheetId="60" r:id="rId23"/>
    <sheet name="Tola" sheetId="58" r:id="rId24"/>
    <sheet name="Nov" sheetId="59" r:id="rId25"/>
    <sheet name="ZIPOLITE" sheetId="43" r:id="rId26"/>
    <sheet name="Hoja5" sheetId="61" r:id="rId27"/>
    <sheet name="Diciembre" sheetId="62" r:id="rId28"/>
    <sheet name="Hoja6" sheetId="21" r:id="rId29"/>
    <sheet name="ClubHyJ" sheetId="24" r:id="rId30"/>
    <sheet name="Hoja8" sheetId="42" r:id="rId31"/>
    <sheet name="Hoja3" sheetId="33" r:id="rId32"/>
    <sheet name="Hoja7" sheetId="41" r:id="rId33"/>
  </sheets>
  <definedNames>
    <definedName name="Años_préstamo">#REF!</definedName>
    <definedName name="Capital">#REF!</definedName>
    <definedName name="Datos">#REF!</definedName>
    <definedName name="Día_de_pago">DATE(YEAR(Inicio_prestamo),MONTH(Inicio_prestamo)+Payment_Number,DAY(Inicio_prestamo))</definedName>
    <definedName name="Fecha_de_pago">#REF!</definedName>
    <definedName name="Fila_de_encabezado">ROW(#REF!)</definedName>
    <definedName name="Importe_del_préstamo">#REF!</definedName>
    <definedName name="Impresión_completa">#REF!</definedName>
    <definedName name="Inicio_prestamo">#REF!</definedName>
    <definedName name="Int">#REF!</definedName>
    <definedName name="Int_acum">#REF!</definedName>
    <definedName name="Interés_total">#REF!</definedName>
    <definedName name="Núm_de_pago">#REF!</definedName>
    <definedName name="Núm_pagos_al_año">#REF!</definedName>
    <definedName name="Número_de_pagos">MATCH(0.01,Saldo_final,-1)+1</definedName>
    <definedName name="Pago_adicional">#REF!</definedName>
    <definedName name="Pago_mensual_programado">#REF!</definedName>
    <definedName name="Pago_progr">#REF!</definedName>
    <definedName name="Pago_total">#REF!</definedName>
    <definedName name="Pagos_adicionales_programados">#REF!</definedName>
    <definedName name="Restablecer_área_de_impresión">OFFSET(Impresión_completa,0,0,Última_fila)</definedName>
    <definedName name="Saldo_final">#REF!</definedName>
    <definedName name="Saldo_inicial">#REF!</definedName>
    <definedName name="Tasa_de_interés">#REF!</definedName>
    <definedName name="Tasa_de_interés_programada">#REF!</definedName>
    <definedName name="Última_fila">IF(Valores_especificados,Fila_de_encabezado+Número_de_pagos,Fila_de_encabezado)</definedName>
    <definedName name="Valores_especificados">IF(Importe_del_préstamo*Tasa_de_interés*Años_préstamo*Inicio_prestamo&gt;0,1,0)</definedName>
  </definedNames>
  <calcPr calcId="125725"/>
</workbook>
</file>

<file path=xl/calcChain.xml><?xml version="1.0" encoding="utf-8"?>
<calcChain xmlns="http://schemas.openxmlformats.org/spreadsheetml/2006/main">
  <c r="H24" i="43"/>
  <c r="F23"/>
  <c r="I18"/>
  <c r="I17"/>
  <c r="F20"/>
  <c r="F21" s="1"/>
  <c r="B8"/>
  <c r="I16" s="1"/>
  <c r="C48" i="62"/>
  <c r="C50" s="1"/>
  <c r="C30"/>
  <c r="C42" s="1"/>
  <c r="B43" s="1"/>
  <c r="D49"/>
  <c r="B49"/>
  <c r="B48"/>
  <c r="D47"/>
  <c r="D46"/>
  <c r="B42"/>
  <c r="B35"/>
  <c r="B8"/>
  <c r="C8" s="1"/>
  <c r="C34"/>
  <c r="C33"/>
  <c r="C32"/>
  <c r="C29"/>
  <c r="B26"/>
  <c r="C25"/>
  <c r="C20"/>
  <c r="C18"/>
  <c r="C17"/>
  <c r="C7"/>
  <c r="B7"/>
  <c r="C12"/>
  <c r="B3" i="43"/>
  <c r="C3" s="1"/>
  <c r="J13" i="62"/>
  <c r="K13" s="1"/>
  <c r="B10"/>
  <c r="C10" s="1"/>
  <c r="H12"/>
  <c r="B6" i="43"/>
  <c r="C6" i="62"/>
  <c r="D44" i="59"/>
  <c r="D36"/>
  <c r="C36"/>
  <c r="D32"/>
  <c r="D31"/>
  <c r="D30"/>
  <c r="D10"/>
  <c r="D27"/>
  <c r="C48"/>
  <c r="D54"/>
  <c r="C53"/>
  <c r="E53" s="1"/>
  <c r="C52"/>
  <c r="E52" s="1"/>
  <c r="E51"/>
  <c r="E50"/>
  <c r="F50" s="1"/>
  <c r="D24"/>
  <c r="D18"/>
  <c r="D17"/>
  <c r="I18" i="58"/>
  <c r="H18"/>
  <c r="G17"/>
  <c r="B3"/>
  <c r="B17" s="1"/>
  <c r="C4"/>
  <c r="L22"/>
  <c r="N26"/>
  <c r="B20"/>
  <c r="C5"/>
  <c r="J25"/>
  <c r="H33"/>
  <c r="J21"/>
  <c r="J22"/>
  <c r="D13" i="59"/>
  <c r="D12"/>
  <c r="D11"/>
  <c r="D7"/>
  <c r="B4" i="58"/>
  <c r="J24"/>
  <c r="J23"/>
  <c r="H22"/>
  <c r="D5" i="59"/>
  <c r="C31" i="35"/>
  <c r="C29"/>
  <c r="C28"/>
  <c r="D28" s="1"/>
  <c r="C51"/>
  <c r="A14"/>
  <c r="I5" s="1"/>
  <c r="D31"/>
  <c r="D30"/>
  <c r="C30"/>
  <c r="C46"/>
  <c r="D46" s="1"/>
  <c r="D39"/>
  <c r="C39"/>
  <c r="C43"/>
  <c r="D43" s="1"/>
  <c r="C41"/>
  <c r="C50"/>
  <c r="D50" s="1"/>
  <c r="D25"/>
  <c r="C35"/>
  <c r="D35" s="1"/>
  <c r="C34"/>
  <c r="D34" s="1"/>
  <c r="C55"/>
  <c r="D55" s="1"/>
  <c r="C52"/>
  <c r="D52" s="1"/>
  <c r="C47"/>
  <c r="D47" s="1"/>
  <c r="E60" i="43"/>
  <c r="E61" s="1"/>
  <c r="E62" s="1"/>
  <c r="D58" i="49"/>
  <c r="C43"/>
  <c r="C42" i="35"/>
  <c r="D42" s="1"/>
  <c r="C54"/>
  <c r="D54" s="1"/>
  <c r="D21" i="49"/>
  <c r="C48" i="35"/>
  <c r="D36" i="49"/>
  <c r="D34"/>
  <c r="C29"/>
  <c r="D29" s="1"/>
  <c r="C33" i="35"/>
  <c r="D33" s="1"/>
  <c r="C27"/>
  <c r="D27" s="1"/>
  <c r="D64" i="49"/>
  <c r="C63"/>
  <c r="E63" s="1"/>
  <c r="C62"/>
  <c r="E62" s="1"/>
  <c r="E61"/>
  <c r="E60"/>
  <c r="D26"/>
  <c r="D26" i="35"/>
  <c r="C26"/>
  <c r="C49"/>
  <c r="D49" s="1"/>
  <c r="D61"/>
  <c r="C61"/>
  <c r="D48"/>
  <c r="D29"/>
  <c r="D45"/>
  <c r="C45"/>
  <c r="D58"/>
  <c r="C58"/>
  <c r="C53"/>
  <c r="D53" s="1"/>
  <c r="D56"/>
  <c r="C56"/>
  <c r="C32"/>
  <c r="D32" s="1"/>
  <c r="D6" i="49"/>
  <c r="D5"/>
  <c r="D53" i="46"/>
  <c r="D37"/>
  <c r="D17"/>
  <c r="C16"/>
  <c r="D16" s="1"/>
  <c r="J35"/>
  <c r="C15"/>
  <c r="D15" s="1"/>
  <c r="C14"/>
  <c r="D14" s="1"/>
  <c r="C13"/>
  <c r="D13" s="1"/>
  <c r="C12"/>
  <c r="D12" s="1"/>
  <c r="C6" i="40"/>
  <c r="D10"/>
  <c r="D9"/>
  <c r="C3" i="35"/>
  <c r="D8" i="40"/>
  <c r="D7"/>
  <c r="E50" i="46"/>
  <c r="C52"/>
  <c r="E52" s="1"/>
  <c r="C51"/>
  <c r="E51" s="1"/>
  <c r="E49"/>
  <c r="C30" i="57"/>
  <c r="D15"/>
  <c r="D14"/>
  <c r="D5"/>
  <c r="D4"/>
  <c r="D3"/>
  <c r="D2"/>
  <c r="C28"/>
  <c r="C4" i="35"/>
  <c r="C11" s="1"/>
  <c r="C67" s="1"/>
  <c r="D60"/>
  <c r="D2"/>
  <c r="C49" i="47"/>
  <c r="C43"/>
  <c r="D43" s="1"/>
  <c r="D44"/>
  <c r="D37"/>
  <c r="D35"/>
  <c r="C35"/>
  <c r="D34"/>
  <c r="D33"/>
  <c r="D32"/>
  <c r="D31"/>
  <c r="D30"/>
  <c r="D29"/>
  <c r="D28"/>
  <c r="C26"/>
  <c r="D26" s="1"/>
  <c r="D25"/>
  <c r="D9"/>
  <c r="D53"/>
  <c r="C6"/>
  <c r="C18" i="40"/>
  <c r="D18" i="47"/>
  <c r="C13" i="52"/>
  <c r="D32" i="20"/>
  <c r="K5" i="52"/>
  <c r="K4"/>
  <c r="H42"/>
  <c r="H43" s="1"/>
  <c r="H41"/>
  <c r="C15"/>
  <c r="D15" s="1"/>
  <c r="C14"/>
  <c r="D14" s="1"/>
  <c r="H64" i="47"/>
  <c r="D22"/>
  <c r="D41" i="52"/>
  <c r="D40"/>
  <c r="C39"/>
  <c r="D39" s="1"/>
  <c r="F38"/>
  <c r="C38"/>
  <c r="D38" s="1"/>
  <c r="C33"/>
  <c r="D33" s="1"/>
  <c r="J3"/>
  <c r="J2"/>
  <c r="K2" s="1"/>
  <c r="C32"/>
  <c r="D30"/>
  <c r="C30"/>
  <c r="H32"/>
  <c r="I32" s="1"/>
  <c r="I30"/>
  <c r="I31"/>
  <c r="C28"/>
  <c r="D28" s="1"/>
  <c r="C20" i="31"/>
  <c r="D19" i="47"/>
  <c r="D22" i="31"/>
  <c r="C17" i="52"/>
  <c r="D17" s="1"/>
  <c r="D4"/>
  <c r="C4"/>
  <c r="C27"/>
  <c r="D27" s="1"/>
  <c r="D17" i="47"/>
  <c r="C26" i="52"/>
  <c r="D26" s="1"/>
  <c r="C52" i="43"/>
  <c r="C51"/>
  <c r="C53"/>
  <c r="C16" i="52"/>
  <c r="D16" s="1"/>
  <c r="D43"/>
  <c r="D42"/>
  <c r="C11"/>
  <c r="D11" s="1"/>
  <c r="C12"/>
  <c r="D12" s="1"/>
  <c r="D55" i="20"/>
  <c r="C54"/>
  <c r="D54" s="1"/>
  <c r="C10" i="52"/>
  <c r="D10" s="1"/>
  <c r="C29" i="20"/>
  <c r="D29" s="1"/>
  <c r="C28"/>
  <c r="C7" i="52"/>
  <c r="D7" s="1"/>
  <c r="C6"/>
  <c r="D6" s="1"/>
  <c r="C3"/>
  <c r="D3" s="1"/>
  <c r="C44" i="20"/>
  <c r="D44" s="1"/>
  <c r="C2" i="49"/>
  <c r="C25" i="52"/>
  <c r="D25" s="1"/>
  <c r="C24"/>
  <c r="D24" s="1"/>
  <c r="C23"/>
  <c r="D23" s="1"/>
  <c r="C22"/>
  <c r="D22" s="1"/>
  <c r="D21" i="31"/>
  <c r="C15"/>
  <c r="D15" s="1"/>
  <c r="C13"/>
  <c r="D13" s="1"/>
  <c r="A14" i="20"/>
  <c r="D26"/>
  <c r="D25"/>
  <c r="C41"/>
  <c r="D41" s="1"/>
  <c r="C40"/>
  <c r="D40" s="1"/>
  <c r="C49"/>
  <c r="D49" s="1"/>
  <c r="C48"/>
  <c r="D48" s="1"/>
  <c r="C51"/>
  <c r="D13" i="47"/>
  <c r="C54"/>
  <c r="E54" s="1"/>
  <c r="C53"/>
  <c r="E51"/>
  <c r="E24" i="40"/>
  <c r="D36" i="20"/>
  <c r="D6" i="47"/>
  <c r="D2"/>
  <c r="D49" s="1"/>
  <c r="C45" i="20"/>
  <c r="D45" s="1"/>
  <c r="C31"/>
  <c r="B46" i="34"/>
  <c r="C5"/>
  <c r="C46" s="1"/>
  <c r="B47" s="1"/>
  <c r="C10"/>
  <c r="C11"/>
  <c r="C14"/>
  <c r="C15"/>
  <c r="C21"/>
  <c r="C23"/>
  <c r="B50"/>
  <c r="D50" s="1"/>
  <c r="D52" s="1"/>
  <c r="B51"/>
  <c r="D51"/>
  <c r="D48"/>
  <c r="J18" i="40"/>
  <c r="J19" s="1"/>
  <c r="L27" s="1"/>
  <c r="K18"/>
  <c r="L22"/>
  <c r="M22" s="1"/>
  <c r="J23"/>
  <c r="L23" s="1"/>
  <c r="L25" s="1"/>
  <c r="L24"/>
  <c r="E22"/>
  <c r="C23"/>
  <c r="E23"/>
  <c r="E25" s="1"/>
  <c r="D31" i="20"/>
  <c r="C50"/>
  <c r="D50" s="1"/>
  <c r="D33"/>
  <c r="C14" i="31"/>
  <c r="D14" s="1"/>
  <c r="C39" i="20"/>
  <c r="D39"/>
  <c r="C52" i="34"/>
  <c r="C23" i="33"/>
  <c r="C24" s="1"/>
  <c r="C20"/>
  <c r="E20" s="1"/>
  <c r="E22" s="1"/>
  <c r="E23" s="1"/>
  <c r="D13"/>
  <c r="D12"/>
  <c r="D11"/>
  <c r="C10"/>
  <c r="D10" s="1"/>
  <c r="D9"/>
  <c r="D8"/>
  <c r="D7"/>
  <c r="D4"/>
  <c r="D16" s="1"/>
  <c r="C4"/>
  <c r="C3"/>
  <c r="C2"/>
  <c r="C16" s="1"/>
  <c r="C22" i="42"/>
  <c r="C26" s="1"/>
  <c r="C28" s="1"/>
  <c r="C29" s="1"/>
  <c r="C20"/>
  <c r="H18"/>
  <c r="D9"/>
  <c r="C8"/>
  <c r="C16" s="1"/>
  <c r="D7"/>
  <c r="D5"/>
  <c r="D4"/>
  <c r="D57" i="24"/>
  <c r="I56"/>
  <c r="E56"/>
  <c r="C56"/>
  <c r="I55"/>
  <c r="I57" s="1"/>
  <c r="C54" s="1"/>
  <c r="E54" s="1"/>
  <c r="C55"/>
  <c r="E55" s="1"/>
  <c r="I54"/>
  <c r="E53"/>
  <c r="D50"/>
  <c r="C50"/>
  <c r="C51" s="1"/>
  <c r="C51" i="21"/>
  <c r="D47"/>
  <c r="C47"/>
  <c r="C48" s="1"/>
  <c r="C53" s="1"/>
  <c r="D54" s="1"/>
  <c r="A10"/>
  <c r="C7"/>
  <c r="C50" s="1"/>
  <c r="D6"/>
  <c r="E6" s="1"/>
  <c r="D5"/>
  <c r="E5" s="1"/>
  <c r="C5"/>
  <c r="E4"/>
  <c r="D4"/>
  <c r="E3"/>
  <c r="D3"/>
  <c r="E2"/>
  <c r="D2"/>
  <c r="C5" i="31"/>
  <c r="D5" s="1"/>
  <c r="C4"/>
  <c r="D4" s="1"/>
  <c r="C3"/>
  <c r="D3" s="1"/>
  <c r="C2"/>
  <c r="C62" i="20"/>
  <c r="D62" s="1"/>
  <c r="C61"/>
  <c r="D61" s="1"/>
  <c r="C60"/>
  <c r="D60" s="1"/>
  <c r="C59"/>
  <c r="D59" s="1"/>
  <c r="D58"/>
  <c r="D53"/>
  <c r="D52"/>
  <c r="D51"/>
  <c r="F49"/>
  <c r="F48"/>
  <c r="F64" s="1"/>
  <c r="D47"/>
  <c r="D46"/>
  <c r="C43"/>
  <c r="D43" s="1"/>
  <c r="C42"/>
  <c r="D42" s="1"/>
  <c r="C35"/>
  <c r="D35" s="1"/>
  <c r="C34"/>
  <c r="D34" s="1"/>
  <c r="C32"/>
  <c r="D28"/>
  <c r="D27"/>
  <c r="D24"/>
  <c r="D23"/>
  <c r="C23"/>
  <c r="D22"/>
  <c r="C22"/>
  <c r="D21"/>
  <c r="C21"/>
  <c r="D10"/>
  <c r="E10" s="1"/>
  <c r="G61" s="1"/>
  <c r="C10"/>
  <c r="E9"/>
  <c r="G58" s="1"/>
  <c r="D9"/>
  <c r="C8"/>
  <c r="D8" s="1"/>
  <c r="E8" s="1"/>
  <c r="G54" s="1"/>
  <c r="E7"/>
  <c r="G52" s="1"/>
  <c r="D7"/>
  <c r="E6"/>
  <c r="G48" s="1"/>
  <c r="D6"/>
  <c r="C5"/>
  <c r="D5" s="1"/>
  <c r="E5" s="1"/>
  <c r="G44" s="1"/>
  <c r="E4"/>
  <c r="G35" s="1"/>
  <c r="D4"/>
  <c r="D3"/>
  <c r="E3" s="1"/>
  <c r="F2"/>
  <c r="G2" s="1"/>
  <c r="E2"/>
  <c r="G26" s="1"/>
  <c r="D2"/>
  <c r="A79" i="35"/>
  <c r="G64"/>
  <c r="D24"/>
  <c r="D13"/>
  <c r="D14" s="1"/>
  <c r="J11"/>
  <c r="D7"/>
  <c r="G11" s="1"/>
  <c r="I4"/>
  <c r="E94" i="36"/>
  <c r="E92"/>
  <c r="E93" s="1"/>
  <c r="I91"/>
  <c r="G90"/>
  <c r="E89"/>
  <c r="E90" s="1"/>
  <c r="E91" s="1"/>
  <c r="E85"/>
  <c r="H81"/>
  <c r="G85" s="1"/>
  <c r="A78"/>
  <c r="I65"/>
  <c r="H63"/>
  <c r="G63"/>
  <c r="D63"/>
  <c r="C63"/>
  <c r="C64" s="1"/>
  <c r="C69" s="1"/>
  <c r="I62"/>
  <c r="I64" s="1"/>
  <c r="I66" s="1"/>
  <c r="J66" s="1"/>
  <c r="J67" s="1"/>
  <c r="J61"/>
  <c r="J59"/>
  <c r="J50"/>
  <c r="I24"/>
  <c r="J24" s="1"/>
  <c r="J23"/>
  <c r="I23"/>
  <c r="A14"/>
  <c r="J11"/>
  <c r="C11"/>
  <c r="C66" s="1"/>
  <c r="G6"/>
  <c r="E6"/>
  <c r="D6"/>
  <c r="I5"/>
  <c r="D5"/>
  <c r="E5" s="1"/>
  <c r="F5" s="1"/>
  <c r="G5" s="1"/>
  <c r="I4"/>
  <c r="E4"/>
  <c r="F4" s="1"/>
  <c r="G4" s="1"/>
  <c r="D4"/>
  <c r="E3"/>
  <c r="F3" s="1"/>
  <c r="G3" s="1"/>
  <c r="D3"/>
  <c r="E2"/>
  <c r="F2" s="1"/>
  <c r="G2" s="1"/>
  <c r="G11" s="1"/>
  <c r="D2"/>
  <c r="F62" i="30"/>
  <c r="C57"/>
  <c r="B56"/>
  <c r="D56" s="1"/>
  <c r="D57" s="1"/>
  <c r="D58" s="1"/>
  <c r="B55"/>
  <c r="D55" s="1"/>
  <c r="D53"/>
  <c r="B50"/>
  <c r="C26"/>
  <c r="C23"/>
  <c r="B21"/>
  <c r="C5"/>
  <c r="B5"/>
  <c r="C3"/>
  <c r="B3"/>
  <c r="C1"/>
  <c r="C50" s="1"/>
  <c r="B1"/>
  <c r="C55" i="37"/>
  <c r="D54"/>
  <c r="B54"/>
  <c r="D53"/>
  <c r="D55" s="1"/>
  <c r="D56" s="1"/>
  <c r="B53"/>
  <c r="D52"/>
  <c r="D51"/>
  <c r="B49"/>
  <c r="C37"/>
  <c r="C35"/>
  <c r="C34"/>
  <c r="C30"/>
  <c r="C29"/>
  <c r="C20"/>
  <c r="C10"/>
  <c r="C7"/>
  <c r="C6"/>
  <c r="C5"/>
  <c r="C4"/>
  <c r="C2"/>
  <c r="C49" s="1"/>
  <c r="B50" s="1"/>
  <c r="D57" s="1"/>
  <c r="C56" i="29"/>
  <c r="B55"/>
  <c r="D55" s="1"/>
  <c r="B54"/>
  <c r="D54" s="1"/>
  <c r="D53"/>
  <c r="D52"/>
  <c r="C48"/>
  <c r="B41"/>
  <c r="B40"/>
  <c r="B39"/>
  <c r="C39" s="1"/>
  <c r="C37"/>
  <c r="C32"/>
  <c r="B30"/>
  <c r="C30" s="1"/>
  <c r="C27"/>
  <c r="C23"/>
  <c r="C22"/>
  <c r="C21"/>
  <c r="C20"/>
  <c r="C19"/>
  <c r="C17"/>
  <c r="C16"/>
  <c r="C14"/>
  <c r="C10"/>
  <c r="B7"/>
  <c r="B50" s="1"/>
  <c r="C4"/>
  <c r="C2"/>
  <c r="C79" i="23"/>
  <c r="C80" s="1"/>
  <c r="C78"/>
  <c r="I75"/>
  <c r="D74"/>
  <c r="C74"/>
  <c r="C72"/>
  <c r="C65"/>
  <c r="C58"/>
  <c r="E58" s="1"/>
  <c r="D57"/>
  <c r="D59" s="1"/>
  <c r="C57"/>
  <c r="C56"/>
  <c r="E55"/>
  <c r="D46"/>
  <c r="D45"/>
  <c r="D44"/>
  <c r="D43"/>
  <c r="D42"/>
  <c r="D39"/>
  <c r="C37"/>
  <c r="I36"/>
  <c r="D35"/>
  <c r="C34"/>
  <c r="D32"/>
  <c r="D31"/>
  <c r="C29"/>
  <c r="D29" s="1"/>
  <c r="C26"/>
  <c r="D26" s="1"/>
  <c r="C23"/>
  <c r="D23" s="1"/>
  <c r="D20"/>
  <c r="D16"/>
  <c r="C16"/>
  <c r="D15"/>
  <c r="C15"/>
  <c r="D11"/>
  <c r="D9"/>
  <c r="D7"/>
  <c r="D3"/>
  <c r="C2"/>
  <c r="C52" s="1"/>
  <c r="D1"/>
  <c r="D52" s="1"/>
  <c r="L51" i="26"/>
  <c r="G34"/>
  <c r="C34"/>
  <c r="D34" s="1"/>
  <c r="G33"/>
  <c r="D33"/>
  <c r="C33"/>
  <c r="G32"/>
  <c r="C31"/>
  <c r="D31" s="1"/>
  <c r="C29"/>
  <c r="D29" s="1"/>
  <c r="C28"/>
  <c r="C36" s="1"/>
  <c r="D26"/>
  <c r="B26"/>
  <c r="I21"/>
  <c r="I20"/>
  <c r="F16"/>
  <c r="F15"/>
  <c r="F14"/>
  <c r="F13"/>
  <c r="J12"/>
  <c r="J8"/>
  <c r="D8"/>
  <c r="A8"/>
  <c r="A10" s="1"/>
  <c r="A12" s="1"/>
  <c r="A13" s="1"/>
  <c r="D7"/>
  <c r="D6"/>
  <c r="B3"/>
  <c r="B4" s="1"/>
  <c r="D52" i="16"/>
  <c r="C51"/>
  <c r="E51" s="1"/>
  <c r="C50"/>
  <c r="E50" s="1"/>
  <c r="C49"/>
  <c r="E49" s="1"/>
  <c r="E48"/>
  <c r="C45"/>
  <c r="D30"/>
  <c r="H16"/>
  <c r="C15"/>
  <c r="H14"/>
  <c r="D1"/>
  <c r="D45" s="1"/>
  <c r="C46" s="1"/>
  <c r="I68" i="12"/>
  <c r="I69" s="1"/>
  <c r="I70" s="1"/>
  <c r="C68"/>
  <c r="I67"/>
  <c r="C67"/>
  <c r="H66"/>
  <c r="H68" s="1"/>
  <c r="H65"/>
  <c r="H64"/>
  <c r="B63"/>
  <c r="H61"/>
  <c r="C59"/>
  <c r="C61" s="1"/>
  <c r="C65" s="1"/>
  <c r="J57"/>
  <c r="J56"/>
  <c r="K54"/>
  <c r="C52"/>
  <c r="E52" s="1"/>
  <c r="D51"/>
  <c r="D53" s="1"/>
  <c r="C51"/>
  <c r="E50"/>
  <c r="L47"/>
  <c r="D47"/>
  <c r="G45" s="1"/>
  <c r="N46"/>
  <c r="D46"/>
  <c r="N45"/>
  <c r="G43"/>
  <c r="G46" s="1"/>
  <c r="M42"/>
  <c r="L45" s="1"/>
  <c r="L42"/>
  <c r="N41"/>
  <c r="O56" s="1"/>
  <c r="L41"/>
  <c r="G38"/>
  <c r="G37"/>
  <c r="K35"/>
  <c r="L33"/>
  <c r="N32" s="1"/>
  <c r="H33"/>
  <c r="H34" s="1"/>
  <c r="H35" s="1"/>
  <c r="N31"/>
  <c r="L31"/>
  <c r="I31"/>
  <c r="M28"/>
  <c r="L28"/>
  <c r="I28"/>
  <c r="L27"/>
  <c r="N27" s="1"/>
  <c r="N35" s="1"/>
  <c r="I23"/>
  <c r="K22"/>
  <c r="C1"/>
  <c r="C47" s="1"/>
  <c r="C48" s="1"/>
  <c r="C68" i="5"/>
  <c r="D67"/>
  <c r="D68" s="1"/>
  <c r="D70" s="1"/>
  <c r="D66"/>
  <c r="C62"/>
  <c r="D21"/>
  <c r="C21"/>
  <c r="D14"/>
  <c r="D10"/>
  <c r="D4"/>
  <c r="D62" s="1"/>
  <c r="D71" s="1"/>
  <c r="C4"/>
  <c r="D54" i="2"/>
  <c r="D52"/>
  <c r="C51"/>
  <c r="D51" s="1"/>
  <c r="C41"/>
  <c r="C40"/>
  <c r="C39"/>
  <c r="D31"/>
  <c r="D30"/>
  <c r="C28"/>
  <c r="D28" s="1"/>
  <c r="D47" s="1"/>
  <c r="D24"/>
  <c r="D23"/>
  <c r="D19"/>
  <c r="D16"/>
  <c r="I15"/>
  <c r="D15"/>
  <c r="K14"/>
  <c r="K15" s="1"/>
  <c r="D14"/>
  <c r="K13"/>
  <c r="D92" i="7"/>
  <c r="C91"/>
  <c r="D90"/>
  <c r="D91" s="1"/>
  <c r="D93" s="1"/>
  <c r="D89"/>
  <c r="D88"/>
  <c r="C87"/>
  <c r="D56"/>
  <c r="C56"/>
  <c r="D49"/>
  <c r="D45"/>
  <c r="D39"/>
  <c r="C39"/>
  <c r="D25"/>
  <c r="D24"/>
  <c r="D22"/>
  <c r="C22"/>
  <c r="D18"/>
  <c r="D17"/>
  <c r="D14"/>
  <c r="D11"/>
  <c r="D10"/>
  <c r="D87" s="1"/>
  <c r="D94" s="1"/>
  <c r="D95" s="1"/>
  <c r="D9"/>
  <c r="D48" i="62" l="1"/>
  <c r="D50" s="1"/>
  <c r="D51" s="1"/>
  <c r="D52" s="1"/>
  <c r="D48" i="59"/>
  <c r="C49" s="1"/>
  <c r="E54"/>
  <c r="E55" s="1"/>
  <c r="C3" i="58"/>
  <c r="C17" s="1"/>
  <c r="B18" s="1"/>
  <c r="C21" s="1"/>
  <c r="C64" i="35"/>
  <c r="D51"/>
  <c r="D64" s="1"/>
  <c r="C58" i="49"/>
  <c r="E64"/>
  <c r="E65" s="1"/>
  <c r="D46" i="46"/>
  <c r="C46"/>
  <c r="E53"/>
  <c r="E54" s="1"/>
  <c r="F24" i="40"/>
  <c r="C25" i="57"/>
  <c r="D13"/>
  <c r="D25" s="1"/>
  <c r="E53" i="47"/>
  <c r="E55" s="1"/>
  <c r="E56" s="1"/>
  <c r="B46" i="43"/>
  <c r="B51" i="30"/>
  <c r="D59" s="1"/>
  <c r="D36" i="26"/>
  <c r="C17" i="33"/>
  <c r="C25" s="1"/>
  <c r="D53" i="34"/>
  <c r="G41" i="20"/>
  <c r="F3"/>
  <c r="G3" s="1"/>
  <c r="G11" s="1"/>
  <c r="E54" i="16"/>
  <c r="D53" i="2"/>
  <c r="D55" s="1"/>
  <c r="E53" i="12"/>
  <c r="C37" i="26"/>
  <c r="E59" i="24"/>
  <c r="D72" i="5"/>
  <c r="G47" i="12"/>
  <c r="G49" s="1"/>
  <c r="G52" s="1"/>
  <c r="E52" i="16"/>
  <c r="E53" s="1"/>
  <c r="C53" i="23"/>
  <c r="D56" i="29"/>
  <c r="D57" s="1"/>
  <c r="G91" i="36"/>
  <c r="E57" i="24"/>
  <c r="E58" s="1"/>
  <c r="D54" i="34"/>
  <c r="C46" i="43"/>
  <c r="O58" i="12"/>
  <c r="C11" i="20"/>
  <c r="C67" s="1"/>
  <c r="E67" s="1"/>
  <c r="C47" i="2"/>
  <c r="D56" s="1"/>
  <c r="D57" s="1"/>
  <c r="D58" s="1"/>
  <c r="O55" i="12"/>
  <c r="O57"/>
  <c r="O59"/>
  <c r="O61"/>
  <c r="E57" i="23"/>
  <c r="E59" s="1"/>
  <c r="E60" s="1"/>
  <c r="F4" i="20"/>
  <c r="G4" s="1"/>
  <c r="F7"/>
  <c r="G7" s="1"/>
  <c r="D8" i="42"/>
  <c r="D16" s="1"/>
  <c r="C17" s="1"/>
  <c r="C25" s="1"/>
  <c r="C23"/>
  <c r="C24" s="1"/>
  <c r="D18" i="40"/>
  <c r="O60" i="12"/>
  <c r="I45"/>
  <c r="E51"/>
  <c r="O54"/>
  <c r="I66"/>
  <c r="C7" i="29"/>
  <c r="C50" s="1"/>
  <c r="B51" s="1"/>
  <c r="D58" s="1"/>
  <c r="C6" i="31"/>
  <c r="C30" s="1"/>
  <c r="C54" i="43"/>
  <c r="D44" i="52"/>
  <c r="C44"/>
  <c r="F6" i="20"/>
  <c r="G6" s="1"/>
  <c r="F8"/>
  <c r="G8" s="1"/>
  <c r="F9"/>
  <c r="G9" s="1"/>
  <c r="G20"/>
  <c r="G25"/>
  <c r="G40"/>
  <c r="G42"/>
  <c r="G62"/>
  <c r="G21"/>
  <c r="G24"/>
  <c r="G27"/>
  <c r="G28"/>
  <c r="G31"/>
  <c r="G33"/>
  <c r="G39"/>
  <c r="G43"/>
  <c r="G59"/>
  <c r="G22"/>
  <c r="G29"/>
  <c r="G32"/>
  <c r="G34"/>
  <c r="G38"/>
  <c r="G55"/>
  <c r="G60"/>
  <c r="F5"/>
  <c r="G5" s="1"/>
  <c r="F10"/>
  <c r="G10" s="1"/>
  <c r="G23"/>
  <c r="D64"/>
  <c r="C64"/>
  <c r="C27" i="31"/>
  <c r="D2"/>
  <c r="D27"/>
  <c r="E56" i="59" l="1"/>
  <c r="J26" i="58"/>
  <c r="C65" i="35"/>
  <c r="C70" s="1"/>
  <c r="C59" i="49"/>
  <c r="E66" s="1"/>
  <c r="C47" i="46"/>
  <c r="E55" s="1"/>
  <c r="F25" i="40"/>
  <c r="C26" i="57"/>
  <c r="C31" s="1"/>
  <c r="B47" i="43"/>
  <c r="C19" i="40"/>
  <c r="E27" s="1"/>
  <c r="E61" i="23"/>
  <c r="B59" i="12"/>
  <c r="E54"/>
  <c r="E55" s="1"/>
  <c r="G50" s="1"/>
  <c r="C48" i="2"/>
  <c r="D73" i="5"/>
  <c r="C45" i="52"/>
  <c r="C50" s="1"/>
  <c r="G64" i="20"/>
  <c r="C65"/>
  <c r="C70" s="1"/>
  <c r="C50" i="47"/>
  <c r="E57" s="1"/>
  <c r="C28" i="31"/>
  <c r="C33" s="1"/>
</calcChain>
</file>

<file path=xl/comments1.xml><?xml version="1.0" encoding="utf-8"?>
<comments xmlns="http://schemas.openxmlformats.org/spreadsheetml/2006/main">
  <authors>
    <author>Microsoft</author>
  </authors>
  <commentList>
    <comment ref="B92" authorId="0">
      <text>
        <r>
          <rPr>
            <b/>
            <sz val="9"/>
            <color indexed="81"/>
            <rFont val="Tahoma"/>
            <family val="2"/>
          </rPr>
          <t>Luis</t>
        </r>
        <r>
          <rPr>
            <sz val="9"/>
            <color indexed="81"/>
            <rFont val="Tahoma"/>
            <family val="2"/>
          </rPr>
          <t xml:space="preserve">
Metro, taxi, botellas,
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B54" authorId="0">
      <text>
        <r>
          <rPr>
            <b/>
            <sz val="9"/>
            <color indexed="81"/>
            <rFont val="Tahoma"/>
            <family val="2"/>
          </rPr>
          <t>Luis</t>
        </r>
        <r>
          <rPr>
            <sz val="9"/>
            <color indexed="81"/>
            <rFont val="Tahoma"/>
            <family val="2"/>
          </rPr>
          <t xml:space="preserve">
Metro, taxi, botellas,
</t>
        </r>
      </text>
    </comment>
  </commentList>
</comments>
</file>

<file path=xl/sharedStrings.xml><?xml version="1.0" encoding="utf-8"?>
<sst xmlns="http://schemas.openxmlformats.org/spreadsheetml/2006/main" count="3640" uniqueCount="1679">
  <si>
    <t xml:space="preserve">Luis Maciel </t>
  </si>
  <si>
    <t>Bus</t>
  </si>
  <si>
    <t>Lockers</t>
  </si>
  <si>
    <t>Vestidores</t>
  </si>
  <si>
    <t xml:space="preserve">Tepozspa </t>
  </si>
  <si>
    <t>Gastos</t>
  </si>
  <si>
    <t xml:space="preserve">Ingreso </t>
  </si>
  <si>
    <t>Ganancia</t>
  </si>
  <si>
    <t xml:space="preserve">TOTAL </t>
  </si>
  <si>
    <t>Egresos</t>
  </si>
  <si>
    <t xml:space="preserve">Luis </t>
  </si>
  <si>
    <t xml:space="preserve">Eloy Padilla </t>
  </si>
  <si>
    <t xml:space="preserve">Abraham Rocha </t>
  </si>
  <si>
    <t xml:space="preserve">Jonathan Esquivel </t>
  </si>
  <si>
    <t xml:space="preserve">Kevin Orlando </t>
  </si>
  <si>
    <t xml:space="preserve">Yadhir Modelo </t>
  </si>
  <si>
    <t xml:space="preserve">Gabriel Anguiano </t>
  </si>
  <si>
    <t xml:space="preserve">Ivan Arredondo </t>
  </si>
  <si>
    <t xml:space="preserve">Eric Acosta </t>
  </si>
  <si>
    <t xml:space="preserve">Arturo Ramirez Bernal </t>
  </si>
  <si>
    <t xml:space="preserve">Edgar Cortes Jimenez </t>
  </si>
  <si>
    <t xml:space="preserve">Ezequiel </t>
  </si>
  <si>
    <t>Carlos Gomez</t>
  </si>
  <si>
    <t xml:space="preserve">Ramon Salgado Baena </t>
  </si>
  <si>
    <t xml:space="preserve">Angelo Antonio Arango </t>
  </si>
  <si>
    <t xml:space="preserve">Humberto Flores </t>
  </si>
  <si>
    <t xml:space="preserve">Enrique Oviedo </t>
  </si>
  <si>
    <t xml:space="preserve">Marcos Robles Chileno </t>
  </si>
  <si>
    <t>Oscar Martines Enriquez</t>
  </si>
  <si>
    <t xml:space="preserve">Hernández Romero </t>
  </si>
  <si>
    <t>55 3552 1169</t>
  </si>
  <si>
    <t>NR</t>
  </si>
  <si>
    <t>55 1886 6106</t>
  </si>
  <si>
    <t>55 4790 8997</t>
  </si>
  <si>
    <t>55 2339 0549</t>
  </si>
  <si>
    <t>55 2442 2005</t>
  </si>
  <si>
    <t>55 5953 7115</t>
  </si>
  <si>
    <t>55 3979 3727</t>
  </si>
  <si>
    <t>55 3700 4080</t>
  </si>
  <si>
    <t>55 7130 0273</t>
  </si>
  <si>
    <t>*</t>
  </si>
  <si>
    <t>55 4071 4096</t>
  </si>
  <si>
    <t xml:space="preserve">Hector Hernandez Reyes </t>
  </si>
  <si>
    <t xml:space="preserve">David Quintana </t>
  </si>
  <si>
    <t>55 5285 6476</t>
  </si>
  <si>
    <t xml:space="preserve">Emmanuel Gavia Mendoza </t>
  </si>
  <si>
    <t xml:space="preserve">55 9146 4234 </t>
  </si>
  <si>
    <t xml:space="preserve">Ricardo Garcia </t>
  </si>
  <si>
    <t>55 2885 8135</t>
  </si>
  <si>
    <t xml:space="preserve">Alfonso Solis </t>
  </si>
  <si>
    <t xml:space="preserve">Rodrigo Aldana </t>
  </si>
  <si>
    <t xml:space="preserve">Luis Gutierrez </t>
  </si>
  <si>
    <t xml:space="preserve">Gilbert Lopez </t>
  </si>
  <si>
    <t xml:space="preserve">Cristoval Mendieta </t>
  </si>
  <si>
    <t xml:space="preserve">55 1392 7929 </t>
  </si>
  <si>
    <t xml:space="preserve">Artemio Belmont Cozaya </t>
  </si>
  <si>
    <t xml:space="preserve">Galaxy </t>
  </si>
  <si>
    <t xml:space="preserve">JC </t>
  </si>
  <si>
    <t>Oscar Pérez Rodríguez</t>
  </si>
  <si>
    <t>55 6615 3377</t>
  </si>
  <si>
    <t>55 2950 4057</t>
  </si>
  <si>
    <t>55 3715 2221</t>
  </si>
  <si>
    <t>771 123 5001</t>
  </si>
  <si>
    <t>Israel Ramirez</t>
  </si>
  <si>
    <t xml:space="preserve">Oscar Livesay </t>
  </si>
  <si>
    <t>(+1) 818 268 0455</t>
  </si>
  <si>
    <t>55 2407 6648</t>
  </si>
  <si>
    <t>Pepe Castellanos</t>
  </si>
  <si>
    <t>55 2240 4309</t>
  </si>
  <si>
    <t>Alejandro Diaz Amezcua</t>
  </si>
  <si>
    <t xml:space="preserve">Carlos Luna Yepez </t>
  </si>
  <si>
    <t>55 1816 3782</t>
  </si>
  <si>
    <t xml:space="preserve">55 5180 0544 </t>
  </si>
  <si>
    <t xml:space="preserve">Eduardo 1/2 Del Relax. </t>
  </si>
  <si>
    <t xml:space="preserve">Eduardo 2/2 Del Relax. </t>
  </si>
  <si>
    <t xml:space="preserve">Moises Sevilla </t>
  </si>
  <si>
    <t>55 4810 8161</t>
  </si>
  <si>
    <t xml:space="preserve">Jonathan Martinez </t>
  </si>
  <si>
    <t>55 3908 2390</t>
  </si>
  <si>
    <t xml:space="preserve">Gastos </t>
  </si>
  <si>
    <t>55 4783 9094</t>
  </si>
  <si>
    <t xml:space="preserve">Adrian Duran </t>
  </si>
  <si>
    <t xml:space="preserve">Francisco Méndez </t>
  </si>
  <si>
    <t>(+1) 915 613 8167</t>
  </si>
  <si>
    <t>Gerardo Herrera ($500/$1010)</t>
  </si>
  <si>
    <t>55 7058 8954</t>
  </si>
  <si>
    <t>55 4006 5012</t>
  </si>
  <si>
    <t>(+1) 336 303 2634</t>
  </si>
  <si>
    <t>55 3248 1614</t>
  </si>
  <si>
    <t>55 4924 7320</t>
  </si>
  <si>
    <t xml:space="preserve">German Villegas </t>
  </si>
  <si>
    <t xml:space="preserve">Santana Monson </t>
  </si>
  <si>
    <t>55 4130 3895</t>
  </si>
  <si>
    <t xml:space="preserve">Ricardo Gonzalez </t>
  </si>
  <si>
    <t>Jaime Cruz Jimenez</t>
  </si>
  <si>
    <t>Erick Acevedo  Lucero ($736/$926)</t>
  </si>
  <si>
    <t>55 2762 2103</t>
  </si>
  <si>
    <t xml:space="preserve">Francisco Jimenez </t>
  </si>
  <si>
    <t xml:space="preserve">Juan Castillo </t>
  </si>
  <si>
    <t xml:space="preserve">Zito Ricardo Pardave Muro </t>
  </si>
  <si>
    <t>Jorge Armando Ramirez Ramirez</t>
  </si>
  <si>
    <t>55 5954 5225</t>
  </si>
  <si>
    <t>Antonio Mayen</t>
  </si>
  <si>
    <t>55 1474 1610</t>
  </si>
  <si>
    <t>55 4889 0605</t>
  </si>
  <si>
    <t>Hugo Dominguez</t>
  </si>
  <si>
    <t>55 6800 8452</t>
  </si>
  <si>
    <t xml:space="preserve">Roberto Martinez </t>
  </si>
  <si>
    <t>Efrain Granados</t>
  </si>
  <si>
    <t xml:space="preserve">55 2195 5899 </t>
  </si>
  <si>
    <t xml:space="preserve">Abel Esquivel </t>
  </si>
  <si>
    <t xml:space="preserve">55 1014 4080 </t>
  </si>
  <si>
    <t>Mauro Martinez 1/2</t>
  </si>
  <si>
    <t>Mauro Martinez 2/2</t>
  </si>
  <si>
    <t>55 1331 9727</t>
  </si>
  <si>
    <t>Antonio Rosales</t>
  </si>
  <si>
    <t xml:space="preserve">Axel Rivas - Ave Mexico </t>
  </si>
  <si>
    <t xml:space="preserve">55 3646 1190 </t>
  </si>
  <si>
    <t xml:space="preserve">Mauricio Blanco </t>
  </si>
  <si>
    <t>55 5414 8995</t>
  </si>
  <si>
    <t xml:space="preserve">Jose Andres Ramirez Ayala </t>
  </si>
  <si>
    <t xml:space="preserve">55 2008 8171 </t>
  </si>
  <si>
    <t>55 3451 0801</t>
  </si>
  <si>
    <t xml:space="preserve">Pablo </t>
  </si>
  <si>
    <t>-</t>
  </si>
  <si>
    <t xml:space="preserve">Jaime Arroyo </t>
  </si>
  <si>
    <t>55 7373 4795</t>
  </si>
  <si>
    <t>Antonio Hernandez</t>
  </si>
  <si>
    <t>55 3197 1294</t>
  </si>
  <si>
    <t>55 4522 7335</t>
  </si>
  <si>
    <t xml:space="preserve">Irving Coria </t>
  </si>
  <si>
    <t>Joaquin Ramires</t>
  </si>
  <si>
    <t xml:space="preserve">Alan Cruz </t>
  </si>
  <si>
    <t>Julio Cesar Gutierrez Mora</t>
  </si>
  <si>
    <t>55 4884 8207</t>
  </si>
  <si>
    <t xml:space="preserve">55 3561 3490 </t>
  </si>
  <si>
    <t xml:space="preserve">Ivan Sandoval </t>
  </si>
  <si>
    <t>55 7877 8071</t>
  </si>
  <si>
    <t>55 3655 4547</t>
  </si>
  <si>
    <t>Fernando Palacios</t>
  </si>
  <si>
    <t>55 3202 3056</t>
  </si>
  <si>
    <t>55 3167 3737</t>
  </si>
  <si>
    <t>Alejandro Estanislao</t>
  </si>
  <si>
    <t xml:space="preserve">Alain Daniel Soto Gonzalez </t>
  </si>
  <si>
    <t xml:space="preserve">Eliiazar Tinajero </t>
  </si>
  <si>
    <t>55 4058 0274</t>
  </si>
  <si>
    <t>Luis Javier Camargo Perez</t>
  </si>
  <si>
    <t>Fco. Nava 1/2</t>
  </si>
  <si>
    <t>Fco Nada 2/2</t>
  </si>
  <si>
    <t>55 3937 6809</t>
  </si>
  <si>
    <t>55 2095 6365</t>
  </si>
  <si>
    <t>55 5407 7932</t>
  </si>
  <si>
    <t>55 4664 5558</t>
  </si>
  <si>
    <t>55 2771 4732</t>
  </si>
  <si>
    <t>Hugo Zuñiga</t>
  </si>
  <si>
    <t xml:space="preserve">Fiesta Patria </t>
  </si>
  <si>
    <t xml:space="preserve">Marco Garcia </t>
  </si>
  <si>
    <t>55 1342 4812</t>
  </si>
  <si>
    <t xml:space="preserve">Octavio Riveron </t>
  </si>
  <si>
    <t>Dioscar 1/2</t>
  </si>
  <si>
    <t>Dioscar 2/2</t>
  </si>
  <si>
    <t>Gustavo Rodriguez (1020/645)</t>
  </si>
  <si>
    <t>Huberto de la Cruz</t>
  </si>
  <si>
    <t>Jose Miguel Guevara</t>
  </si>
  <si>
    <t>Mauricio Contreras</t>
  </si>
  <si>
    <t xml:space="preserve">Rulfo Rubio </t>
  </si>
  <si>
    <t>Alan Sanchez</t>
  </si>
  <si>
    <t xml:space="preserve">55 1494 2674 </t>
  </si>
  <si>
    <t xml:space="preserve">Humberto de la Cruz Luna </t>
  </si>
  <si>
    <t xml:space="preserve">55 7052 9106 </t>
  </si>
  <si>
    <t>Jesus Moreno 1/2</t>
  </si>
  <si>
    <t>Jesus Moreno 2/2</t>
  </si>
  <si>
    <t xml:space="preserve">55 3939 7420 </t>
  </si>
  <si>
    <t xml:space="preserve">Jesus </t>
  </si>
  <si>
    <t>55 5509 5241</t>
  </si>
  <si>
    <t xml:space="preserve">Fernando Maldonado </t>
  </si>
  <si>
    <t xml:space="preserve">55 2737 9380 </t>
  </si>
  <si>
    <t xml:space="preserve">55 2575 5823 </t>
  </si>
  <si>
    <t>Jesus Pastrana Valdez PPRS</t>
  </si>
  <si>
    <t>Luis  ($1035 - $1785) PPRS</t>
  </si>
  <si>
    <t>557052 9106</t>
  </si>
  <si>
    <t>553399 5428</t>
  </si>
  <si>
    <t xml:space="preserve">55 3566 4230    </t>
  </si>
  <si>
    <t>Jonathan Martinez</t>
  </si>
  <si>
    <t>55 7319 1333</t>
  </si>
  <si>
    <t>55 7436 6585</t>
  </si>
  <si>
    <t>55 3231 3055</t>
  </si>
  <si>
    <t>V</t>
  </si>
  <si>
    <t>Deb0 $45</t>
  </si>
  <si>
    <t xml:space="preserve">Oscar </t>
  </si>
  <si>
    <t>Benjamin</t>
  </si>
  <si>
    <t>Edgar Olivares</t>
  </si>
  <si>
    <t xml:space="preserve">Mauricio Galvan </t>
  </si>
  <si>
    <t xml:space="preserve">Jesus Galvan </t>
  </si>
  <si>
    <t>Beto Espinoza</t>
  </si>
  <si>
    <t xml:space="preserve">Michael </t>
  </si>
  <si>
    <t>Alan</t>
  </si>
  <si>
    <t xml:space="preserve">Santiago </t>
  </si>
  <si>
    <t>55 2856 6597</t>
  </si>
  <si>
    <t>N</t>
  </si>
  <si>
    <t>Moises Peralta</t>
  </si>
  <si>
    <t xml:space="preserve"> </t>
  </si>
  <si>
    <t xml:space="preserve"> @bandres_c</t>
  </si>
  <si>
    <t xml:space="preserve">Alejandro Covarrubias Garcia </t>
  </si>
  <si>
    <t xml:space="preserve">Israel Valverde </t>
  </si>
  <si>
    <t>Guillermo Mora</t>
  </si>
  <si>
    <t>Fernando Telez</t>
  </si>
  <si>
    <t xml:space="preserve">Oscar Sanchez </t>
  </si>
  <si>
    <t xml:space="preserve">55 5107 3919 </t>
  </si>
  <si>
    <t xml:space="preserve">Miguel Rosas </t>
  </si>
  <si>
    <t xml:space="preserve">Israel Aguilar </t>
  </si>
  <si>
    <t>NA</t>
  </si>
  <si>
    <t xml:space="preserve">55 1835 2320 </t>
  </si>
  <si>
    <t>55 3987 6403</t>
  </si>
  <si>
    <t>55 6605 3762</t>
  </si>
  <si>
    <t xml:space="preserve">Angel Ortega </t>
  </si>
  <si>
    <t xml:space="preserve">De Ivan </t>
  </si>
  <si>
    <t>55 2728 35 23</t>
  </si>
  <si>
    <t xml:space="preserve">Edgar </t>
  </si>
  <si>
    <t xml:space="preserve">Minimo </t>
  </si>
  <si>
    <t>55 22 51 7202</t>
  </si>
  <si>
    <t xml:space="preserve">Arturo Gilberto Sanchez Aguilar </t>
  </si>
  <si>
    <t xml:space="preserve">Carlos Alberto Torres </t>
  </si>
  <si>
    <t>55 1701 6197</t>
  </si>
  <si>
    <t xml:space="preserve">Jose Alberto Juarez Capitanachi </t>
  </si>
  <si>
    <t xml:space="preserve">55 3239 2637 </t>
  </si>
  <si>
    <t xml:space="preserve">Eduardo Marin </t>
  </si>
  <si>
    <t>55 3019 0225</t>
  </si>
  <si>
    <t xml:space="preserve">Daniel Soni </t>
  </si>
  <si>
    <t xml:space="preserve">Jorge Guerrero Benitez </t>
  </si>
  <si>
    <t>55 7466 5247</t>
  </si>
  <si>
    <t xml:space="preserve">Julio Astor Ramirez Ávila </t>
  </si>
  <si>
    <t>55 7051 6091</t>
  </si>
  <si>
    <t>55 3148 8259</t>
  </si>
  <si>
    <t>Jesús Alberto Medina Ruiz</t>
  </si>
  <si>
    <t xml:space="preserve">Eduardo Montenegro </t>
  </si>
  <si>
    <t>55 1949 5643</t>
  </si>
  <si>
    <t xml:space="preserve">55 4193 1907 </t>
  </si>
  <si>
    <t>55 3239 2000</t>
  </si>
  <si>
    <t>Ruben 2/2</t>
  </si>
  <si>
    <t>Ruben  1/2</t>
  </si>
  <si>
    <t>Gustavo Guiterrez Ayala</t>
  </si>
  <si>
    <t>55 7474 2165</t>
  </si>
  <si>
    <t xml:space="preserve">Hector Villegas </t>
  </si>
  <si>
    <t>55 3639 7297</t>
  </si>
  <si>
    <t xml:space="preserve"> Edgar Adrián González Aguilar</t>
  </si>
  <si>
    <t>55 4193 1907</t>
  </si>
  <si>
    <t>Fernando Enrique Correa Hernández</t>
  </si>
  <si>
    <t>Julio García Vázquez</t>
  </si>
  <si>
    <t>998 228 1032</t>
  </si>
  <si>
    <t>55 1700 2000</t>
  </si>
  <si>
    <t>55 2941 1959</t>
  </si>
  <si>
    <t>55 1814 7756</t>
  </si>
  <si>
    <t xml:space="preserve">Leonardo Hernández Hernández </t>
  </si>
  <si>
    <t>Gustavo Reyes</t>
  </si>
  <si>
    <t>55 2564 5504</t>
  </si>
  <si>
    <t xml:space="preserve">Banamex </t>
  </si>
  <si>
    <t xml:space="preserve">PayPal </t>
  </si>
  <si>
    <t xml:space="preserve">Bancomer </t>
  </si>
  <si>
    <t>Angel Morales</t>
  </si>
  <si>
    <t>55 4585 4474</t>
  </si>
  <si>
    <t xml:space="preserve">Jorge Flores </t>
  </si>
  <si>
    <t xml:space="preserve">Bus </t>
  </si>
  <si>
    <t>Locker</t>
  </si>
  <si>
    <t xml:space="preserve">Vestidor </t>
  </si>
  <si>
    <t>COSTOS TOTALES</t>
  </si>
  <si>
    <t>Total Tepoz</t>
  </si>
  <si>
    <t>v</t>
  </si>
  <si>
    <t xml:space="preserve">ACAPULCO </t>
  </si>
  <si>
    <t>C/U</t>
  </si>
  <si>
    <t xml:space="preserve">Habitaciones </t>
  </si>
  <si>
    <t>At+Cam</t>
  </si>
  <si>
    <t xml:space="preserve">Ganancia </t>
  </si>
  <si>
    <t xml:space="preserve">Minimo  hotel </t>
  </si>
  <si>
    <t>Considerado para 18 personas</t>
  </si>
  <si>
    <t xml:space="preserve">Vender </t>
  </si>
  <si>
    <t xml:space="preserve">Venta </t>
  </si>
  <si>
    <t xml:space="preserve">Alcohol </t>
  </si>
  <si>
    <t>13 al 16 de julio 3nx4d</t>
  </si>
  <si>
    <t>Considerado para 26 personas</t>
  </si>
  <si>
    <t>Venderia</t>
  </si>
  <si>
    <t xml:space="preserve">Buen fin </t>
  </si>
  <si>
    <t xml:space="preserve">Preventa </t>
  </si>
  <si>
    <t>55 1648 6244</t>
  </si>
  <si>
    <t xml:space="preserve">Felipe Gongora </t>
  </si>
  <si>
    <t xml:space="preserve">Contado </t>
  </si>
  <si>
    <t xml:space="preserve">Dic </t>
  </si>
  <si>
    <t xml:space="preserve">Enero </t>
  </si>
  <si>
    <t>Fernando 2/5</t>
  </si>
  <si>
    <t>Fernando 3/5</t>
  </si>
  <si>
    <t>Fernando 4/5</t>
  </si>
  <si>
    <t>Fernando 5/5</t>
  </si>
  <si>
    <t>55 2563 9518</t>
  </si>
  <si>
    <t>Fernando Arredondo Recillas 1/5</t>
  </si>
  <si>
    <t>Cip 9</t>
  </si>
  <si>
    <t xml:space="preserve">Clip 12 </t>
  </si>
  <si>
    <t>Clip 6</t>
  </si>
  <si>
    <t>Clip 3</t>
  </si>
  <si>
    <t>Diego Arreola Granados</t>
  </si>
  <si>
    <t>55 1504 9120</t>
  </si>
  <si>
    <t>Jonathan Corte</t>
  </si>
  <si>
    <t xml:space="preserve">Jair Garcia </t>
  </si>
  <si>
    <t>55 1815 2980</t>
  </si>
  <si>
    <t>55 1633 9278</t>
  </si>
  <si>
    <t xml:space="preserve">Efectivo </t>
  </si>
  <si>
    <t>Santander</t>
  </si>
  <si>
    <t xml:space="preserve">Gastado </t>
  </si>
  <si>
    <t xml:space="preserve">D Ivan </t>
  </si>
  <si>
    <t xml:space="preserve">Sobrevivir </t>
  </si>
  <si>
    <t xml:space="preserve">falta cobrar </t>
  </si>
  <si>
    <t xml:space="preserve">FINAL </t>
  </si>
  <si>
    <t xml:space="preserve">Consumos </t>
  </si>
  <si>
    <t xml:space="preserve">Enrique Dupont </t>
  </si>
  <si>
    <t>Raúl Padilla</t>
  </si>
  <si>
    <t>55 1257 1582</t>
  </si>
  <si>
    <t xml:space="preserve">Alonso </t>
  </si>
  <si>
    <t>55 1817 6703</t>
  </si>
  <si>
    <t xml:space="preserve">Marco Antonio Moreno </t>
  </si>
  <si>
    <t>Carlos Alberto Ruiz</t>
  </si>
  <si>
    <t xml:space="preserve"> 55 1597 2031</t>
  </si>
  <si>
    <t>Guillermo Mora **</t>
  </si>
  <si>
    <t>Oscar**</t>
  </si>
  <si>
    <t>Angel Ortega**</t>
  </si>
  <si>
    <t>Angel Morales **</t>
  </si>
  <si>
    <t xml:space="preserve">Ezequiel (21Sep) </t>
  </si>
  <si>
    <t>Alejandro Gonzalez</t>
  </si>
  <si>
    <t>Pablo Mazon</t>
  </si>
  <si>
    <t>Del dia 1589</t>
  </si>
  <si>
    <t xml:space="preserve">Pago </t>
  </si>
  <si>
    <t xml:space="preserve">Ingreso 650 EU </t>
  </si>
  <si>
    <t>Bancomer</t>
  </si>
  <si>
    <t xml:space="preserve">te doy </t>
  </si>
  <si>
    <t xml:space="preserve">nos quedamos </t>
  </si>
  <si>
    <t xml:space="preserve">Julio Cabiades </t>
  </si>
  <si>
    <t>Ivan Sandoval</t>
  </si>
  <si>
    <t>Carlos Ramos</t>
  </si>
  <si>
    <t>744 332 4661</t>
  </si>
  <si>
    <t xml:space="preserve">2 habitaciones </t>
  </si>
  <si>
    <t>1 habitacion</t>
  </si>
  <si>
    <t>8 personas</t>
  </si>
  <si>
    <t xml:space="preserve">Costo unitario bus </t>
  </si>
  <si>
    <t>Debe</t>
  </si>
  <si>
    <t xml:space="preserve">Ali </t>
  </si>
  <si>
    <t xml:space="preserve">1 habitacion </t>
  </si>
  <si>
    <t xml:space="preserve">4 personas </t>
  </si>
  <si>
    <t xml:space="preserve">6 habitaciones </t>
  </si>
  <si>
    <t>Francisco Javier Lopez Castañeda</t>
  </si>
  <si>
    <t xml:space="preserve">Jerry </t>
  </si>
  <si>
    <t xml:space="preserve">Hotel </t>
  </si>
  <si>
    <t xml:space="preserve">8 personas </t>
  </si>
  <si>
    <t xml:space="preserve">CU </t>
  </si>
  <si>
    <t xml:space="preserve">A vender (con 4) </t>
  </si>
  <si>
    <t xml:space="preserve">A vender (con 8) </t>
  </si>
  <si>
    <t>Nombre</t>
  </si>
  <si>
    <t>Habitacion</t>
  </si>
  <si>
    <t>Otros</t>
  </si>
  <si>
    <t>Costo H+B</t>
  </si>
  <si>
    <t>Personas</t>
  </si>
  <si>
    <t>Habitaciones</t>
  </si>
  <si>
    <t>32 / 30 personas</t>
  </si>
  <si>
    <t>Preventa</t>
  </si>
  <si>
    <t>55 2249 1385</t>
  </si>
  <si>
    <t xml:space="preserve">Oscar Alberto Ruiz </t>
  </si>
  <si>
    <t>Carlos C Bandres**</t>
  </si>
  <si>
    <t xml:space="preserve">Alberto Medina </t>
  </si>
  <si>
    <t xml:space="preserve">Alfonso Amigon </t>
  </si>
  <si>
    <t>55 1899 9657</t>
  </si>
  <si>
    <t xml:space="preserve">Antonio Rosales </t>
  </si>
  <si>
    <t>28/Nov PayPal</t>
  </si>
  <si>
    <t>24/Nov Bancomer</t>
  </si>
  <si>
    <t>Aun no envia comprobante</t>
  </si>
  <si>
    <t xml:space="preserve">Diego Armando </t>
  </si>
  <si>
    <t>Pablo Mazón</t>
  </si>
  <si>
    <t>Francisco Loera</t>
  </si>
  <si>
    <t>55 3127 2064</t>
  </si>
  <si>
    <t>29/Nov Banamex</t>
  </si>
  <si>
    <t>Benjamin 1/2</t>
  </si>
  <si>
    <t>Oscar 2/2</t>
  </si>
  <si>
    <t xml:space="preserve">Daniel Alain Soto Gonzalez </t>
  </si>
  <si>
    <t>29/Nov Bancomer</t>
  </si>
  <si>
    <t>Rafael Villanueva @Rafis273</t>
  </si>
  <si>
    <t>55 1502 5381</t>
  </si>
  <si>
    <t>29/Bancomer</t>
  </si>
  <si>
    <t>Daniel Gonzalez (Alain)</t>
  </si>
  <si>
    <t>55 5100 2872</t>
  </si>
  <si>
    <t xml:space="preserve"> 55 4843 0747</t>
  </si>
  <si>
    <t xml:space="preserve">NA </t>
  </si>
  <si>
    <t xml:space="preserve">5/dic Bancomer </t>
  </si>
  <si>
    <t xml:space="preserve">Divididos </t>
  </si>
  <si>
    <t xml:space="preserve"> 30/Nov Banamex</t>
  </si>
  <si>
    <t>Omar Vargas</t>
  </si>
  <si>
    <t xml:space="preserve">Gerardo Gonzales </t>
  </si>
  <si>
    <t>Rafael Victoria</t>
  </si>
  <si>
    <t xml:space="preserve">Del 2017 </t>
  </si>
  <si>
    <t xml:space="preserve">55 3892 5568 </t>
  </si>
  <si>
    <t>Miguel Francisco Morales Cruz</t>
  </si>
  <si>
    <t>4 / Dic Banamex</t>
  </si>
  <si>
    <t>Jerardo Keldey</t>
  </si>
  <si>
    <t xml:space="preserve">Alan </t>
  </si>
  <si>
    <t xml:space="preserve">55 4026 3740 </t>
  </si>
  <si>
    <t>3/Dic Banamex</t>
  </si>
  <si>
    <t>Eder**</t>
  </si>
  <si>
    <t xml:space="preserve">Samuel Montes de Oca García </t>
  </si>
  <si>
    <t xml:space="preserve">Jonathan Uriel Nava Aquino </t>
  </si>
  <si>
    <t xml:space="preserve"> 6/Dic Banamex</t>
  </si>
  <si>
    <t>55 4055 6576</t>
  </si>
  <si>
    <t>55 4810 8061</t>
  </si>
  <si>
    <t xml:space="preserve"> 6/Dic Bancomer</t>
  </si>
  <si>
    <t xml:space="preserve">Eduardo Juarez </t>
  </si>
  <si>
    <t xml:space="preserve"> 55 3911 7790</t>
  </si>
  <si>
    <t>Staf 3/4</t>
  </si>
  <si>
    <t>Staf 2/4</t>
  </si>
  <si>
    <t>Staf 4/4</t>
  </si>
  <si>
    <t xml:space="preserve">Staf 1/4 Vestidor </t>
  </si>
  <si>
    <t xml:space="preserve">Luis Maciel Vestidor </t>
  </si>
  <si>
    <t>Luis Manuel Lopez Perez</t>
  </si>
  <si>
    <t xml:space="preserve"> 55 7419 3514</t>
  </si>
  <si>
    <t>55 3167 1724</t>
  </si>
  <si>
    <t xml:space="preserve">Tequila </t>
  </si>
  <si>
    <t xml:space="preserve">Gelatinas </t>
  </si>
  <si>
    <t xml:space="preserve">Café </t>
  </si>
  <si>
    <t xml:space="preserve">Pan </t>
  </si>
  <si>
    <t>55 3887 7869</t>
  </si>
  <si>
    <t xml:space="preserve"> 7/Dic Banamex</t>
  </si>
  <si>
    <t>Christian Muñoz</t>
  </si>
  <si>
    <t xml:space="preserve">Bus ida </t>
  </si>
  <si>
    <t xml:space="preserve">Bus regreso </t>
  </si>
  <si>
    <t>Hotel 4px</t>
  </si>
  <si>
    <t>Best Western Plus Boka</t>
  </si>
  <si>
    <t>55 1189 9999</t>
  </si>
  <si>
    <t xml:space="preserve">9 de Diciembre </t>
  </si>
  <si>
    <t xml:space="preserve">31 de diciembre </t>
  </si>
  <si>
    <t xml:space="preserve">Enero del 2018 </t>
  </si>
  <si>
    <t xml:space="preserve">Cuadruple </t>
  </si>
  <si>
    <t xml:space="preserve">De 8 </t>
  </si>
  <si>
    <t>MSI  12</t>
  </si>
  <si>
    <t xml:space="preserve">Rodoldo Quiroz </t>
  </si>
  <si>
    <t xml:space="preserve">Paga el sabado </t>
  </si>
  <si>
    <t>55 3402 7933</t>
  </si>
  <si>
    <t xml:space="preserve">Fernando Guerrero Vera </t>
  </si>
  <si>
    <t>Mario Alberto Cortázar Becerril</t>
  </si>
  <si>
    <t xml:space="preserve">Telefono </t>
  </si>
  <si>
    <t xml:space="preserve">Todo Incluido </t>
  </si>
  <si>
    <t xml:space="preserve">Jesus García Martinez </t>
  </si>
  <si>
    <t xml:space="preserve">55 3939 7402 </t>
  </si>
  <si>
    <t>Jonathan Velázquez</t>
  </si>
  <si>
    <t>55 6803 1259</t>
  </si>
  <si>
    <t>55 1845 1229</t>
  </si>
  <si>
    <t>Rod Erik Reynoso Delgadillo</t>
  </si>
  <si>
    <t xml:space="preserve">Eloy Sánchez Padilla </t>
  </si>
  <si>
    <t>16 Dic - Banamex</t>
  </si>
  <si>
    <t>55 5107 3919</t>
  </si>
  <si>
    <t xml:space="preserve">18 Diciembre Bancomer </t>
  </si>
  <si>
    <t xml:space="preserve">Fernando Telez </t>
  </si>
  <si>
    <t>4 x4 = 16</t>
  </si>
  <si>
    <t>lugares</t>
  </si>
  <si>
    <t>van 14 pero van 11</t>
  </si>
  <si>
    <t xml:space="preserve">boleto </t>
  </si>
  <si>
    <t xml:space="preserve">Neri </t>
  </si>
  <si>
    <t>ingresa</t>
  </si>
  <si>
    <t xml:space="preserve">gastos </t>
  </si>
  <si>
    <t>preganancia</t>
  </si>
  <si>
    <t>ganancia</t>
  </si>
  <si>
    <t xml:space="preserve">hubiease </t>
  </si>
  <si>
    <t>6 meses</t>
  </si>
  <si>
    <t>12 meses</t>
  </si>
  <si>
    <t>9 meses</t>
  </si>
  <si>
    <t>3 meses</t>
  </si>
  <si>
    <t xml:space="preserve">Un pago </t>
  </si>
  <si>
    <t>55 3105 9058</t>
  </si>
  <si>
    <t>03 Ene - Bancomer</t>
  </si>
  <si>
    <t xml:space="preserve">Christopher Zuñiga </t>
  </si>
  <si>
    <t>Edgar Padilla Ramirez</t>
  </si>
  <si>
    <t>01 Ene - Bancomer</t>
  </si>
  <si>
    <t xml:space="preserve">55 4518 6459 </t>
  </si>
  <si>
    <t>Oscar Alberto Ruiz</t>
  </si>
  <si>
    <t>02 Ene - Bancomer</t>
  </si>
  <si>
    <t xml:space="preserve">55 2249 1385 </t>
  </si>
  <si>
    <t>Miguel Francisco Moralez Cruz</t>
  </si>
  <si>
    <t>01 Ene- Bancomer</t>
  </si>
  <si>
    <t>55 7682 7553</t>
  </si>
  <si>
    <t>55 5008 6950</t>
  </si>
  <si>
    <t xml:space="preserve">Sergio Aceves </t>
  </si>
  <si>
    <t>Felipe Gongora</t>
  </si>
  <si>
    <t>8 Enero - Banamex</t>
  </si>
  <si>
    <t xml:space="preserve">8 Enero - Bancomer </t>
  </si>
  <si>
    <t>55 3074 6175</t>
  </si>
  <si>
    <t xml:space="preserve">Del Gym en efectivo </t>
  </si>
  <si>
    <t>Juan Carlos Manriquez</t>
  </si>
  <si>
    <t>Fepile Saucedo Herrera</t>
  </si>
  <si>
    <t xml:space="preserve">Estid Hernandez Torralba </t>
  </si>
  <si>
    <t xml:space="preserve">55 3033 9247 </t>
  </si>
  <si>
    <t xml:space="preserve">6 Enero - Bancomer </t>
  </si>
  <si>
    <t xml:space="preserve">Miguel Robledo </t>
  </si>
  <si>
    <t>55 1892 8700</t>
  </si>
  <si>
    <t xml:space="preserve">04 Ene - Bancomer </t>
  </si>
  <si>
    <t>Mario Zuñiga</t>
  </si>
  <si>
    <t>55 3001 6964</t>
  </si>
  <si>
    <t xml:space="preserve">08 Ene - Bancomer </t>
  </si>
  <si>
    <t>Burbuja</t>
  </si>
  <si>
    <t>9 Enero - Bancomer</t>
  </si>
  <si>
    <t>10 Enero - Bancomer</t>
  </si>
  <si>
    <t xml:space="preserve">Raul Anguiano </t>
  </si>
  <si>
    <t xml:space="preserve">Andres Huerta </t>
  </si>
  <si>
    <t>Marco Rivera</t>
  </si>
  <si>
    <t xml:space="preserve">Fernando Medina </t>
  </si>
  <si>
    <t>55 6114 3941</t>
  </si>
  <si>
    <t>Manuel Calderon Gomez</t>
  </si>
  <si>
    <t xml:space="preserve">55 1854 4401 </t>
  </si>
  <si>
    <t>Luis Garcia</t>
  </si>
  <si>
    <t>222 489 8471</t>
  </si>
  <si>
    <t xml:space="preserve">12 Enero - Banamex </t>
  </si>
  <si>
    <t xml:space="preserve">55 1210 3887 </t>
  </si>
  <si>
    <t xml:space="preserve">Eduardo Montalvo Reyes </t>
  </si>
  <si>
    <t>Raymundo Leal</t>
  </si>
  <si>
    <t>13 Enero - Banamex</t>
  </si>
  <si>
    <t xml:space="preserve">55 8131 7809 </t>
  </si>
  <si>
    <t xml:space="preserve">Abrham Gallegos Paez </t>
  </si>
  <si>
    <t xml:space="preserve">55 3792 5568 </t>
  </si>
  <si>
    <t>Jorge Alejandro Cárdenas Flores</t>
  </si>
  <si>
    <t>13 Enero - Bancomer</t>
  </si>
  <si>
    <t xml:space="preserve">55 3511 8738 </t>
  </si>
  <si>
    <t xml:space="preserve">Carlos Ulises Flores Camarillo </t>
  </si>
  <si>
    <t xml:space="preserve">Jorge Castillo </t>
  </si>
  <si>
    <t>55 4448 9702</t>
  </si>
  <si>
    <t>3393 tercion</t>
  </si>
  <si>
    <t>Alfredo Cuellar</t>
  </si>
  <si>
    <t>15 Enero - Bancomer</t>
  </si>
  <si>
    <t>55 5463 9699</t>
  </si>
  <si>
    <t xml:space="preserve">marquez a caleta </t>
  </si>
  <si>
    <t xml:space="preserve">barra vieja, pie de  cuetsa y barra de coyuca </t>
  </si>
  <si>
    <t xml:space="preserve">2 personas </t>
  </si>
  <si>
    <t>Alimentos  $2190</t>
  </si>
  <si>
    <t>55 2721 0288</t>
  </si>
  <si>
    <t>Manu Arguelles 1/2</t>
  </si>
  <si>
    <t>Manu Arguelles 2/2</t>
  </si>
  <si>
    <t>19 Ene - Banamex</t>
  </si>
  <si>
    <t>$</t>
  </si>
  <si>
    <t xml:space="preserve">A vender (con 2) </t>
  </si>
  <si>
    <t xml:space="preserve">Utilidad </t>
  </si>
  <si>
    <t xml:space="preserve">Por cada uno </t>
  </si>
  <si>
    <t xml:space="preserve">Victor Marroquin </t>
  </si>
  <si>
    <t>Luis Gallegos López</t>
  </si>
  <si>
    <t>Manuel Calderón Gómez</t>
  </si>
  <si>
    <t>55 1854 4401</t>
  </si>
  <si>
    <t>Victor Marroquin  Dos</t>
  </si>
  <si>
    <t>55 2765 6306</t>
  </si>
  <si>
    <t>55 4828 0343</t>
  </si>
  <si>
    <t>Alfredo Aguilar</t>
  </si>
  <si>
    <t xml:space="preserve">suite </t>
  </si>
  <si>
    <t xml:space="preserve">frente </t>
  </si>
  <si>
    <t xml:space="preserve">vista </t>
  </si>
  <si>
    <t xml:space="preserve">parcial </t>
  </si>
  <si>
    <t xml:space="preserve">8 habitaciones </t>
  </si>
  <si>
    <t>personas</t>
  </si>
  <si>
    <t xml:space="preserve">viernes 20 al lunes 23 julio </t>
  </si>
  <si>
    <t xml:space="preserve">Juan Carmona y Ana </t>
  </si>
  <si>
    <t xml:space="preserve">trivago </t>
  </si>
  <si>
    <t xml:space="preserve">directo </t>
  </si>
  <si>
    <t xml:space="preserve">Alberto </t>
  </si>
  <si>
    <t>55 5807 1960</t>
  </si>
  <si>
    <t xml:space="preserve">Alan Valencia </t>
  </si>
  <si>
    <t xml:space="preserve">25 Enero - Bancomer </t>
  </si>
  <si>
    <t xml:space="preserve">Cisneros </t>
  </si>
  <si>
    <t>$42000 x 45</t>
  </si>
  <si>
    <t>55 6903 4127</t>
  </si>
  <si>
    <t xml:space="preserve">Juan Carlos Banda </t>
  </si>
  <si>
    <t xml:space="preserve">1 habitación </t>
  </si>
  <si>
    <t xml:space="preserve">9 habitaciones </t>
  </si>
  <si>
    <t xml:space="preserve">hotel </t>
  </si>
  <si>
    <t>por person a</t>
  </si>
  <si>
    <t>14 / 16 personas</t>
  </si>
  <si>
    <t>***</t>
  </si>
  <si>
    <t xml:space="preserve">650 por comida </t>
  </si>
  <si>
    <t xml:space="preserve">adicional </t>
  </si>
  <si>
    <t xml:space="preserve">1 personas adicional </t>
  </si>
  <si>
    <t xml:space="preserve">Luis Rey </t>
  </si>
  <si>
    <t xml:space="preserve">Alfredo Aguilar </t>
  </si>
  <si>
    <t xml:space="preserve"> 55 4499 8036</t>
  </si>
  <si>
    <t>771 152 8746</t>
  </si>
  <si>
    <t>Noe Arreola</t>
  </si>
  <si>
    <t>Lalo Morales</t>
  </si>
  <si>
    <t>&gt; $2100</t>
  </si>
  <si>
    <t xml:space="preserve">Eliazar Tinajero </t>
  </si>
  <si>
    <t xml:space="preserve">29 Enero - Bancomer </t>
  </si>
  <si>
    <t xml:space="preserve">Jovanny Belmont </t>
  </si>
  <si>
    <t>933 158 8770</t>
  </si>
  <si>
    <t xml:space="preserve">Salvador Nieto </t>
  </si>
  <si>
    <t xml:space="preserve">Eduardo Sponda </t>
  </si>
  <si>
    <t xml:space="preserve">30 de Enero - Bancomer </t>
  </si>
  <si>
    <t>55 1478 7341</t>
  </si>
  <si>
    <t>442 142 9085</t>
  </si>
  <si>
    <t>Abraham Hernandez López</t>
  </si>
  <si>
    <t xml:space="preserve">Yahir Delgado </t>
  </si>
  <si>
    <t xml:space="preserve">246 125 7227 </t>
  </si>
  <si>
    <t>41 / 43 personas</t>
  </si>
  <si>
    <t>55 2897 3998</t>
  </si>
  <si>
    <t xml:space="preserve">Juan Carlos  Garcia </t>
  </si>
  <si>
    <t>55 7666 5336</t>
  </si>
  <si>
    <t xml:space="preserve">paypal </t>
  </si>
  <si>
    <t>bancomer</t>
  </si>
  <si>
    <t>banamex</t>
  </si>
  <si>
    <t xml:space="preserve">roja </t>
  </si>
  <si>
    <t xml:space="preserve">azul </t>
  </si>
  <si>
    <t>inbursa</t>
  </si>
  <si>
    <t>santander</t>
  </si>
  <si>
    <t xml:space="preserve"> Andrés Ramire Ayala</t>
  </si>
  <si>
    <t xml:space="preserve"> 55 2008 8171</t>
  </si>
  <si>
    <t>55 3879 9900</t>
  </si>
  <si>
    <t xml:space="preserve">Jose Ildefonso Avila Morales </t>
  </si>
  <si>
    <t>06 Feb - Bancomer</t>
  </si>
  <si>
    <t xml:space="preserve">Victor Morfin </t>
  </si>
  <si>
    <t>Ruben Olvera</t>
  </si>
  <si>
    <t>07 Fer - Banamex</t>
  </si>
  <si>
    <t xml:space="preserve"> 222 136 9733</t>
  </si>
  <si>
    <t>Ignacio Conde Cruz</t>
  </si>
  <si>
    <t>55 4828 9494</t>
  </si>
  <si>
    <t xml:space="preserve">Alberto Lopez </t>
  </si>
  <si>
    <t>efetivo</t>
  </si>
  <si>
    <t xml:space="preserve">07 Febrero - Bancomer </t>
  </si>
  <si>
    <t xml:space="preserve">Raimundo Gutierrez Soriano </t>
  </si>
  <si>
    <t>Guillermo de la Cruz Vazquez</t>
  </si>
  <si>
    <t xml:space="preserve">55 4313 9780 </t>
  </si>
  <si>
    <t>Gaspar Nava</t>
  </si>
  <si>
    <t xml:space="preserve">55 4785 1906 </t>
  </si>
  <si>
    <t xml:space="preserve">Emmanuel Chimal </t>
  </si>
  <si>
    <t xml:space="preserve">Arturo Ramos </t>
  </si>
  <si>
    <t>55 4594 2198</t>
  </si>
  <si>
    <t xml:space="preserve">Hector Bolivar </t>
  </si>
  <si>
    <t xml:space="preserve">Jose Paradesi </t>
  </si>
  <si>
    <t>Jorge Benavides</t>
  </si>
  <si>
    <t xml:space="preserve">Carlos Hernandez </t>
  </si>
  <si>
    <t>55 1530 5033</t>
  </si>
  <si>
    <t>55 3654 5930</t>
  </si>
  <si>
    <t>Jonathan Oliviera</t>
  </si>
  <si>
    <t>09 Febrero -Banamex</t>
  </si>
  <si>
    <t xml:space="preserve">Emmanuel </t>
  </si>
  <si>
    <t xml:space="preserve">efectivo </t>
  </si>
  <si>
    <t>roja</t>
  </si>
  <si>
    <t>luis</t>
  </si>
  <si>
    <t xml:space="preserve">ivan </t>
  </si>
  <si>
    <t xml:space="preserve">neri </t>
  </si>
  <si>
    <t xml:space="preserve">12 Febrero - Efectivo </t>
  </si>
  <si>
    <t xml:space="preserve">Alejandro Andrade (Alberto) </t>
  </si>
  <si>
    <t>Fernando Velazquez Gonzalez</t>
  </si>
  <si>
    <t>9 Febrero - Banamex</t>
  </si>
  <si>
    <t xml:space="preserve">55 1932 8347 </t>
  </si>
  <si>
    <t>55 4785 1906</t>
  </si>
  <si>
    <t xml:space="preserve">Satana Mozon </t>
  </si>
  <si>
    <t>8 Febero- Banamex</t>
  </si>
  <si>
    <t>55 2093 8597</t>
  </si>
  <si>
    <t>55 1723 2717</t>
  </si>
  <si>
    <t>Francisco Ugalde</t>
  </si>
  <si>
    <t>8 Febrero - Bancomer</t>
  </si>
  <si>
    <t>Luis Gallegos 1/2 (545)</t>
  </si>
  <si>
    <t>Rene</t>
  </si>
  <si>
    <t>13 Febero - Banamex</t>
  </si>
  <si>
    <t>55 3964 8438</t>
  </si>
  <si>
    <t>8 Febrer - Banamex</t>
  </si>
  <si>
    <t xml:space="preserve">banamex </t>
  </si>
  <si>
    <t>banconer</t>
  </si>
  <si>
    <t xml:space="preserve">Autobus </t>
  </si>
  <si>
    <t>Unitario Bus</t>
  </si>
  <si>
    <t>Pasajeros</t>
  </si>
  <si>
    <t>Entrada</t>
  </si>
  <si>
    <t xml:space="preserve">Deposito </t>
  </si>
  <si>
    <t xml:space="preserve">Restante </t>
  </si>
  <si>
    <t>Banco</t>
  </si>
  <si>
    <t xml:space="preserve">Origen </t>
  </si>
  <si>
    <t>Costos</t>
  </si>
  <si>
    <t xml:space="preserve">Tolantongo </t>
  </si>
  <si>
    <t>COSTOS B+E</t>
  </si>
  <si>
    <t>55 4441 5047</t>
  </si>
  <si>
    <t xml:space="preserve">Modelo </t>
  </si>
  <si>
    <t xml:space="preserve">Ok </t>
  </si>
  <si>
    <t>16 Feb - Bancomer</t>
  </si>
  <si>
    <t>55 5930 6898</t>
  </si>
  <si>
    <t>Misael Vargas @mick_t1963</t>
  </si>
  <si>
    <t>2000 7269</t>
  </si>
  <si>
    <t xml:space="preserve">7:16pm Banamex </t>
  </si>
  <si>
    <t>Juan Rodriguez</t>
  </si>
  <si>
    <t>Erick Hernandez 1/2</t>
  </si>
  <si>
    <t xml:space="preserve">De febrero </t>
  </si>
  <si>
    <t>55 3917 7276</t>
  </si>
  <si>
    <t xml:space="preserve">16 Febrero - Bancomer </t>
  </si>
  <si>
    <t xml:space="preserve">55 8263 8700 </t>
  </si>
  <si>
    <t>4182 3580</t>
  </si>
  <si>
    <t>Fortunato Sanchez</t>
  </si>
  <si>
    <t xml:space="preserve">Salvador Amante </t>
  </si>
  <si>
    <t>Sergio Castañeda</t>
  </si>
  <si>
    <t xml:space="preserve">foto </t>
  </si>
  <si>
    <t>busqueda</t>
  </si>
  <si>
    <t xml:space="preserve">resumen </t>
  </si>
  <si>
    <t xml:space="preserve">titulo </t>
  </si>
  <si>
    <t xml:space="preserve">CONTENIDO </t>
  </si>
  <si>
    <t xml:space="preserve">en word </t>
  </si>
  <si>
    <t xml:space="preserve">indirecta </t>
  </si>
  <si>
    <t xml:space="preserve">chofer </t>
  </si>
  <si>
    <t xml:space="preserve">gasolina </t>
  </si>
  <si>
    <t>casetas</t>
  </si>
  <si>
    <t>tepoz</t>
  </si>
  <si>
    <t xml:space="preserve">meseros </t>
  </si>
  <si>
    <t xml:space="preserve">alimentos </t>
  </si>
  <si>
    <t xml:space="preserve">IDEA </t>
  </si>
  <si>
    <t>tienditas</t>
  </si>
  <si>
    <t>marcas</t>
  </si>
  <si>
    <t xml:space="preserve">Alimentos </t>
  </si>
  <si>
    <t>Transporte</t>
  </si>
  <si>
    <t xml:space="preserve">Uber/Metro/Publico </t>
  </si>
  <si>
    <t xml:space="preserve">Cena </t>
  </si>
  <si>
    <t>18 Feb Banamex</t>
  </si>
  <si>
    <t xml:space="preserve">Cliente </t>
  </si>
  <si>
    <t xml:space="preserve">yadhir </t>
  </si>
  <si>
    <t xml:space="preserve">17 de marzo </t>
  </si>
  <si>
    <t xml:space="preserve"> 55 4071 4096</t>
  </si>
  <si>
    <t>55 3148 8259 / 55 1224 8997</t>
  </si>
  <si>
    <t>Miguel 1/2</t>
  </si>
  <si>
    <t>Miguel 2/2</t>
  </si>
  <si>
    <t xml:space="preserve">Paga TC </t>
  </si>
  <si>
    <t>55 2318 7204</t>
  </si>
  <si>
    <t>Modelo/Cliente</t>
  </si>
  <si>
    <t>Eduardo Torres Sepulveda</t>
  </si>
  <si>
    <t>xTwitter</t>
  </si>
  <si>
    <t>24 Feb Banamez</t>
  </si>
  <si>
    <t>81 1778 5965</t>
  </si>
  <si>
    <t>Fernando Esponosa Chavez</t>
  </si>
  <si>
    <t>55 4673 2</t>
  </si>
  <si>
    <t>55 8573 1883</t>
  </si>
  <si>
    <t>Reserva Feb</t>
  </si>
  <si>
    <t>55 4870 0571 pendi</t>
  </si>
  <si>
    <t>55 5101 1104</t>
  </si>
  <si>
    <t xml:space="preserve">26 Feb - Banamex </t>
  </si>
  <si>
    <t>Eduardo Hinojosa</t>
  </si>
  <si>
    <t>27 feb- Bancomer</t>
  </si>
  <si>
    <t>´@gruesa2</t>
  </si>
  <si>
    <t xml:space="preserve">Eduardo Andrade </t>
  </si>
  <si>
    <t xml:space="preserve"> 55 1336 0764</t>
  </si>
  <si>
    <t>Héctor Bonilla Sánchez</t>
  </si>
  <si>
    <t>José Alfredo Vallejo Ramos</t>
  </si>
  <si>
    <t xml:space="preserve">4 habitaciones </t>
  </si>
  <si>
    <t>2 habitaciones</t>
  </si>
  <si>
    <t>38 / 40 personas</t>
  </si>
  <si>
    <t>55 2072 8879</t>
  </si>
  <si>
    <t xml:space="preserve">10 habitaciones </t>
  </si>
  <si>
    <t>02 Marzo - Banamex</t>
  </si>
  <si>
    <t xml:space="preserve">Roberto Flores </t>
  </si>
  <si>
    <t>Jorge Mora</t>
  </si>
  <si>
    <t>55 4048 6997</t>
  </si>
  <si>
    <t>Twitter</t>
  </si>
  <si>
    <t xml:space="preserve">01 Marzo - Banamex </t>
  </si>
  <si>
    <t>Whatapp</t>
  </si>
  <si>
    <t>28 Febrero - Bancomer</t>
  </si>
  <si>
    <t>Cesar Flores Mendoza (@gruesa2)</t>
  </si>
  <si>
    <t>Edgar Adrián González Aguilar</t>
  </si>
  <si>
    <t>Recomendado</t>
  </si>
  <si>
    <t>1ra vez</t>
  </si>
  <si>
    <t>Eliazar Tinajero</t>
  </si>
  <si>
    <t>10 Marzo - Bancomer</t>
  </si>
  <si>
    <t xml:space="preserve">Recomendación </t>
  </si>
  <si>
    <t>Omar Vázquez Ríos</t>
  </si>
  <si>
    <t>08 marzo - Bancomer</t>
  </si>
  <si>
    <t>Gustavo Alonso Rodríguez Amaya.</t>
  </si>
  <si>
    <t>55 5502 0331</t>
  </si>
  <si>
    <t>Preguntar</t>
  </si>
  <si>
    <t xml:space="preserve">Yussel </t>
  </si>
  <si>
    <t>55 3911 3905</t>
  </si>
  <si>
    <t>55 8371 1961</t>
  </si>
  <si>
    <t>07 marzo - Banamex</t>
  </si>
  <si>
    <t>Modelo</t>
  </si>
  <si>
    <t xml:space="preserve">Modelo David </t>
  </si>
  <si>
    <t xml:space="preserve">inbursa </t>
  </si>
  <si>
    <t xml:space="preserve">santander </t>
  </si>
  <si>
    <t xml:space="preserve">luis bancomer </t>
  </si>
  <si>
    <t xml:space="preserve">luis banamex </t>
  </si>
  <si>
    <t xml:space="preserve">Ivan </t>
  </si>
  <si>
    <t xml:space="preserve">a azul </t>
  </si>
  <si>
    <t xml:space="preserve">te quedan </t>
  </si>
  <si>
    <t>Omar</t>
  </si>
  <si>
    <t>777 151 0669</t>
  </si>
  <si>
    <t>Antonio</t>
  </si>
  <si>
    <t>Santiago Olmos</t>
  </si>
  <si>
    <t>Bernardo Alvarado</t>
  </si>
  <si>
    <t>55 8233 7522</t>
  </si>
  <si>
    <t>14 marzo - Bancomer</t>
  </si>
  <si>
    <t>55 1482 5274</t>
  </si>
  <si>
    <t>14 Marzo - Banamex</t>
  </si>
  <si>
    <t>Ismael Alexander Pérez</t>
  </si>
  <si>
    <t>55 2764 4918</t>
  </si>
  <si>
    <t>Eduardo Sánchez</t>
  </si>
  <si>
    <t>13 Marzo - Banamex</t>
  </si>
  <si>
    <t>55 3445 1141</t>
  </si>
  <si>
    <t>Humberto Rodriguez</t>
  </si>
  <si>
    <t>55 4456 7043</t>
  </si>
  <si>
    <t>13 marzo - Bancomer</t>
  </si>
  <si>
    <t>Hector 1/2</t>
  </si>
  <si>
    <t>Hector 2/2</t>
  </si>
  <si>
    <t>Oscar Sanchez</t>
  </si>
  <si>
    <t xml:space="preserve"> 55 1814 7756</t>
  </si>
  <si>
    <t>55 4128 9589</t>
  </si>
  <si>
    <t>12 marzo - Bancomer</t>
  </si>
  <si>
    <t xml:space="preserve">Javier </t>
  </si>
  <si>
    <t>Raul</t>
  </si>
  <si>
    <t>55 3406 6084</t>
  </si>
  <si>
    <t xml:space="preserve">Said Arana </t>
  </si>
  <si>
    <t>55 2186 7554</t>
  </si>
  <si>
    <t>Julio Cesar Olmos Contreras</t>
  </si>
  <si>
    <t>06 marzo - Banamex</t>
  </si>
  <si>
    <t>Arturo Buendía</t>
  </si>
  <si>
    <t>55 6525 0413</t>
  </si>
  <si>
    <t>Banamex</t>
  </si>
  <si>
    <t xml:space="preserve">1ra vez </t>
  </si>
  <si>
    <t>14 marzo - Banamez</t>
  </si>
  <si>
    <t>55 1292 0831</t>
  </si>
  <si>
    <t xml:space="preserve">Victor Rodriguez </t>
  </si>
  <si>
    <t>Javier Osuna</t>
  </si>
  <si>
    <t>55 5462 0590</t>
  </si>
  <si>
    <t>13 marzo Banamex</t>
  </si>
  <si>
    <t>Dioscar 1/4</t>
  </si>
  <si>
    <t>Dioscar 2/4</t>
  </si>
  <si>
    <t>Dioscar 3/4</t>
  </si>
  <si>
    <t>Dioscar 4/4</t>
  </si>
  <si>
    <t>13 Marzo Bancomer</t>
  </si>
  <si>
    <t>Na</t>
  </si>
  <si>
    <t>55 4862 0880</t>
  </si>
  <si>
    <t>14 marzo Bancomer</t>
  </si>
  <si>
    <t xml:space="preserve">Pasajeros </t>
  </si>
  <si>
    <t>Carlos 2/3</t>
  </si>
  <si>
    <t>Carlos 1/3</t>
  </si>
  <si>
    <t xml:space="preserve">Israel </t>
  </si>
  <si>
    <t xml:space="preserve">Miguel </t>
  </si>
  <si>
    <t xml:space="preserve">Victor Manuel Acalos Gonzalez </t>
  </si>
  <si>
    <t>21 marzo - Bancomer</t>
  </si>
  <si>
    <t xml:space="preserve">Rafael Luna  Ivan </t>
  </si>
  <si>
    <t xml:space="preserve">Enrique </t>
  </si>
  <si>
    <t>Ruben Olvera 1/2</t>
  </si>
  <si>
    <t>Ruben Olvera 2/2</t>
  </si>
  <si>
    <t>55 3416 0654</t>
  </si>
  <si>
    <t>Everardo Muñoz Avalos</t>
  </si>
  <si>
    <t xml:space="preserve">Carlos Francisco Aquino  </t>
  </si>
  <si>
    <t>17 marzo  Banamex</t>
  </si>
  <si>
    <t>55 4026 3740</t>
  </si>
  <si>
    <t>Juan Carlos Mendoza</t>
  </si>
  <si>
    <t>Ok</t>
  </si>
  <si>
    <t>55 8810 6007</t>
  </si>
  <si>
    <t>Pablo Monterrubio</t>
  </si>
  <si>
    <t>Rafa</t>
  </si>
  <si>
    <t xml:space="preserve">Ese día </t>
  </si>
  <si>
    <t xml:space="preserve">Cesar Fragoso </t>
  </si>
  <si>
    <t>55 4888 9106</t>
  </si>
  <si>
    <t>Eduardo Ramirez</t>
  </si>
  <si>
    <t xml:space="preserve">55 6502 9907 </t>
  </si>
  <si>
    <t>Jose Alberto Dominguez Flores</t>
  </si>
  <si>
    <t xml:space="preserve">55 1299 0036 </t>
  </si>
  <si>
    <t>1ra Vez</t>
  </si>
  <si>
    <t>55 5863 7035</t>
  </si>
  <si>
    <t>Mario Ramirez</t>
  </si>
  <si>
    <t>55 3145 4394</t>
  </si>
  <si>
    <t>55 2759 4504</t>
  </si>
  <si>
    <t>Raul Andrade</t>
  </si>
  <si>
    <t>Alfredo</t>
  </si>
  <si>
    <t xml:space="preserve">55 5463 9699 </t>
  </si>
  <si>
    <t>Uriel Mateos Farfan</t>
  </si>
  <si>
    <t>662 181 1709</t>
  </si>
  <si>
    <t>Carlos Luna Yepez</t>
  </si>
  <si>
    <t>55 1224 8997</t>
  </si>
  <si>
    <t>Alberto 2/2</t>
  </si>
  <si>
    <t>Alberto  1/2</t>
  </si>
  <si>
    <t xml:space="preserve">Miguel Romero </t>
  </si>
  <si>
    <t xml:space="preserve">55 3916 2729 </t>
  </si>
  <si>
    <t xml:space="preserve">Daniel Corona Garcia </t>
  </si>
  <si>
    <t>55 4025 9403</t>
  </si>
  <si>
    <t>Eduardo Olivares</t>
  </si>
  <si>
    <t>29 Marzo Bacomer</t>
  </si>
  <si>
    <t>29 Mar PayPal</t>
  </si>
  <si>
    <t>27 MAr PayPal</t>
  </si>
  <si>
    <t>comida</t>
  </si>
  <si>
    <t>55 4640 8485</t>
  </si>
  <si>
    <t>Cesar</t>
  </si>
  <si>
    <t xml:space="preserve">Mario Ordoñes </t>
  </si>
  <si>
    <t xml:space="preserve">Genaro Ramirez </t>
  </si>
  <si>
    <t xml:space="preserve">55 5433 3636 </t>
  </si>
  <si>
    <t xml:space="preserve">Benjamin </t>
  </si>
  <si>
    <t xml:space="preserve">Alejandro </t>
  </si>
  <si>
    <t>´@alejand80470372</t>
  </si>
  <si>
    <t xml:space="preserve"> 55 1886 6106</t>
  </si>
  <si>
    <t>55 4806 9255</t>
  </si>
  <si>
    <t>Gonzalo A. Rodarte</t>
  </si>
  <si>
    <t>55 8104 5102</t>
  </si>
  <si>
    <t>1ra</t>
  </si>
  <si>
    <t xml:space="preserve">cliente </t>
  </si>
  <si>
    <t xml:space="preserve">recomendado </t>
  </si>
  <si>
    <t xml:space="preserve">Diego Serrano García </t>
  </si>
  <si>
    <t>Javier Mercado Juárez</t>
  </si>
  <si>
    <t>55 6065 4744</t>
  </si>
  <si>
    <t xml:space="preserve">Eder Mendez </t>
  </si>
  <si>
    <t xml:space="preserve">Jaubert </t>
  </si>
  <si>
    <t>55 3550 7831</t>
  </si>
  <si>
    <t xml:space="preserve">1ra / Cliente </t>
  </si>
  <si>
    <t>Josué Villavicencio</t>
  </si>
  <si>
    <t>Heriberto Ruiz</t>
  </si>
  <si>
    <t>55 4848 8719</t>
  </si>
  <si>
    <t>Primera Vez</t>
  </si>
  <si>
    <t xml:space="preserve">Transferencia Bancomer </t>
  </si>
  <si>
    <t>Viaje</t>
  </si>
  <si>
    <t>7 Abril Tolan</t>
  </si>
  <si>
    <t>21 Abril Tepoz</t>
  </si>
  <si>
    <t xml:space="preserve">5 Mayo Tepoz </t>
  </si>
  <si>
    <t>19 Mayo Tolan</t>
  </si>
  <si>
    <t>12 Mayo Aniver</t>
  </si>
  <si>
    <t xml:space="preserve">16 Junio Tepoz </t>
  </si>
  <si>
    <t xml:space="preserve">13 al 16 Julio Vallarta </t>
  </si>
  <si>
    <t xml:space="preserve">14 y 15 Abril  Tolan </t>
  </si>
  <si>
    <t xml:space="preserve">21 Julio Tepoz </t>
  </si>
  <si>
    <t xml:space="preserve">4 Agosto Tepoz </t>
  </si>
  <si>
    <t xml:space="preserve">1 Sep Tepoz </t>
  </si>
  <si>
    <t>14 al 17 Sep Aca</t>
  </si>
  <si>
    <t>6 al 9 Julio Aca</t>
  </si>
  <si>
    <t xml:space="preserve">3 Nov Tepoz </t>
  </si>
  <si>
    <t xml:space="preserve">8 Dic Tepoz </t>
  </si>
  <si>
    <t xml:space="preserve">Zipo </t>
  </si>
  <si>
    <t xml:space="preserve">Modelos 2019 </t>
  </si>
  <si>
    <t xml:space="preserve">Posada </t>
  </si>
  <si>
    <t xml:space="preserve">Evento Grupo </t>
  </si>
  <si>
    <t>Normal</t>
  </si>
  <si>
    <t>Corta 1</t>
  </si>
  <si>
    <t>Corta 2</t>
  </si>
  <si>
    <t>Pagos</t>
  </si>
  <si>
    <t>Video salida</t>
  </si>
  <si>
    <t>Invita 2</t>
  </si>
  <si>
    <t xml:space="preserve">Invita 1 </t>
  </si>
  <si>
    <t xml:space="preserve">ROSCA </t>
  </si>
  <si>
    <t>15 al 18 Feb Aca</t>
  </si>
  <si>
    <t>18 al 21 Abr Aca</t>
  </si>
  <si>
    <t xml:space="preserve">3 meses 5% </t>
  </si>
  <si>
    <t xml:space="preserve">6 meses 8% </t>
  </si>
  <si>
    <t xml:space="preserve">9meses al 11% </t>
  </si>
  <si>
    <t xml:space="preserve">12 meses al 13% </t>
  </si>
  <si>
    <t xml:space="preserve">En Twitter </t>
  </si>
  <si>
    <t>Evento FB</t>
  </si>
  <si>
    <t>4766 8700 0041 1290</t>
  </si>
  <si>
    <t xml:space="preserve">4152 3133 9523 9747 </t>
  </si>
  <si>
    <t>https://www.paypal.me/luisangelmaciel</t>
  </si>
  <si>
    <t xml:space="preserve">Tarjetas </t>
  </si>
  <si>
    <t xml:space="preserve">Información </t>
  </si>
  <si>
    <t xml:space="preserve">Aca, Vallarta, Tepoz </t>
  </si>
  <si>
    <t xml:space="preserve">Todos 2018 </t>
  </si>
  <si>
    <t xml:space="preserve">Listas de difusión Whatsapp </t>
  </si>
  <si>
    <t>Vida, ScotiaBankRewards, Up Si Vale, Ticket, Visa, MasterCard</t>
  </si>
  <si>
    <t>Invita 3</t>
  </si>
  <si>
    <t xml:space="preserve">Mario Zuñiga </t>
  </si>
  <si>
    <t>55 1800 6384</t>
  </si>
  <si>
    <t>Deposito Banamex</t>
  </si>
  <si>
    <t xml:space="preserve">Enrique Hidalgo/ </t>
  </si>
  <si>
    <t>Mauro Martínez</t>
  </si>
  <si>
    <t>55 3333 3352</t>
  </si>
  <si>
    <t xml:space="preserve">1ra Vez </t>
  </si>
  <si>
    <t xml:space="preserve">Recomendado </t>
  </si>
  <si>
    <t>u</t>
  </si>
  <si>
    <t xml:space="preserve">2 balcon </t>
  </si>
  <si>
    <t xml:space="preserve">4 balcon </t>
  </si>
  <si>
    <t xml:space="preserve">6 balcon </t>
  </si>
  <si>
    <t xml:space="preserve">Van </t>
  </si>
  <si>
    <t>Unitario Van</t>
  </si>
  <si>
    <t xml:space="preserve">Costo Unitario </t>
  </si>
  <si>
    <t>Precio venta</t>
  </si>
  <si>
    <t>Ganancia c/u</t>
  </si>
  <si>
    <t>Rogaciano Ruiz</t>
  </si>
  <si>
    <t>55 1832 9485</t>
  </si>
  <si>
    <t>Oscar Arita</t>
  </si>
  <si>
    <t>Cajero Bancomer</t>
  </si>
  <si>
    <t>Marco Garcia 1 de 2</t>
  </si>
  <si>
    <t>Marco Garcia 2 de 2</t>
  </si>
  <si>
    <t>Juan Jose 1/2</t>
  </si>
  <si>
    <t>Juan Jose 2/2</t>
  </si>
  <si>
    <t>55 3191 1635</t>
  </si>
  <si>
    <t xml:space="preserve">tipo </t>
  </si>
  <si>
    <t>Ruben Olvera 2 de 2</t>
  </si>
  <si>
    <t xml:space="preserve">Ruben Olvera 1 de 2 </t>
  </si>
  <si>
    <t xml:space="preserve">Kyrius </t>
  </si>
  <si>
    <t xml:space="preserve"> 55 1949 5643</t>
  </si>
  <si>
    <t>Jesus</t>
  </si>
  <si>
    <t>55 1538 4010</t>
  </si>
  <si>
    <t xml:space="preserve">Angel </t>
  </si>
  <si>
    <t>55 3583 2957</t>
  </si>
  <si>
    <t>Caja Banamex</t>
  </si>
  <si>
    <t>55 4930 2151</t>
  </si>
  <si>
    <t xml:space="preserve">Eder Rpodriguez Delgado </t>
  </si>
  <si>
    <t>Marco Garcia Vestidor</t>
  </si>
  <si>
    <t xml:space="preserve">se pasa para mayo </t>
  </si>
  <si>
    <t>devo</t>
  </si>
  <si>
    <t xml:space="preserve">Gustavo Nino </t>
  </si>
  <si>
    <t>Oxxo Banamex</t>
  </si>
  <si>
    <t>55 2137 0149</t>
  </si>
  <si>
    <t>Oxxo Bancomer</t>
  </si>
  <si>
    <t>55 6854 0851</t>
  </si>
  <si>
    <t xml:space="preserve">Francisco </t>
  </si>
  <si>
    <t xml:space="preserve">Gustavo </t>
  </si>
  <si>
    <t>55 7855 9579</t>
  </si>
  <si>
    <t>1ra vez Twitter</t>
  </si>
  <si>
    <t>´@arom_siul</t>
  </si>
  <si>
    <t>Jose Luis Mora</t>
  </si>
  <si>
    <t>Julio Cesar Guerrero</t>
  </si>
  <si>
    <t xml:space="preserve">Dario </t>
  </si>
  <si>
    <t>Staff</t>
  </si>
  <si>
    <t xml:space="preserve">Alfredo Jaen </t>
  </si>
  <si>
    <t>722 806 2366</t>
  </si>
  <si>
    <t xml:space="preserve"> 444 380 0397</t>
  </si>
  <si>
    <t>1ra vez twitter</t>
  </si>
  <si>
    <t xml:space="preserve">Nicolas Fraga Garcia </t>
  </si>
  <si>
    <t xml:space="preserve"> 55 1530 5033</t>
  </si>
  <si>
    <t>55 6977 3394</t>
  </si>
  <si>
    <t>base de datos</t>
  </si>
  <si>
    <t>transferencia Bancomer</t>
  </si>
  <si>
    <t>Sergio Saldaña</t>
  </si>
  <si>
    <t>55 3501 1643</t>
  </si>
  <si>
    <t>Israel Molina Perez</t>
  </si>
  <si>
    <t xml:space="preserve">Walter Fabian Mendoza Gonzalez </t>
  </si>
  <si>
    <t xml:space="preserve">Jesus Cruz </t>
  </si>
  <si>
    <t>55 7829 9903</t>
  </si>
  <si>
    <t>1ra vez BB</t>
  </si>
  <si>
    <t xml:space="preserve"> 55 3911 3905</t>
  </si>
  <si>
    <t>José Eduardo Rodriguez Gutiérrez</t>
  </si>
  <si>
    <t>55 3408 5343</t>
  </si>
  <si>
    <t>staff</t>
  </si>
  <si>
    <t xml:space="preserve">Ricardo romano Rodríguez </t>
  </si>
  <si>
    <t>Juan jair Contreras vargas</t>
  </si>
  <si>
    <t>241 178 8487</t>
  </si>
  <si>
    <t>José Garibay</t>
  </si>
  <si>
    <t xml:space="preserve">Oscar Najera </t>
  </si>
  <si>
    <t xml:space="preserve">Jose Garibay </t>
  </si>
  <si>
    <t>55 5252 1620</t>
  </si>
  <si>
    <t>Ricardo Neri</t>
  </si>
  <si>
    <t>Julio Domínguez</t>
  </si>
  <si>
    <t xml:space="preserve">Nahum Sosa Galindo </t>
  </si>
  <si>
    <t xml:space="preserve">Ruben Olvera </t>
  </si>
  <si>
    <t>55 8237 7007</t>
  </si>
  <si>
    <t>Jesús Armando Montoya</t>
  </si>
  <si>
    <t xml:space="preserve">Miguel Navarro </t>
  </si>
  <si>
    <t>55 6330 5114</t>
  </si>
  <si>
    <t>55 7461 9214</t>
  </si>
  <si>
    <t>Pablo Casiano Hernandez.</t>
  </si>
  <si>
    <t>55 3888 5167</t>
  </si>
  <si>
    <t>Cristobal Mendieta 2</t>
  </si>
  <si>
    <t>Cristobal Mendieta 1</t>
  </si>
  <si>
    <t>55 3331 6735</t>
  </si>
  <si>
    <t xml:space="preserve"> 222 116 0464</t>
  </si>
  <si>
    <t>Velazquez Alonso Noe</t>
  </si>
  <si>
    <t>De la cruz Domínguez Lauro</t>
  </si>
  <si>
    <t xml:space="preserve">Alejandro Cano </t>
  </si>
  <si>
    <t>55 1488 2512</t>
  </si>
  <si>
    <t>55 1020 0100</t>
  </si>
  <si>
    <t>Leonardo Fidel Terres Medina</t>
  </si>
  <si>
    <t xml:space="preserve">Fue a tepoz mayo </t>
  </si>
  <si>
    <t>55 1802 6613</t>
  </si>
  <si>
    <t xml:space="preserve">Moises 1 </t>
  </si>
  <si>
    <t>Moises 2</t>
  </si>
  <si>
    <t>Concurso</t>
  </si>
  <si>
    <t>tarde</t>
  </si>
  <si>
    <t>Luis Salazar</t>
  </si>
  <si>
    <t>Ricardo Barcenas Alvarez</t>
  </si>
  <si>
    <t>Hugo Carmona Baca</t>
  </si>
  <si>
    <t xml:space="preserve">Jacob Echeverria </t>
  </si>
  <si>
    <t>Emmanuel Veracruz</t>
  </si>
  <si>
    <t>55 3593 7411</t>
  </si>
  <si>
    <t>Diego Enrique</t>
  </si>
  <si>
    <t>771 123 4836</t>
  </si>
  <si>
    <t xml:space="preserve">Jose Luis Maldonado Morales </t>
  </si>
  <si>
    <t>Transferencia Banamex</t>
  </si>
  <si>
    <t>5 3399 8324</t>
  </si>
  <si>
    <t>55 4772 4288</t>
  </si>
  <si>
    <t>transferencia banamex</t>
  </si>
  <si>
    <t>Paredes Zamora Cuautemoc</t>
  </si>
  <si>
    <t>tranasferencia bancomer</t>
  </si>
  <si>
    <t>55 1293 9751</t>
  </si>
  <si>
    <t>Eduardo Juarez Vergara</t>
  </si>
  <si>
    <t>transferencia bancomer</t>
  </si>
  <si>
    <t xml:space="preserve">Eder </t>
  </si>
  <si>
    <t xml:space="preserve"> 55 6065 4744</t>
  </si>
  <si>
    <t>Jaubert</t>
  </si>
  <si>
    <t>Hilario</t>
  </si>
  <si>
    <t>55 3723 6184</t>
  </si>
  <si>
    <t>Jose Luis rojas Herndez</t>
  </si>
  <si>
    <t>55 1953 7418</t>
  </si>
  <si>
    <t>55 4210 8061</t>
  </si>
  <si>
    <t>Rodolfo</t>
  </si>
  <si>
    <t>Walter Fabian Mendoza</t>
  </si>
  <si>
    <t>WIN Fco Vlaz</t>
  </si>
  <si>
    <t>Cristobal Mendiete</t>
  </si>
  <si>
    <t xml:space="preserve">transferencia </t>
  </si>
  <si>
    <t>ver</t>
  </si>
  <si>
    <t xml:space="preserve">Victor 1 / e Isaral </t>
  </si>
  <si>
    <t>Geovanny</t>
  </si>
  <si>
    <t>EddPuntoCom</t>
  </si>
  <si>
    <t>no aplica</t>
  </si>
  <si>
    <t>ese día</t>
  </si>
  <si>
    <t xml:space="preserve">entramos </t>
  </si>
  <si>
    <t xml:space="preserve">pague </t>
  </si>
  <si>
    <t>bus</t>
  </si>
  <si>
    <t>efec</t>
  </si>
  <si>
    <t>banc</t>
  </si>
  <si>
    <t>Alberto Villaverde 1 de 1</t>
  </si>
  <si>
    <t>Alberto Villaverde 2 de 1</t>
  </si>
  <si>
    <t>Alberto Villaverde 3 de 1</t>
  </si>
  <si>
    <t xml:space="preserve">Cosme Roman Reyes </t>
  </si>
  <si>
    <t>Transferencia Bancomer</t>
  </si>
  <si>
    <t>55 6967 3823</t>
  </si>
  <si>
    <t xml:space="preserve">Chimal </t>
  </si>
  <si>
    <t>Emanuel Soriano</t>
  </si>
  <si>
    <t>55 1351 2562</t>
  </si>
  <si>
    <t>Manuel Díaz Fernández</t>
  </si>
  <si>
    <t>755 120 4983</t>
  </si>
  <si>
    <t>Omar Coria</t>
  </si>
  <si>
    <t>55 5434 6124</t>
  </si>
  <si>
    <t>55 7395 4808</t>
  </si>
  <si>
    <t xml:space="preserve">Santi </t>
  </si>
  <si>
    <t>55 4142 9389</t>
  </si>
  <si>
    <t>55 2220 9838</t>
  </si>
  <si>
    <t>Mario 1/ 2</t>
  </si>
  <si>
    <t>Mario 2/2</t>
  </si>
  <si>
    <t>55 2559 6941</t>
  </si>
  <si>
    <t xml:space="preserve">Gaston Monroy </t>
  </si>
  <si>
    <t>Miguel Angel Mata Barrera</t>
  </si>
  <si>
    <t>735 274 9706</t>
  </si>
  <si>
    <t>Jorge Eduardo Baza</t>
  </si>
  <si>
    <t>55 1390 4305</t>
  </si>
  <si>
    <t xml:space="preserve">Diego Serrano </t>
  </si>
  <si>
    <t>Rule</t>
  </si>
  <si>
    <t xml:space="preserve">55 5252 1620 </t>
  </si>
  <si>
    <t xml:space="preserve">Daniel Montoro @chaparrin </t>
  </si>
  <si>
    <t>Emanuel O. rodriguez</t>
  </si>
  <si>
    <t>55 1954 5</t>
  </si>
  <si>
    <t xml:space="preserve">Tomas </t>
  </si>
  <si>
    <t>Geraro Oliver</t>
  </si>
  <si>
    <t>777 563 9</t>
  </si>
  <si>
    <t>Roberto G. Mendoza</t>
  </si>
  <si>
    <t>55 5957 9810</t>
  </si>
  <si>
    <t>55 8568 4823</t>
  </si>
  <si>
    <t>PAGA ESE DIA</t>
  </si>
  <si>
    <t>55 2859 5976</t>
  </si>
  <si>
    <t xml:space="preserve">Arturo </t>
  </si>
  <si>
    <t>Alberto Garcia</t>
  </si>
  <si>
    <t>55 1081 1703</t>
  </si>
  <si>
    <t>55 3889 4129</t>
  </si>
  <si>
    <t xml:space="preserve">Armando Cano </t>
  </si>
  <si>
    <t xml:space="preserve"> 55 1092 8243</t>
  </si>
  <si>
    <t xml:space="preserve">Jesús Martínez Rodríguez </t>
  </si>
  <si>
    <t xml:space="preserve">Eduardo Padilla </t>
  </si>
  <si>
    <t>Jorge Izaguirre</t>
  </si>
  <si>
    <t>55 6176 9</t>
  </si>
  <si>
    <t>Ernesto Lopez</t>
  </si>
  <si>
    <t>722 164 9510</t>
  </si>
  <si>
    <t>Mao Aguilar</t>
  </si>
  <si>
    <t>55 4084 0894</t>
  </si>
  <si>
    <t xml:space="preserve">Gongora dos </t>
  </si>
  <si>
    <t>Gongora tres</t>
  </si>
  <si>
    <t>Gongora uno</t>
  </si>
  <si>
    <t xml:space="preserve">Van 16 </t>
  </si>
  <si>
    <t>Entradas</t>
  </si>
  <si>
    <t>Hotel 4</t>
  </si>
  <si>
    <t>Camping</t>
  </si>
  <si>
    <t>55 2212 1700</t>
  </si>
  <si>
    <t xml:space="preserve">Ricardo Ortega </t>
  </si>
  <si>
    <t xml:space="preserve">Eduardo Allende </t>
  </si>
  <si>
    <t>Roberto Noria Perez</t>
  </si>
  <si>
    <t>55 6934 3556</t>
  </si>
  <si>
    <t xml:space="preserve">Daniel Lopez uno </t>
  </si>
  <si>
    <t>Daniel Lopez dos</t>
  </si>
  <si>
    <t>55 7062 8291</t>
  </si>
  <si>
    <t>55 3032 1625</t>
  </si>
  <si>
    <t xml:space="preserve">Ulises rodriguez dos </t>
  </si>
  <si>
    <t>Ulises Rodriguez uno prs vgr</t>
  </si>
  <si>
    <t xml:space="preserve">Arturo Ayala </t>
  </si>
  <si>
    <t>Rodolfo Ramirez</t>
  </si>
  <si>
    <t>Miguel Arturo Aquino Castro</t>
  </si>
  <si>
    <t xml:space="preserve">55 2859 5976 </t>
  </si>
  <si>
    <t>l</t>
  </si>
  <si>
    <t>Fernando Salazar dos</t>
  </si>
  <si>
    <t>55 8559 2573</t>
  </si>
  <si>
    <t>Jose Garibay</t>
  </si>
  <si>
    <t>Cliente</t>
  </si>
  <si>
    <t>Hugo Carmona</t>
  </si>
  <si>
    <t>55 3399 8324</t>
  </si>
  <si>
    <t>55 4072 9829</t>
  </si>
  <si>
    <t xml:space="preserve">Promos </t>
  </si>
  <si>
    <t>1ra / Recomendado</t>
  </si>
  <si>
    <t xml:space="preserve">Aldo Rueda </t>
  </si>
  <si>
    <t>222 299 6234</t>
  </si>
  <si>
    <t xml:space="preserve">Gilberto Medica Castro </t>
  </si>
  <si>
    <t>55 8341 4941</t>
  </si>
  <si>
    <t>Jorge Luis Quezada Torres</t>
  </si>
  <si>
    <t>55 3484 2023</t>
  </si>
  <si>
    <t>Salvador Avilés</t>
  </si>
  <si>
    <t xml:space="preserve"> 55 4800 6759</t>
  </si>
  <si>
    <t>Carlos Martinez Pascuala</t>
  </si>
  <si>
    <t>55 4354 0761</t>
  </si>
  <si>
    <t xml:space="preserve">promo </t>
  </si>
  <si>
    <t>cliente</t>
  </si>
  <si>
    <t>55 3939 7402</t>
  </si>
  <si>
    <t>Oscar Alejandro Mendez Calixto</t>
  </si>
  <si>
    <t>55 7066 7876</t>
  </si>
  <si>
    <t>Hanck Cortez</t>
  </si>
  <si>
    <t>55 5409 9354</t>
  </si>
  <si>
    <t xml:space="preserve">Promo </t>
  </si>
  <si>
    <t xml:space="preserve">Ganancia $3610 </t>
  </si>
  <si>
    <t>Gastado $3900</t>
  </si>
  <si>
    <t>55 2909 0275</t>
  </si>
  <si>
    <t>Fray Pacheco</t>
  </si>
  <si>
    <t xml:space="preserve">Posible Ganancia </t>
  </si>
  <si>
    <t xml:space="preserve">Marcos Barragan </t>
  </si>
  <si>
    <t>55 2909 8135</t>
  </si>
  <si>
    <t xml:space="preserve"> 55 3408 5343</t>
  </si>
  <si>
    <t>Manuel Dos Doble_negativa</t>
  </si>
  <si>
    <t xml:space="preserve">Playa Michigan "playa de los pájaros" </t>
  </si>
  <si>
    <t>Victor Belmont</t>
  </si>
  <si>
    <t>Guillermo Valdez Huerta</t>
  </si>
  <si>
    <t>55 2853 4621</t>
  </si>
  <si>
    <t xml:space="preserve">Oscar Alberto </t>
  </si>
  <si>
    <t xml:space="preserve">Rodolfo Alavez Resendiz </t>
  </si>
  <si>
    <t>Miguel Romer0</t>
  </si>
  <si>
    <t>55 3916 2729</t>
  </si>
  <si>
    <t xml:space="preserve">Solo </t>
  </si>
  <si>
    <t>whatsapp</t>
  </si>
  <si>
    <t>Ricardo Garcia Perez</t>
  </si>
  <si>
    <t xml:space="preserve">Paga ese día </t>
  </si>
  <si>
    <t xml:space="preserve">Miguel Angel Moreno Alanis </t>
  </si>
  <si>
    <t>55 8222 7945</t>
  </si>
  <si>
    <t xml:space="preserve">Jair Medina </t>
  </si>
  <si>
    <t xml:space="preserve">Cesar Tolantongo uno </t>
  </si>
  <si>
    <t xml:space="preserve">Cesar Tolantongo dos </t>
  </si>
  <si>
    <t>Eduardo Bustos</t>
  </si>
  <si>
    <t xml:space="preserve">Whastapp </t>
  </si>
  <si>
    <t>Carlos Alberto Molina Gómez</t>
  </si>
  <si>
    <t xml:space="preserve"> 55 6302 3571</t>
  </si>
  <si>
    <t>868 101 224</t>
  </si>
  <si>
    <t xml:space="preserve">Luis Alfonso Rios </t>
  </si>
  <si>
    <t xml:space="preserve">pendiente </t>
  </si>
  <si>
    <t>55 4569 0988</t>
  </si>
  <si>
    <t>Alonso  Velazquez</t>
  </si>
  <si>
    <t>Whatsapp</t>
  </si>
  <si>
    <t>whastapp</t>
  </si>
  <si>
    <t xml:space="preserve">Paga ese dia </t>
  </si>
  <si>
    <t xml:space="preserve">Whatsapp </t>
  </si>
  <si>
    <t>whatapp</t>
  </si>
  <si>
    <t>Ernie Chinco Acacio</t>
  </si>
  <si>
    <t xml:space="preserve">Espacio </t>
  </si>
  <si>
    <t>Botella</t>
  </si>
  <si>
    <t>mexico oaxaca</t>
  </si>
  <si>
    <t xml:space="preserve">oaxaca pochutla </t>
  </si>
  <si>
    <t>pochutla oaxaca</t>
  </si>
  <si>
    <t xml:space="preserve">oaxaca mexico </t>
  </si>
  <si>
    <t xml:space="preserve">Cesar Aguilera </t>
  </si>
  <si>
    <t>Crisanto Oropeza</t>
  </si>
  <si>
    <t>775 114 2005</t>
  </si>
  <si>
    <t xml:space="preserve">Jesus Garcia </t>
  </si>
  <si>
    <t>55 1960 5436</t>
  </si>
  <si>
    <t xml:space="preserve">Alan Fernando Vargas </t>
  </si>
  <si>
    <t>Jesús Eduardo Ortiz Maldonado</t>
  </si>
  <si>
    <t>55 8738 4260</t>
  </si>
  <si>
    <t xml:space="preserve">paga ese dia </t>
  </si>
  <si>
    <t>662 480 0663</t>
  </si>
  <si>
    <t xml:space="preserve">Uriel Mateos Farfan </t>
  </si>
  <si>
    <t>Gustavo Alejandro Saldaña Mendoza</t>
  </si>
  <si>
    <t>Gustavo Alejandro Saldaña Mendoz</t>
  </si>
  <si>
    <t>55 4870 0571</t>
  </si>
  <si>
    <t>55 3043 4886</t>
  </si>
  <si>
    <t xml:space="preserve">Israel Cruz Juárez </t>
  </si>
  <si>
    <t>55 1901 5802</t>
  </si>
  <si>
    <t xml:space="preserve">Quiere </t>
  </si>
  <si>
    <t>55 4870 2376</t>
  </si>
  <si>
    <t xml:space="preserve">Rodolfo Alavez </t>
  </si>
  <si>
    <t>55 1871 6117</t>
  </si>
  <si>
    <t>Christian Luna</t>
  </si>
  <si>
    <t>55 6809 0783</t>
  </si>
  <si>
    <t>55 4135 4354</t>
  </si>
  <si>
    <t>Jesus Garcia Valencia</t>
  </si>
  <si>
    <t>Jesus Castillo Fraga</t>
  </si>
  <si>
    <t xml:space="preserve">Visitar Bucerias </t>
  </si>
  <si>
    <t>Oscar Najera</t>
  </si>
  <si>
    <t>55 3268 7595</t>
  </si>
  <si>
    <t>55 4637 6002</t>
  </si>
  <si>
    <t>Jorge Castillo</t>
  </si>
  <si>
    <t>55 4389 5853</t>
  </si>
  <si>
    <t xml:space="preserve">Ocasión anterior </t>
  </si>
  <si>
    <t xml:space="preserve">Hector Arregin </t>
  </si>
  <si>
    <t xml:space="preserve">55 3979 3727 </t>
  </si>
  <si>
    <t xml:space="preserve">Staff </t>
  </si>
  <si>
    <t xml:space="preserve"> 55 7877 8071</t>
  </si>
  <si>
    <t xml:space="preserve">Miguel Guarneros </t>
  </si>
  <si>
    <t>Armando Gerónimo 700</t>
  </si>
  <si>
    <t>55 3345 6038</t>
  </si>
  <si>
    <t xml:space="preserve">juntos </t>
  </si>
  <si>
    <t xml:space="preserve">solos </t>
  </si>
  <si>
    <t>primera vez</t>
  </si>
  <si>
    <t>55 6784 2168</t>
  </si>
  <si>
    <t xml:space="preserve">Jose Alberto </t>
  </si>
  <si>
    <t xml:space="preserve">Erick Molina Xicohtécantl </t>
  </si>
  <si>
    <t>55 1874 5624</t>
  </si>
  <si>
    <t xml:space="preserve">Luis Alberto Ávila Montes </t>
  </si>
  <si>
    <t>Rafael Villarreal Salazar</t>
  </si>
  <si>
    <t>Alberto Medina Dar 4680</t>
  </si>
  <si>
    <t>FLT</t>
  </si>
  <si>
    <t xml:space="preserve">Acapulco Julio 2018 </t>
  </si>
  <si>
    <t>Jovanny Belmont Dar 2220</t>
  </si>
  <si>
    <t xml:space="preserve">Ivan de Juan Carlos </t>
  </si>
  <si>
    <t>Carlos Ulises Flores Camarillo 8</t>
  </si>
  <si>
    <t>Noe Arreola 8</t>
  </si>
  <si>
    <t>Eulalio Morales 8</t>
  </si>
  <si>
    <t>Abrham Gallegos Paez 8</t>
  </si>
  <si>
    <t>Dario Hernandez LL</t>
  </si>
  <si>
    <t>Miguel Cruz LL</t>
  </si>
  <si>
    <t>Misael Gonzalez LL</t>
  </si>
  <si>
    <t>221 266 3577</t>
  </si>
  <si>
    <t>55 7377 1200</t>
  </si>
  <si>
    <t xml:space="preserve">Julian Andres </t>
  </si>
  <si>
    <t>55 3999 2537</t>
  </si>
  <si>
    <t xml:space="preserve">Alejandro E. </t>
  </si>
  <si>
    <t xml:space="preserve">Nicolas  E. </t>
  </si>
  <si>
    <t xml:space="preserve">Omar Modelo E. </t>
  </si>
  <si>
    <t>55 3878 5484</t>
  </si>
  <si>
    <t>55 3410 1012</t>
  </si>
  <si>
    <t xml:space="preserve">Arturo 350 </t>
  </si>
  <si>
    <t xml:space="preserve">Ramon Salgado </t>
  </si>
  <si>
    <t>Jose Suarez</t>
  </si>
  <si>
    <t>55 4460 4040</t>
  </si>
  <si>
    <t>Primera vez</t>
  </si>
  <si>
    <t>55 2561 0898</t>
  </si>
  <si>
    <t xml:space="preserve">Antonio Santana </t>
  </si>
  <si>
    <t>55 4502 2484</t>
  </si>
  <si>
    <t xml:space="preserve">Flores </t>
  </si>
  <si>
    <t>Rene Garcia</t>
  </si>
  <si>
    <t>55 1696 1613</t>
  </si>
  <si>
    <t xml:space="preserve"> 55 6903 4127</t>
  </si>
  <si>
    <t>Juan Carlos Banda 2</t>
  </si>
  <si>
    <t>Juan Carlos Banda 1  1050</t>
  </si>
  <si>
    <t>Erick Nieves</t>
  </si>
  <si>
    <t>Antonio Tolentino</t>
  </si>
  <si>
    <t>775 167 6918</t>
  </si>
  <si>
    <t>55 2186 3295</t>
  </si>
  <si>
    <t xml:space="preserve"> Juan francisco Carbajal Oliver</t>
  </si>
  <si>
    <t>Manuel Uno Doble_negativa*</t>
  </si>
  <si>
    <t>55 1155 2858</t>
  </si>
  <si>
    <t>Daniel Flores</t>
  </si>
  <si>
    <t>55 3497 1624</t>
  </si>
  <si>
    <t>Jesús García Martínez</t>
  </si>
  <si>
    <t xml:space="preserve"> 55 3939 7402</t>
  </si>
  <si>
    <t>José Rafael Barrios Martínez</t>
  </si>
  <si>
    <t>Fernando González Ruiz</t>
  </si>
  <si>
    <t>55 1950 2030</t>
  </si>
  <si>
    <t xml:space="preserve">Amezcua y Zan </t>
  </si>
  <si>
    <t xml:space="preserve"> 55 2671 2599</t>
  </si>
  <si>
    <t xml:space="preserve">Beto </t>
  </si>
  <si>
    <t>Eduardo Juarez</t>
  </si>
  <si>
    <t>Ivan Orduña Lopez</t>
  </si>
  <si>
    <t>55 5700 1</t>
  </si>
  <si>
    <t>55 6323 0148</t>
  </si>
  <si>
    <t>Fernando Salazar uno * Drag</t>
  </si>
  <si>
    <t>Jan Moran</t>
  </si>
  <si>
    <t xml:space="preserve"> 55 4033 0053</t>
  </si>
  <si>
    <t>32 / 40 personas</t>
  </si>
  <si>
    <t>Gilberto 1</t>
  </si>
  <si>
    <t>Gilberto 2</t>
  </si>
  <si>
    <t>Gilberto 3</t>
  </si>
  <si>
    <t>271 185 8235</t>
  </si>
  <si>
    <t>Rastas</t>
  </si>
  <si>
    <t>aaguilon</t>
  </si>
  <si>
    <t xml:space="preserve">Tolantongo julio 2018 </t>
  </si>
  <si>
    <t>Enrique Correa</t>
  </si>
  <si>
    <t xml:space="preserve"> 55 2755 4206</t>
  </si>
  <si>
    <t xml:space="preserve">Ricardo </t>
  </si>
  <si>
    <t>na</t>
  </si>
  <si>
    <t xml:space="preserve">primera vez </t>
  </si>
  <si>
    <t>55 5967 4331</t>
  </si>
  <si>
    <t>Carlos Hernandez dos</t>
  </si>
  <si>
    <t>55 1597 2031</t>
  </si>
  <si>
    <t xml:space="preserve">Carlos Alberto Ruiz Méndez dos </t>
  </si>
  <si>
    <t>Carlos Alberto Ruiz Méndez tres</t>
  </si>
  <si>
    <t>Carlos Hernandez uno  575</t>
  </si>
  <si>
    <t>Adrian Gonzalez</t>
  </si>
  <si>
    <t xml:space="preserve">Antonio Aguilon </t>
  </si>
  <si>
    <t>Alberto faltaba 900</t>
  </si>
  <si>
    <t>55 3954 6148</t>
  </si>
  <si>
    <t>Gustavo Caballero Santamaria</t>
  </si>
  <si>
    <t>55 3907 9400 / 55 1864 9318</t>
  </si>
  <si>
    <t>55 6179 9657</t>
  </si>
  <si>
    <t>55 2862 8065</t>
  </si>
  <si>
    <t xml:space="preserve">Belisario uno </t>
  </si>
  <si>
    <t xml:space="preserve">Belisario dos </t>
  </si>
  <si>
    <t>55 2339 6126</t>
  </si>
  <si>
    <t>Gonzalo Rodriquez 825</t>
  </si>
  <si>
    <t>Israel Cortes</t>
  </si>
  <si>
    <t xml:space="preserve">Benito Martinez </t>
  </si>
  <si>
    <t>Díaz cruz Josep Dani</t>
  </si>
  <si>
    <t>Humberto Osorio Sánchez</t>
  </si>
  <si>
    <t>Manuel Sánchez Pérez</t>
  </si>
  <si>
    <t>55 1927 3761</t>
  </si>
  <si>
    <t>55 6415 3153</t>
  </si>
  <si>
    <t xml:space="preserve">Richi Amaro </t>
  </si>
  <si>
    <t xml:space="preserve">Alejandro Mendoza </t>
  </si>
  <si>
    <t>55 2067 0979</t>
  </si>
  <si>
    <t>55 1948 9219</t>
  </si>
  <si>
    <t>Oscar</t>
  </si>
  <si>
    <t>55 3332 6674</t>
  </si>
  <si>
    <t xml:space="preserve"> 55 1701 6197</t>
  </si>
  <si>
    <t>Carlos Alberto Torres</t>
  </si>
  <si>
    <t>Adrián Guillermo Cifriano</t>
  </si>
  <si>
    <t>Diego Alberto García Gonzalez</t>
  </si>
  <si>
    <t>55 3937 6169</t>
  </si>
  <si>
    <t>Jose Francisco Cureño Diaz</t>
  </si>
  <si>
    <t xml:space="preserve">Joel Garcia Solis </t>
  </si>
  <si>
    <t>229 174 2414</t>
  </si>
  <si>
    <t>Manuel Torralba</t>
  </si>
  <si>
    <t>55 6787 3524</t>
  </si>
  <si>
    <t>55 4070 7786</t>
  </si>
  <si>
    <t>Roberto Cedillo uno  900</t>
  </si>
  <si>
    <t xml:space="preserve">Roberto Cedillo dos </t>
  </si>
  <si>
    <t>Roberto Cedillo tres</t>
  </si>
  <si>
    <t xml:space="preserve">Aquino Castro Miguel Alberto </t>
  </si>
  <si>
    <t>55 4507 7004</t>
  </si>
  <si>
    <t xml:space="preserve">Oscar Luna </t>
  </si>
  <si>
    <t xml:space="preserve">Erick Varsena </t>
  </si>
  <si>
    <t xml:space="preserve">Gabriel Arteaga </t>
  </si>
  <si>
    <t>771 143 9191</t>
  </si>
  <si>
    <t>Paris</t>
  </si>
  <si>
    <t>Juan Flores</t>
  </si>
  <si>
    <t>Saul / Oswaldo</t>
  </si>
  <si>
    <t>55 7828 7292</t>
  </si>
  <si>
    <t>Carlos Alberto Ruiz Méndez uno 600</t>
  </si>
  <si>
    <t xml:space="preserve">Alejandro Zamudio </t>
  </si>
  <si>
    <t>55 6962 9764</t>
  </si>
  <si>
    <t>55 4228 1955</t>
  </si>
  <si>
    <t xml:space="preserve">Isra </t>
  </si>
  <si>
    <t>Daniel Jimenez</t>
  </si>
  <si>
    <t xml:space="preserve">Agustin </t>
  </si>
  <si>
    <t>Maki</t>
  </si>
  <si>
    <t>55 3731 0520</t>
  </si>
  <si>
    <t>Vicente Ayala Granados</t>
  </si>
  <si>
    <t>Marcos Mondragón Méndez</t>
  </si>
  <si>
    <t>791 111 0998</t>
  </si>
  <si>
    <t>55 3253 1832</t>
  </si>
  <si>
    <t>José Alberto Hernandez Ramirez</t>
  </si>
  <si>
    <t>Tarjeta</t>
  </si>
  <si>
    <t>55 4635 6000</t>
  </si>
  <si>
    <t xml:space="preserve">Humberto Niño </t>
  </si>
  <si>
    <t>55 3957 7114</t>
  </si>
  <si>
    <t xml:space="preserve">Adrian </t>
  </si>
  <si>
    <t xml:space="preserve">Enrique Correa </t>
  </si>
  <si>
    <t>55 1803 4513</t>
  </si>
  <si>
    <t>55 1201 0261</t>
  </si>
  <si>
    <t xml:space="preserve">José Ángel Rodríguez Cabrera </t>
  </si>
  <si>
    <t>55 1227 2565</t>
  </si>
  <si>
    <t>Rafael Juárez</t>
  </si>
  <si>
    <t>Alejandro Mota Hernandez</t>
  </si>
  <si>
    <t xml:space="preserve">Daniel Yabran </t>
  </si>
  <si>
    <t>Alex</t>
  </si>
  <si>
    <t>Ricardo Barragan Ramirez</t>
  </si>
  <si>
    <t>55 4511 0258</t>
  </si>
  <si>
    <t>Dario Rodriguez</t>
  </si>
  <si>
    <t>55 1511 7433</t>
  </si>
  <si>
    <t>55 4487 9068</t>
  </si>
  <si>
    <t xml:space="preserve">Ricardo Barcenas </t>
  </si>
  <si>
    <t xml:space="preserve">Eduardo Moran </t>
  </si>
  <si>
    <t xml:space="preserve">Manuel Torralba 1 de 2 </t>
  </si>
  <si>
    <t>Manuel Torralba 2 de 2</t>
  </si>
  <si>
    <t xml:space="preserve">Jose Francisco Cureño Diaz </t>
  </si>
  <si>
    <t>229 0174 2414</t>
  </si>
  <si>
    <t>722 670 9993</t>
  </si>
  <si>
    <t>Jabob Echeverria</t>
  </si>
  <si>
    <t>Juan Carlos Banda</t>
  </si>
  <si>
    <t>55 4048 1547</t>
  </si>
  <si>
    <t xml:space="preserve">Hugo BB </t>
  </si>
  <si>
    <t>Manuel Gutierrez Del Villar</t>
  </si>
  <si>
    <t xml:space="preserve">55 2189 4823 </t>
  </si>
  <si>
    <t>Jose Antonio Cruz Sámchez</t>
  </si>
  <si>
    <t>55 7784 1506</t>
  </si>
  <si>
    <t xml:space="preserve">Jose Juan Hernandez Torres </t>
  </si>
  <si>
    <t xml:space="preserve">Alvaro Guarnera </t>
  </si>
  <si>
    <t>Heriberto Tianguistento Miranda</t>
  </si>
  <si>
    <t>222 815 3327</t>
  </si>
  <si>
    <t>Pablo Paredes</t>
  </si>
  <si>
    <t xml:space="preserve"> 614 305 0974</t>
  </si>
  <si>
    <t>55 1477 6337</t>
  </si>
  <si>
    <t>55 4091 6127</t>
  </si>
  <si>
    <t xml:space="preserve">Manuel </t>
  </si>
  <si>
    <t>55 1144 5753</t>
  </si>
  <si>
    <t>55 5054 0012</t>
  </si>
  <si>
    <t xml:space="preserve">Eduardo Ehecatl Rodriguez García </t>
  </si>
  <si>
    <t xml:space="preserve">Moises Alanis </t>
  </si>
  <si>
    <t>Hassim Roberto Lopez</t>
  </si>
  <si>
    <t>55 6477 0619</t>
  </si>
  <si>
    <t>Gustavo Gtz</t>
  </si>
  <si>
    <t>55 8004 2657</t>
  </si>
  <si>
    <t xml:space="preserve">Joel García Solis </t>
  </si>
  <si>
    <t>Jaair</t>
  </si>
  <si>
    <t>55 4077 4612</t>
  </si>
  <si>
    <t>Emilio</t>
  </si>
  <si>
    <t>55 4373 5098</t>
  </si>
  <si>
    <t xml:space="preserve">$1100 saldo </t>
  </si>
  <si>
    <t>Javier Barron</t>
  </si>
  <si>
    <t>Santana Mozon</t>
  </si>
  <si>
    <t>55 5406 5387</t>
  </si>
  <si>
    <t>David Gonzalez Hiparquia</t>
  </si>
  <si>
    <t>55 1808 1142</t>
  </si>
  <si>
    <t>David Contreras Morales</t>
  </si>
  <si>
    <t>Alejandro Magdaleno Reyes</t>
  </si>
  <si>
    <t>Jorge luis lopez bravo</t>
  </si>
  <si>
    <t>Nahum Degyves</t>
  </si>
  <si>
    <t xml:space="preserve">Ganador Underwar </t>
  </si>
  <si>
    <t>pochutla - zipo</t>
  </si>
  <si>
    <t xml:space="preserve">zipo - pochutla </t>
  </si>
  <si>
    <t>35 mil van  de 17</t>
  </si>
  <si>
    <t xml:space="preserve">Gabriel Rivera Cruz </t>
  </si>
  <si>
    <t xml:space="preserve">Oscar Hernandez Leon </t>
  </si>
  <si>
    <t>55 1063 1143</t>
  </si>
  <si>
    <t xml:space="preserve">Arturo Villa </t>
  </si>
  <si>
    <t>55 1644 3183</t>
  </si>
  <si>
    <t>55 6904 3674</t>
  </si>
  <si>
    <t>Tres</t>
  </si>
  <si>
    <t>ok</t>
  </si>
  <si>
    <t>55 1233 6452 / 55 7466 7185</t>
  </si>
  <si>
    <t>55 58415 8488</t>
  </si>
  <si>
    <t>no</t>
  </si>
  <si>
    <t xml:space="preserve">Victor </t>
  </si>
  <si>
    <t>55 8534 7462</t>
  </si>
  <si>
    <t>55 3043 2285</t>
  </si>
  <si>
    <t xml:space="preserve">Jaair Pacheco </t>
  </si>
  <si>
    <t xml:space="preserve">ok </t>
  </si>
  <si>
    <t xml:space="preserve">Miguel Angel Romero </t>
  </si>
  <si>
    <t>Cesar Gonzalez</t>
  </si>
  <si>
    <t>55 7735 7442</t>
  </si>
  <si>
    <t>55 1803 3308</t>
  </si>
  <si>
    <t>Juan Jair Contreras vargas</t>
  </si>
  <si>
    <t xml:space="preserve">Armando Josie Talavera Colin </t>
  </si>
  <si>
    <t>55 4843 91</t>
  </si>
  <si>
    <t>Moises Ekeazar Juarez Hernandez</t>
  </si>
  <si>
    <t>Alejandro Velazquez Suarez</t>
  </si>
  <si>
    <t>Ivan abogado 2 de 2</t>
  </si>
  <si>
    <t xml:space="preserve">Ivan abogado 1 de 2 - 650 </t>
  </si>
  <si>
    <t>Sencilla</t>
  </si>
  <si>
    <t>Luis Angel Macie</t>
  </si>
  <si>
    <t xml:space="preserve">Jose Garibay 1 de 2 </t>
  </si>
  <si>
    <t xml:space="preserve">Jose Garibay 2 de 2 </t>
  </si>
  <si>
    <t>Rodolfo Quiroz</t>
  </si>
  <si>
    <t>55 6675 68</t>
  </si>
  <si>
    <t>55 4495 8831</t>
  </si>
  <si>
    <t>Victor Mendoza</t>
  </si>
  <si>
    <t xml:space="preserve">Beto Esteban </t>
  </si>
  <si>
    <t xml:space="preserve">Ricardo Valerio Mondragon </t>
  </si>
  <si>
    <t>55 1693 2261</t>
  </si>
  <si>
    <t xml:space="preserve">Ricardo Elizaldi </t>
  </si>
  <si>
    <t>55 4963 1847</t>
  </si>
  <si>
    <t>55 4355 6289</t>
  </si>
  <si>
    <t>Osvaldo Camacho Perez</t>
  </si>
  <si>
    <t xml:space="preserve">Aguilar Reyes Christian </t>
  </si>
  <si>
    <t>55 1647 5343</t>
  </si>
  <si>
    <t>55 2708 3547</t>
  </si>
  <si>
    <t>55 4593 7883</t>
  </si>
  <si>
    <t>55 6450 2266</t>
  </si>
  <si>
    <t>55 2930 3230</t>
  </si>
  <si>
    <t xml:space="preserve">Jorge </t>
  </si>
  <si>
    <t>Isaac</t>
  </si>
  <si>
    <t>Fernando Ortiz @Fernny_orty</t>
  </si>
  <si>
    <t>Cesar Lara</t>
  </si>
  <si>
    <t>55 6818 3377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</si>
  <si>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</si>
  <si>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</si>
  <si>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</si>
  <si>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</si>
  <si>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</si>
  <si>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</si>
  <si>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</si>
  <si>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</si>
  <si>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</si>
  <si>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</si>
  <si>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</si>
  <si>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</si>
  <si>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Base</t>
  </si>
  <si>
    <t>Fecha</t>
  </si>
  <si>
    <t>Mensaje</t>
  </si>
  <si>
    <t>Viajes en grupo para hombres gay: Sab 27 y Dom 28 de octubre, viaje a Las Grutas de Tolantongo por $1450 / Sab 3 Nov, a Tepozspa por $575 * FB</t>
  </si>
  <si>
    <t>Hora</t>
  </si>
  <si>
    <t>8:15pm a 9:45pm</t>
  </si>
  <si>
    <t>55 3716 0421</t>
  </si>
  <si>
    <t>Jose Salvador Palacios Campera</t>
  </si>
  <si>
    <t>55 4555 1785</t>
  </si>
  <si>
    <t>Alberto Villegas</t>
  </si>
  <si>
    <t xml:space="preserve">Santarder </t>
  </si>
  <si>
    <t>dev</t>
  </si>
  <si>
    <t>664 628 5039</t>
  </si>
  <si>
    <t>Octavio Contreras</t>
  </si>
  <si>
    <t>Fortunato Sanchez Garcia</t>
  </si>
  <si>
    <t xml:space="preserve">Fortunato San </t>
  </si>
  <si>
    <t>55 7844 4</t>
  </si>
  <si>
    <t>Mau</t>
  </si>
  <si>
    <t xml:space="preserve">Rafael </t>
  </si>
  <si>
    <t xml:space="preserve">Rafael 2 </t>
  </si>
  <si>
    <t>55 3731 0</t>
  </si>
  <si>
    <t>55 8614 3602</t>
  </si>
  <si>
    <t>Yuyo</t>
  </si>
  <si>
    <t>Ramon Salgado Baena</t>
  </si>
  <si>
    <t>55 2572 5138</t>
  </si>
  <si>
    <t>Boby</t>
  </si>
  <si>
    <t xml:space="preserve">Andres 1 de 2 </t>
  </si>
  <si>
    <t>Andres 2 de 2</t>
  </si>
  <si>
    <t>Jose Garibay 3</t>
  </si>
  <si>
    <t xml:space="preserve">Descuento </t>
  </si>
  <si>
    <t>235 106 0805</t>
  </si>
  <si>
    <t>Andres Moreno</t>
  </si>
  <si>
    <t>Alan Mejia $800</t>
  </si>
  <si>
    <t xml:space="preserve">Edgar de la cruz Barragan </t>
  </si>
  <si>
    <t>55 3999 0018</t>
  </si>
  <si>
    <t>Carlos Humberto Pineda Torres</t>
  </si>
  <si>
    <t>55 3954 8768</t>
  </si>
  <si>
    <t xml:space="preserve">Roy </t>
  </si>
  <si>
    <t>55 3961 8080</t>
  </si>
  <si>
    <t>dos lugares</t>
  </si>
  <si>
    <t>Ivan de Banda 1150</t>
  </si>
  <si>
    <t>Salvador Velazquez</t>
  </si>
  <si>
    <t>Eduardo Sponda</t>
  </si>
  <si>
    <t xml:space="preserve">Marco Peregrino </t>
  </si>
  <si>
    <t xml:space="preserve">Jorge Monroy </t>
  </si>
  <si>
    <t>55 6080 7380</t>
  </si>
  <si>
    <t xml:space="preserve">Jorge Ayala </t>
  </si>
  <si>
    <t xml:space="preserve">Angelo Arango </t>
  </si>
  <si>
    <t>(336) 303-2634</t>
  </si>
  <si>
    <t>Julian Anaya</t>
  </si>
  <si>
    <t>55 4450 4622</t>
  </si>
  <si>
    <t>Cano</t>
  </si>
  <si>
    <t>984 132 7256</t>
  </si>
  <si>
    <t xml:space="preserve">Carlos Leon </t>
  </si>
  <si>
    <t xml:space="preserve">Adán de los Arrieta </t>
  </si>
  <si>
    <t xml:space="preserve">Alfredo </t>
  </si>
  <si>
    <t>Gongora 1</t>
  </si>
  <si>
    <t xml:space="preserve">Gongora 2 </t>
  </si>
  <si>
    <t>Ver</t>
  </si>
  <si>
    <t>33 2227 9725</t>
  </si>
  <si>
    <t xml:space="preserve">Gabriel Alberto Leal </t>
  </si>
  <si>
    <t>55 3402 7635</t>
  </si>
  <si>
    <t>Juan Hernandez</t>
  </si>
  <si>
    <t>55 1396 2485</t>
  </si>
  <si>
    <t xml:space="preserve">Yahir </t>
  </si>
  <si>
    <t>Hugo</t>
  </si>
  <si>
    <t>55 6630 4539</t>
  </si>
  <si>
    <t xml:space="preserve">Alan 1 de 2 </t>
  </si>
  <si>
    <t xml:space="preserve">febrero </t>
  </si>
  <si>
    <t>Alan 2 de 2</t>
  </si>
  <si>
    <t xml:space="preserve">Rule </t>
  </si>
  <si>
    <t>Alf</t>
  </si>
  <si>
    <t>56 11093681</t>
  </si>
  <si>
    <t>Ramon Salgado</t>
  </si>
  <si>
    <t>Jorge Navarro Acosta</t>
  </si>
  <si>
    <t xml:space="preserve">Omar Maldonado </t>
  </si>
  <si>
    <t>Omar Maldonado  2</t>
  </si>
  <si>
    <t>55 78 44 4</t>
  </si>
  <si>
    <t>55 6681 5476</t>
  </si>
  <si>
    <t>Jonathan Perez</t>
  </si>
  <si>
    <t xml:space="preserve">Hector Saldivar </t>
  </si>
  <si>
    <t xml:space="preserve">Marquez Cruz Carlos </t>
  </si>
  <si>
    <t>55 6609 2</t>
  </si>
  <si>
    <t>Juan Carlos Miranda</t>
  </si>
  <si>
    <t xml:space="preserve">Vicente </t>
  </si>
  <si>
    <t xml:space="preserve">Vicente 2 </t>
  </si>
  <si>
    <t xml:space="preserve">Moy Alanis </t>
  </si>
  <si>
    <t>Enrique Aladino Flores</t>
  </si>
  <si>
    <t>Manuel Gavia Mendoza</t>
  </si>
  <si>
    <t>55 7473 6</t>
  </si>
  <si>
    <t>N a</t>
  </si>
  <si>
    <t>Enriquito</t>
  </si>
  <si>
    <t xml:space="preserve">falta pagar </t>
  </si>
  <si>
    <t xml:space="preserve">pagado </t>
  </si>
  <si>
    <t>Juan Evodio Hidalgo Rodriguez</t>
  </si>
  <si>
    <t>dos</t>
  </si>
  <si>
    <t>g2</t>
  </si>
  <si>
    <t xml:space="preserve">logo </t>
  </si>
  <si>
    <t xml:space="preserve">triptico </t>
  </si>
  <si>
    <t>tarjetas</t>
  </si>
  <si>
    <t>impre tarje</t>
  </si>
  <si>
    <t>Zipolite</t>
  </si>
  <si>
    <t>Eli Padilla</t>
  </si>
  <si>
    <t xml:space="preserve">Dulces </t>
  </si>
</sst>
</file>

<file path=xl/styles.xml><?xml version="1.0" encoding="utf-8"?>
<styleSheet xmlns="http://schemas.openxmlformats.org/spreadsheetml/2006/main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[$$-80A]* #,##0.00_-;\-[$$-80A]* #,##0.00_-;_-[$$-80A]* &quot;-&quot;??_-;_-@_-"/>
    <numFmt numFmtId="166" formatCode="_-* #,##0.00\ &quot;€&quot;_-;\-* #,##0.00\ &quot;€&quot;_-;_-* &quot;-&quot;??\ &quot;€&quot;_-;_-@_-"/>
    <numFmt numFmtId="167" formatCode="_-&quot;$&quot;* #,##0_-;\-&quot;$&quot;* #,##0_-;_-&quot;$&quot;* &quot;-&quot;??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name val="Calibri"/>
      <family val="2"/>
      <scheme val="minor"/>
    </font>
    <font>
      <sz val="15"/>
      <color rgb="FF636572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1"/>
      <scheme val="minor"/>
    </font>
    <font>
      <sz val="10"/>
      <name val="Arial"/>
      <family val="2"/>
    </font>
    <font>
      <sz val="11"/>
      <color theme="1"/>
      <name val="Agency FB"/>
      <family val="2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sz val="11"/>
      <color rgb="FF333333"/>
      <name val="Arial"/>
      <family val="2"/>
    </font>
    <font>
      <u/>
      <sz val="10"/>
      <color theme="10"/>
      <name val="Calibri"/>
      <family val="2"/>
    </font>
    <font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/>
      <right style="thin">
        <color theme="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3"/>
      </top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166" fontId="20" fillId="0" borderId="0" applyFont="0" applyFill="0" applyBorder="0" applyAlignment="0" applyProtection="0"/>
    <xf numFmtId="0" fontId="21" fillId="17" borderId="0" applyNumberFormat="0" applyBorder="0" applyAlignment="0" applyProtection="0"/>
    <xf numFmtId="0" fontId="22" fillId="15" borderId="42" applyNumberFormat="0" applyAlignment="0" applyProtection="0"/>
    <xf numFmtId="0" fontId="23" fillId="16" borderId="42" applyNumberFormat="0" applyAlignment="0" applyProtection="0"/>
  </cellStyleXfs>
  <cellXfs count="665">
    <xf numFmtId="0" fontId="0" fillId="0" borderId="0" xfId="0"/>
    <xf numFmtId="0" fontId="2" fillId="0" borderId="1" xfId="0" applyFont="1" applyBorder="1"/>
    <xf numFmtId="0" fontId="2" fillId="0" borderId="0" xfId="0" applyFont="1"/>
    <xf numFmtId="9" fontId="2" fillId="0" borderId="0" xfId="0" applyNumberFormat="1" applyFont="1"/>
    <xf numFmtId="44" fontId="4" fillId="0" borderId="0" xfId="1" applyFont="1"/>
    <xf numFmtId="0" fontId="5" fillId="0" borderId="0" xfId="0" applyFont="1"/>
    <xf numFmtId="44" fontId="2" fillId="0" borderId="0" xfId="0" applyNumberFormat="1" applyFont="1"/>
    <xf numFmtId="44" fontId="3" fillId="0" borderId="1" xfId="1" applyFont="1" applyBorder="1"/>
    <xf numFmtId="0" fontId="0" fillId="0" borderId="1" xfId="0" applyBorder="1"/>
    <xf numFmtId="0" fontId="6" fillId="0" borderId="1" xfId="0" applyFont="1" applyFill="1" applyBorder="1"/>
    <xf numFmtId="44" fontId="6" fillId="0" borderId="1" xfId="1" applyFont="1" applyFill="1" applyBorder="1"/>
    <xf numFmtId="0" fontId="7" fillId="0" borderId="1" xfId="0" applyFont="1" applyFill="1" applyBorder="1"/>
    <xf numFmtId="44" fontId="7" fillId="0" borderId="1" xfId="1" applyFont="1" applyFill="1" applyBorder="1"/>
    <xf numFmtId="0" fontId="3" fillId="0" borderId="1" xfId="0" applyFont="1" applyBorder="1"/>
    <xf numFmtId="0" fontId="6" fillId="2" borderId="1" xfId="0" applyFont="1" applyFill="1" applyBorder="1"/>
    <xf numFmtId="44" fontId="6" fillId="2" borderId="1" xfId="1" applyFont="1" applyFill="1" applyBorder="1"/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1" xfId="0" applyFont="1" applyBorder="1"/>
    <xf numFmtId="0" fontId="2" fillId="0" borderId="0" xfId="0" applyFont="1" applyAlignment="1">
      <alignment horizontal="center"/>
    </xf>
    <xf numFmtId="22" fontId="2" fillId="0" borderId="0" xfId="0" applyNumberFormat="1" applyFont="1"/>
    <xf numFmtId="0" fontId="8" fillId="2" borderId="1" xfId="0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3" fillId="0" borderId="0" xfId="0" applyFont="1"/>
    <xf numFmtId="0" fontId="3" fillId="0" borderId="3" xfId="0" applyFont="1" applyBorder="1" applyAlignment="1">
      <alignment horizontal="right"/>
    </xf>
    <xf numFmtId="0" fontId="2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44" fontId="3" fillId="0" borderId="0" xfId="1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44" fontId="3" fillId="0" borderId="0" xfId="0" applyNumberFormat="1" applyFont="1" applyAlignment="1">
      <alignment horizontal="center" vertical="center"/>
    </xf>
    <xf numFmtId="44" fontId="0" fillId="0" borderId="0" xfId="1" applyFont="1"/>
    <xf numFmtId="44" fontId="2" fillId="0" borderId="1" xfId="1" applyFont="1" applyFill="1" applyBorder="1"/>
    <xf numFmtId="0" fontId="12" fillId="0" borderId="1" xfId="0" applyFont="1" applyFill="1" applyBorder="1"/>
    <xf numFmtId="0" fontId="12" fillId="0" borderId="1" xfId="0" applyFont="1" applyBorder="1"/>
    <xf numFmtId="44" fontId="2" fillId="0" borderId="1" xfId="1" applyFont="1" applyBorder="1"/>
    <xf numFmtId="0" fontId="3" fillId="0" borderId="0" xfId="0" applyFont="1" applyBorder="1" applyAlignment="1">
      <alignment horizontal="right"/>
    </xf>
    <xf numFmtId="0" fontId="6" fillId="0" borderId="0" xfId="0" applyFont="1" applyFill="1" applyBorder="1"/>
    <xf numFmtId="44" fontId="6" fillId="0" borderId="0" xfId="1" applyFont="1" applyFill="1" applyBorder="1"/>
    <xf numFmtId="44" fontId="2" fillId="0" borderId="0" xfId="1" applyFont="1" applyBorder="1"/>
    <xf numFmtId="44" fontId="2" fillId="0" borderId="0" xfId="1" applyFont="1" applyFill="1" applyBorder="1"/>
    <xf numFmtId="0" fontId="2" fillId="0" borderId="0" xfId="0" applyFont="1" applyFill="1" applyBorder="1"/>
    <xf numFmtId="0" fontId="13" fillId="0" borderId="1" xfId="0" applyFont="1" applyFill="1" applyBorder="1"/>
    <xf numFmtId="44" fontId="13" fillId="0" borderId="1" xfId="1" applyFont="1" applyFill="1" applyBorder="1"/>
    <xf numFmtId="44" fontId="13" fillId="0" borderId="0" xfId="0" applyNumberFormat="1" applyFon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44" fontId="2" fillId="0" borderId="0" xfId="1" applyFont="1"/>
    <xf numFmtId="0" fontId="2" fillId="0" borderId="3" xfId="0" applyFont="1" applyBorder="1"/>
    <xf numFmtId="44" fontId="2" fillId="0" borderId="11" xfId="1" applyFont="1" applyBorder="1"/>
    <xf numFmtId="44" fontId="3" fillId="0" borderId="1" xfId="1" applyFont="1" applyFill="1" applyBorder="1"/>
    <xf numFmtId="0" fontId="3" fillId="0" borderId="3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44" fontId="2" fillId="0" borderId="1" xfId="0" applyNumberFormat="1" applyFont="1" applyBorder="1"/>
    <xf numFmtId="44" fontId="15" fillId="0" borderId="1" xfId="1" applyFont="1" applyBorder="1"/>
    <xf numFmtId="44" fontId="0" fillId="0" borderId="0" xfId="0" applyNumberFormat="1"/>
    <xf numFmtId="44" fontId="0" fillId="0" borderId="1" xfId="1" applyFont="1" applyBorder="1"/>
    <xf numFmtId="44" fontId="0" fillId="0" borderId="1" xfId="0" applyNumberFormat="1" applyBorder="1"/>
    <xf numFmtId="44" fontId="0" fillId="0" borderId="13" xfId="1" applyFont="1" applyBorder="1"/>
    <xf numFmtId="44" fontId="9" fillId="0" borderId="12" xfId="1" applyFont="1" applyBorder="1"/>
    <xf numFmtId="0" fontId="9" fillId="0" borderId="1" xfId="0" applyFont="1" applyBorder="1"/>
    <xf numFmtId="43" fontId="0" fillId="0" borderId="0" xfId="3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44" fontId="0" fillId="0" borderId="1" xfId="1" quotePrefix="1" applyFont="1" applyBorder="1"/>
    <xf numFmtId="16" fontId="0" fillId="0" borderId="0" xfId="0" applyNumberFormat="1"/>
    <xf numFmtId="165" fontId="0" fillId="0" borderId="0" xfId="0" applyNumberFormat="1"/>
    <xf numFmtId="8" fontId="16" fillId="0" borderId="0" xfId="0" applyNumberFormat="1" applyFont="1"/>
    <xf numFmtId="44" fontId="17" fillId="6" borderId="0" xfId="0" applyNumberFormat="1" applyFont="1" applyFill="1"/>
    <xf numFmtId="0" fontId="0" fillId="0" borderId="0" xfId="0" applyFill="1"/>
    <xf numFmtId="165" fontId="0" fillId="0" borderId="0" xfId="0" applyNumberFormat="1" applyFill="1"/>
    <xf numFmtId="44" fontId="0" fillId="0" borderId="0" xfId="0" applyNumberFormat="1" applyFill="1"/>
    <xf numFmtId="0" fontId="0" fillId="4" borderId="1" xfId="0" applyFill="1" applyBorder="1"/>
    <xf numFmtId="44" fontId="0" fillId="4" borderId="1" xfId="1" applyFont="1" applyFill="1" applyBorder="1"/>
    <xf numFmtId="0" fontId="0" fillId="5" borderId="1" xfId="0" applyFill="1" applyBorder="1"/>
    <xf numFmtId="44" fontId="0" fillId="5" borderId="1" xfId="1" applyFont="1" applyFill="1" applyBorder="1"/>
    <xf numFmtId="0" fontId="0" fillId="4" borderId="1" xfId="1" applyNumberFormat="1" applyFont="1" applyFill="1" applyBorder="1"/>
    <xf numFmtId="0" fontId="0" fillId="4" borderId="1" xfId="0" applyNumberFormat="1" applyFill="1" applyBorder="1"/>
    <xf numFmtId="0" fontId="0" fillId="8" borderId="1" xfId="1" applyNumberFormat="1" applyFont="1" applyFill="1" applyBorder="1"/>
    <xf numFmtId="0" fontId="0" fillId="8" borderId="1" xfId="0" applyFill="1" applyBorder="1"/>
    <xf numFmtId="44" fontId="0" fillId="8" borderId="1" xfId="1" applyFont="1" applyFill="1" applyBorder="1"/>
    <xf numFmtId="0" fontId="0" fillId="8" borderId="1" xfId="0" applyNumberFormat="1" applyFill="1" applyBorder="1"/>
    <xf numFmtId="0" fontId="0" fillId="5" borderId="1" xfId="1" applyNumberFormat="1" applyFont="1" applyFill="1" applyBorder="1"/>
    <xf numFmtId="0" fontId="0" fillId="5" borderId="1" xfId="0" applyNumberFormat="1" applyFill="1" applyBorder="1"/>
    <xf numFmtId="0" fontId="0" fillId="9" borderId="1" xfId="1" applyNumberFormat="1" applyFont="1" applyFill="1" applyBorder="1"/>
    <xf numFmtId="0" fontId="0" fillId="9" borderId="1" xfId="0" applyFill="1" applyBorder="1"/>
    <xf numFmtId="44" fontId="0" fillId="9" borderId="1" xfId="1" applyFont="1" applyFill="1" applyBorder="1"/>
    <xf numFmtId="0" fontId="0" fillId="9" borderId="1" xfId="0" applyNumberFormat="1" applyFill="1" applyBorder="1"/>
    <xf numFmtId="0" fontId="0" fillId="10" borderId="1" xfId="0" applyFill="1" applyBorder="1"/>
    <xf numFmtId="44" fontId="0" fillId="10" borderId="1" xfId="1" applyFont="1" applyFill="1" applyBorder="1"/>
    <xf numFmtId="0" fontId="0" fillId="10" borderId="1" xfId="0" applyNumberFormat="1" applyFill="1" applyBorder="1"/>
    <xf numFmtId="0" fontId="9" fillId="0" borderId="1" xfId="0" applyFont="1" applyBorder="1" applyAlignment="1">
      <alignment horizontal="center"/>
    </xf>
    <xf numFmtId="0" fontId="0" fillId="0" borderId="0" xfId="0" applyFill="1" applyBorder="1"/>
    <xf numFmtId="44" fontId="0" fillId="0" borderId="0" xfId="0" applyNumberFormat="1" applyFill="1" applyBorder="1"/>
    <xf numFmtId="44" fontId="0" fillId="0" borderId="17" xfId="1" applyFont="1" applyFill="1" applyBorder="1"/>
    <xf numFmtId="0" fontId="0" fillId="0" borderId="18" xfId="0" applyFill="1" applyBorder="1"/>
    <xf numFmtId="0" fontId="0" fillId="0" borderId="19" xfId="0" applyBorder="1"/>
    <xf numFmtId="44" fontId="0" fillId="0" borderId="20" xfId="0" applyNumberFormat="1" applyBorder="1"/>
    <xf numFmtId="0" fontId="0" fillId="3" borderId="21" xfId="0" applyFill="1" applyBorder="1"/>
    <xf numFmtId="0" fontId="0" fillId="3" borderId="24" xfId="0" applyFill="1" applyBorder="1"/>
    <xf numFmtId="44" fontId="0" fillId="3" borderId="24" xfId="0" applyNumberFormat="1" applyFill="1" applyBorder="1"/>
    <xf numFmtId="0" fontId="0" fillId="11" borderId="1" xfId="1" applyNumberFormat="1" applyFont="1" applyFill="1" applyBorder="1"/>
    <xf numFmtId="0" fontId="0" fillId="11" borderId="1" xfId="0" applyFill="1" applyBorder="1"/>
    <xf numFmtId="44" fontId="0" fillId="11" borderId="1" xfId="1" applyFont="1" applyFill="1" applyBorder="1"/>
    <xf numFmtId="0" fontId="0" fillId="11" borderId="1" xfId="0" applyNumberFormat="1" applyFill="1" applyBorder="1"/>
    <xf numFmtId="0" fontId="0" fillId="7" borderId="1" xfId="1" applyNumberFormat="1" applyFont="1" applyFill="1" applyBorder="1"/>
    <xf numFmtId="0" fontId="0" fillId="7" borderId="1" xfId="0" applyFill="1" applyBorder="1"/>
    <xf numFmtId="44" fontId="0" fillId="7" borderId="1" xfId="1" applyFont="1" applyFill="1" applyBorder="1"/>
    <xf numFmtId="0" fontId="0" fillId="7" borderId="1" xfId="0" applyNumberFormat="1" applyFill="1" applyBorder="1"/>
    <xf numFmtId="0" fontId="17" fillId="0" borderId="0" xfId="0" applyFont="1" applyFill="1"/>
    <xf numFmtId="44" fontId="0" fillId="0" borderId="3" xfId="0" applyNumberFormat="1" applyBorder="1"/>
    <xf numFmtId="0" fontId="0" fillId="3" borderId="28" xfId="0" applyFill="1" applyBorder="1"/>
    <xf numFmtId="0" fontId="0" fillId="3" borderId="22" xfId="0" applyFill="1" applyBorder="1"/>
    <xf numFmtId="0" fontId="17" fillId="6" borderId="17" xfId="0" applyFont="1" applyFill="1" applyBorder="1" applyAlignment="1">
      <alignment horizontal="center"/>
    </xf>
    <xf numFmtId="0" fontId="17" fillId="6" borderId="23" xfId="0" applyFont="1" applyFill="1" applyBorder="1" applyAlignment="1">
      <alignment horizontal="center"/>
    </xf>
    <xf numFmtId="0" fontId="17" fillId="6" borderId="27" xfId="0" applyFont="1" applyFill="1" applyBorder="1" applyAlignment="1">
      <alignment horizontal="center"/>
    </xf>
    <xf numFmtId="0" fontId="17" fillId="6" borderId="18" xfId="0" applyFont="1" applyFill="1" applyBorder="1" applyAlignment="1">
      <alignment horizontal="center"/>
    </xf>
    <xf numFmtId="44" fontId="0" fillId="0" borderId="29" xfId="1" applyFont="1" applyBorder="1"/>
    <xf numFmtId="0" fontId="0" fillId="0" borderId="30" xfId="0" applyBorder="1"/>
    <xf numFmtId="44" fontId="1" fillId="0" borderId="1" xfId="1" applyFont="1" applyBorder="1"/>
    <xf numFmtId="44" fontId="0" fillId="0" borderId="1" xfId="0" applyNumberFormat="1" applyFont="1" applyBorder="1"/>
    <xf numFmtId="0" fontId="6" fillId="0" borderId="31" xfId="0" applyFont="1" applyFill="1" applyBorder="1"/>
    <xf numFmtId="0" fontId="0" fillId="0" borderId="0" xfId="0" applyAlignment="1">
      <alignment vertical="center"/>
    </xf>
    <xf numFmtId="16" fontId="0" fillId="0" borderId="1" xfId="0" applyNumberFormat="1" applyBorder="1"/>
    <xf numFmtId="4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" fontId="0" fillId="0" borderId="1" xfId="0" applyNumberFormat="1" applyBorder="1" applyAlignment="1">
      <alignment horizontal="left"/>
    </xf>
    <xf numFmtId="0" fontId="0" fillId="0" borderId="9" xfId="0" applyBorder="1"/>
    <xf numFmtId="0" fontId="0" fillId="0" borderId="34" xfId="0" applyBorder="1"/>
    <xf numFmtId="44" fontId="0" fillId="0" borderId="0" xfId="0" applyNumberFormat="1" applyBorder="1"/>
    <xf numFmtId="44" fontId="0" fillId="0" borderId="0" xfId="1" applyFont="1" applyBorder="1"/>
    <xf numFmtId="44" fontId="0" fillId="0" borderId="8" xfId="0" applyNumberFormat="1" applyBorder="1"/>
    <xf numFmtId="44" fontId="0" fillId="0" borderId="37" xfId="0" applyNumberFormat="1" applyBorder="1"/>
    <xf numFmtId="44" fontId="2" fillId="0" borderId="40" xfId="1" applyFont="1" applyBorder="1"/>
    <xf numFmtId="44" fontId="2" fillId="0" borderId="33" xfId="1" applyFont="1" applyBorder="1"/>
    <xf numFmtId="44" fontId="9" fillId="0" borderId="32" xfId="1" applyFont="1" applyBorder="1"/>
    <xf numFmtId="0" fontId="9" fillId="0" borderId="36" xfId="0" applyFont="1" applyBorder="1"/>
    <xf numFmtId="10" fontId="0" fillId="0" borderId="0" xfId="4" applyNumberFormat="1" applyFont="1"/>
    <xf numFmtId="44" fontId="0" fillId="0" borderId="0" xfId="1" applyFont="1" applyFill="1"/>
    <xf numFmtId="44" fontId="9" fillId="0" borderId="34" xfId="1" applyFont="1" applyBorder="1"/>
    <xf numFmtId="17" fontId="9" fillId="0" borderId="36" xfId="1" applyNumberFormat="1" applyFont="1" applyBorder="1"/>
    <xf numFmtId="44" fontId="0" fillId="0" borderId="35" xfId="1" applyFont="1" applyBorder="1"/>
    <xf numFmtId="44" fontId="0" fillId="0" borderId="37" xfId="1" applyFont="1" applyBorder="1"/>
    <xf numFmtId="44" fontId="0" fillId="0" borderId="41" xfId="1" applyFont="1" applyBorder="1"/>
    <xf numFmtId="0" fontId="0" fillId="0" borderId="36" xfId="0" applyBorder="1"/>
    <xf numFmtId="44" fontId="0" fillId="0" borderId="33" xfId="1" applyFont="1" applyBorder="1"/>
    <xf numFmtId="44" fontId="0" fillId="0" borderId="32" xfId="1" applyFont="1" applyBorder="1"/>
    <xf numFmtId="44" fontId="0" fillId="0" borderId="6" xfId="1" applyFont="1" applyBorder="1"/>
    <xf numFmtId="44" fontId="0" fillId="0" borderId="12" xfId="1" applyFont="1" applyBorder="1"/>
    <xf numFmtId="44" fontId="9" fillId="0" borderId="5" xfId="1" applyFont="1" applyBorder="1"/>
    <xf numFmtId="0" fontId="9" fillId="14" borderId="1" xfId="0" applyFont="1" applyFill="1" applyBorder="1"/>
    <xf numFmtId="44" fontId="9" fillId="14" borderId="1" xfId="1" applyFont="1" applyFill="1" applyBorder="1"/>
    <xf numFmtId="44" fontId="9" fillId="14" borderId="1" xfId="0" applyNumberFormat="1" applyFont="1" applyFill="1" applyBorder="1"/>
    <xf numFmtId="0" fontId="9" fillId="0" borderId="1" xfId="0" applyFont="1" applyBorder="1" applyAlignment="1">
      <alignment horizontal="center" vertical="center"/>
    </xf>
    <xf numFmtId="44" fontId="9" fillId="0" borderId="1" xfId="1" applyFont="1" applyBorder="1" applyAlignment="1">
      <alignment horizontal="center" vertical="center"/>
    </xf>
    <xf numFmtId="44" fontId="9" fillId="13" borderId="5" xfId="1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9" fillId="13" borderId="12" xfId="0" applyFont="1" applyFill="1" applyBorder="1" applyAlignment="1">
      <alignment horizontal="center"/>
    </xf>
    <xf numFmtId="0" fontId="15" fillId="0" borderId="1" xfId="0" applyFont="1" applyFill="1" applyBorder="1"/>
    <xf numFmtId="44" fontId="0" fillId="0" borderId="31" xfId="0" applyNumberFormat="1" applyFill="1" applyBorder="1"/>
    <xf numFmtId="0" fontId="9" fillId="0" borderId="0" xfId="0" applyFont="1"/>
    <xf numFmtId="44" fontId="9" fillId="0" borderId="0" xfId="1" applyFont="1"/>
    <xf numFmtId="44" fontId="0" fillId="3" borderId="1" xfId="1" applyFont="1" applyFill="1" applyBorder="1"/>
    <xf numFmtId="4" fontId="0" fillId="0" borderId="0" xfId="0" applyNumberFormat="1"/>
    <xf numFmtId="44" fontId="0" fillId="0" borderId="1" xfId="1" applyFont="1" applyFill="1" applyBorder="1"/>
    <xf numFmtId="44" fontId="0" fillId="0" borderId="1" xfId="0" applyNumberFormat="1" applyFill="1" applyBorder="1"/>
    <xf numFmtId="14" fontId="0" fillId="0" borderId="0" xfId="0" applyNumberFormat="1"/>
    <xf numFmtId="0" fontId="0" fillId="0" borderId="31" xfId="0" applyFill="1" applyBorder="1"/>
    <xf numFmtId="0" fontId="0" fillId="0" borderId="0" xfId="0" applyBorder="1"/>
    <xf numFmtId="44" fontId="0" fillId="0" borderId="19" xfId="1" applyFont="1" applyBorder="1"/>
    <xf numFmtId="0" fontId="0" fillId="0" borderId="20" xfId="0" applyBorder="1"/>
    <xf numFmtId="44" fontId="0" fillId="0" borderId="21" xfId="1" applyFont="1" applyBorder="1"/>
    <xf numFmtId="0" fontId="0" fillId="0" borderId="22" xfId="0" applyBorder="1"/>
    <xf numFmtId="0" fontId="17" fillId="6" borderId="43" xfId="0" applyFont="1" applyFill="1" applyBorder="1" applyAlignment="1">
      <alignment horizontal="center"/>
    </xf>
    <xf numFmtId="0" fontId="0" fillId="3" borderId="1" xfId="0" applyFill="1" applyBorder="1"/>
    <xf numFmtId="0" fontId="0" fillId="0" borderId="8" xfId="0" applyBorder="1"/>
    <xf numFmtId="0" fontId="0" fillId="0" borderId="10" xfId="0" applyBorder="1"/>
    <xf numFmtId="0" fontId="0" fillId="0" borderId="35" xfId="0" applyBorder="1"/>
    <xf numFmtId="0" fontId="0" fillId="0" borderId="34" xfId="0" applyFill="1" applyBorder="1"/>
    <xf numFmtId="0" fontId="0" fillId="0" borderId="35" xfId="0" applyFill="1" applyBorder="1"/>
    <xf numFmtId="0" fontId="0" fillId="0" borderId="37" xfId="0" applyBorder="1"/>
    <xf numFmtId="0" fontId="0" fillId="0" borderId="41" xfId="0" applyBorder="1"/>
    <xf numFmtId="0" fontId="0" fillId="0" borderId="0" xfId="0" applyAlignment="1">
      <alignment horizontal="right"/>
    </xf>
    <xf numFmtId="0" fontId="0" fillId="3" borderId="29" xfId="0" applyFill="1" applyBorder="1"/>
    <xf numFmtId="0" fontId="0" fillId="3" borderId="13" xfId="0" applyFill="1" applyBorder="1"/>
    <xf numFmtId="44" fontId="0" fillId="3" borderId="13" xfId="1" applyFont="1" applyFill="1" applyBorder="1"/>
    <xf numFmtId="44" fontId="0" fillId="3" borderId="38" xfId="0" applyNumberFormat="1" applyFill="1" applyBorder="1"/>
    <xf numFmtId="0" fontId="0" fillId="4" borderId="29" xfId="0" applyFill="1" applyBorder="1"/>
    <xf numFmtId="0" fontId="0" fillId="4" borderId="13" xfId="0" applyFill="1" applyBorder="1"/>
    <xf numFmtId="44" fontId="0" fillId="4" borderId="13" xfId="1" applyFont="1" applyFill="1" applyBorder="1"/>
    <xf numFmtId="44" fontId="0" fillId="4" borderId="38" xfId="0" applyNumberFormat="1" applyFill="1" applyBorder="1"/>
    <xf numFmtId="0" fontId="0" fillId="4" borderId="19" xfId="0" applyFill="1" applyBorder="1"/>
    <xf numFmtId="44" fontId="0" fillId="4" borderId="3" xfId="0" applyNumberFormat="1" applyFill="1" applyBorder="1"/>
    <xf numFmtId="0" fontId="0" fillId="3" borderId="19" xfId="0" applyFill="1" applyBorder="1"/>
    <xf numFmtId="44" fontId="0" fillId="3" borderId="3" xfId="0" applyNumberFormat="1" applyFill="1" applyBorder="1"/>
    <xf numFmtId="44" fontId="0" fillId="4" borderId="1" xfId="0" applyNumberFormat="1" applyFill="1" applyBorder="1"/>
    <xf numFmtId="0" fontId="0" fillId="18" borderId="1" xfId="0" applyFill="1" applyBorder="1"/>
    <xf numFmtId="44" fontId="0" fillId="18" borderId="1" xfId="0" applyNumberFormat="1" applyFill="1" applyBorder="1"/>
    <xf numFmtId="44" fontId="0" fillId="18" borderId="1" xfId="1" applyFont="1" applyFill="1" applyBorder="1"/>
    <xf numFmtId="0" fontId="0" fillId="0" borderId="1" xfId="0" applyFill="1" applyBorder="1"/>
    <xf numFmtId="0" fontId="0" fillId="0" borderId="1" xfId="1" applyNumberFormat="1" applyFont="1" applyFill="1" applyBorder="1"/>
    <xf numFmtId="0" fontId="0" fillId="3" borderId="19" xfId="0" applyFont="1" applyFill="1" applyBorder="1"/>
    <xf numFmtId="0" fontId="0" fillId="3" borderId="1" xfId="0" applyFont="1" applyFill="1" applyBorder="1"/>
    <xf numFmtId="44" fontId="9" fillId="3" borderId="3" xfId="0" applyNumberFormat="1" applyFont="1" applyFill="1" applyBorder="1"/>
    <xf numFmtId="44" fontId="9" fillId="4" borderId="3" xfId="0" applyNumberFormat="1" applyFont="1" applyFill="1" applyBorder="1"/>
    <xf numFmtId="44" fontId="9" fillId="3" borderId="38" xfId="0" applyNumberFormat="1" applyFont="1" applyFill="1" applyBorder="1"/>
    <xf numFmtId="44" fontId="0" fillId="0" borderId="0" xfId="1" applyFont="1" applyFill="1" applyBorder="1"/>
    <xf numFmtId="165" fontId="0" fillId="0" borderId="0" xfId="0" applyNumberFormat="1" applyFill="1" applyBorder="1"/>
    <xf numFmtId="0" fontId="17" fillId="0" borderId="0" xfId="0" applyFont="1" applyFill="1" applyBorder="1" applyAlignment="1">
      <alignment horizontal="center"/>
    </xf>
    <xf numFmtId="44" fontId="9" fillId="0" borderId="0" xfId="1" applyFont="1" applyFill="1" applyBorder="1" applyAlignment="1">
      <alignment horizontal="center" vertical="center"/>
    </xf>
    <xf numFmtId="44" fontId="17" fillId="0" borderId="0" xfId="0" applyNumberFormat="1" applyFont="1" applyFill="1" applyBorder="1"/>
    <xf numFmtId="44" fontId="0" fillId="4" borderId="20" xfId="1" applyFont="1" applyFill="1" applyBorder="1"/>
    <xf numFmtId="0" fontId="0" fillId="0" borderId="19" xfId="1" applyNumberFormat="1" applyFont="1" applyFill="1" applyBorder="1"/>
    <xf numFmtId="0" fontId="0" fillId="11" borderId="19" xfId="0" applyFill="1" applyBorder="1"/>
    <xf numFmtId="0" fontId="0" fillId="7" borderId="19" xfId="0" applyFill="1" applyBorder="1"/>
    <xf numFmtId="0" fontId="0" fillId="18" borderId="19" xfId="0" applyFill="1" applyBorder="1"/>
    <xf numFmtId="0" fontId="17" fillId="6" borderId="2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/>
    </xf>
    <xf numFmtId="44" fontId="17" fillId="6" borderId="24" xfId="0" applyNumberFormat="1" applyFont="1" applyFill="1" applyBorder="1" applyAlignment="1">
      <alignment horizontal="center"/>
    </xf>
    <xf numFmtId="0" fontId="17" fillId="6" borderId="23" xfId="0" applyFont="1" applyFill="1" applyBorder="1" applyAlignment="1">
      <alignment horizontal="center" vertical="center"/>
    </xf>
    <xf numFmtId="44" fontId="17" fillId="6" borderId="27" xfId="1" applyFont="1" applyFill="1" applyBorder="1" applyAlignment="1">
      <alignment horizontal="center" vertical="center"/>
    </xf>
    <xf numFmtId="0" fontId="0" fillId="13" borderId="1" xfId="0" applyNumberFormat="1" applyFill="1" applyBorder="1"/>
    <xf numFmtId="0" fontId="0" fillId="13" borderId="1" xfId="0" applyFill="1" applyBorder="1"/>
    <xf numFmtId="44" fontId="0" fillId="13" borderId="1" xfId="1" applyFont="1" applyFill="1" applyBorder="1"/>
    <xf numFmtId="0" fontId="18" fillId="19" borderId="1" xfId="0" applyFont="1" applyFill="1" applyBorder="1"/>
    <xf numFmtId="0" fontId="0" fillId="5" borderId="1" xfId="0" applyFill="1" applyBorder="1" applyAlignment="1">
      <alignment wrapText="1"/>
    </xf>
    <xf numFmtId="0" fontId="18" fillId="8" borderId="1" xfId="0" applyFont="1" applyFill="1" applyBorder="1"/>
    <xf numFmtId="6" fontId="18" fillId="8" borderId="1" xfId="0" applyNumberFormat="1" applyFont="1" applyFill="1" applyBorder="1"/>
    <xf numFmtId="3" fontId="0" fillId="0" borderId="0" xfId="0" applyNumberFormat="1"/>
    <xf numFmtId="0" fontId="18" fillId="6" borderId="1" xfId="0" applyFont="1" applyFill="1" applyBorder="1"/>
    <xf numFmtId="44" fontId="0" fillId="3" borderId="31" xfId="1" applyFont="1" applyFill="1" applyBorder="1"/>
    <xf numFmtId="0" fontId="0" fillId="2" borderId="1" xfId="0" applyFill="1" applyBorder="1"/>
    <xf numFmtId="44" fontId="0" fillId="2" borderId="1" xfId="1" applyFont="1" applyFill="1" applyBorder="1"/>
    <xf numFmtId="44" fontId="0" fillId="2" borderId="1" xfId="0" applyNumberFormat="1" applyFill="1" applyBorder="1"/>
    <xf numFmtId="0" fontId="0" fillId="0" borderId="0" xfId="0" applyAlignment="1">
      <alignment horizontal="left" vertical="center"/>
    </xf>
    <xf numFmtId="44" fontId="0" fillId="0" borderId="0" xfId="1" applyFont="1" applyAlignment="1">
      <alignment horizontal="left" vertical="center"/>
    </xf>
    <xf numFmtId="44" fontId="0" fillId="0" borderId="18" xfId="1" applyFont="1" applyBorder="1" applyAlignment="1">
      <alignment horizontal="left" vertical="center"/>
    </xf>
    <xf numFmtId="44" fontId="0" fillId="0" borderId="20" xfId="1" applyFont="1" applyBorder="1" applyAlignment="1">
      <alignment horizontal="left" vertical="center"/>
    </xf>
    <xf numFmtId="0" fontId="0" fillId="0" borderId="22" xfId="1" applyNumberFormat="1" applyFont="1" applyBorder="1" applyAlignment="1">
      <alignment horizontal="right" vertical="center"/>
    </xf>
    <xf numFmtId="0" fontId="17" fillId="6" borderId="17" xfId="0" applyFont="1" applyFill="1" applyBorder="1" applyAlignment="1">
      <alignment horizontal="left" vertical="center"/>
    </xf>
    <xf numFmtId="0" fontId="17" fillId="6" borderId="19" xfId="0" applyFont="1" applyFill="1" applyBorder="1" applyAlignment="1">
      <alignment horizontal="left" vertical="center"/>
    </xf>
    <xf numFmtId="0" fontId="17" fillId="6" borderId="21" xfId="0" applyFont="1" applyFill="1" applyBorder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17" fillId="6" borderId="5" xfId="0" applyFont="1" applyFill="1" applyBorder="1" applyAlignment="1">
      <alignment horizontal="left" vertical="center"/>
    </xf>
    <xf numFmtId="44" fontId="0" fillId="0" borderId="7" xfId="1" applyFont="1" applyBorder="1" applyAlignment="1">
      <alignment horizontal="right" vertical="center"/>
    </xf>
    <xf numFmtId="0" fontId="18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44" fontId="0" fillId="2" borderId="1" xfId="0" applyNumberForma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44" fontId="0" fillId="0" borderId="26" xfId="0" applyNumberFormat="1" applyFill="1" applyBorder="1"/>
    <xf numFmtId="0" fontId="0" fillId="12" borderId="1" xfId="0" applyFill="1" applyBorder="1"/>
    <xf numFmtId="44" fontId="0" fillId="12" borderId="1" xfId="1" applyFont="1" applyFill="1" applyBorder="1"/>
    <xf numFmtId="44" fontId="0" fillId="12" borderId="1" xfId="0" applyNumberFormat="1" applyFill="1" applyBorder="1"/>
    <xf numFmtId="0" fontId="0" fillId="0" borderId="0" xfId="0"/>
    <xf numFmtId="0" fontId="6" fillId="12" borderId="1" xfId="0" applyFont="1" applyFill="1" applyBorder="1"/>
    <xf numFmtId="0" fontId="13" fillId="12" borderId="1" xfId="0" applyFont="1" applyFill="1" applyBorder="1"/>
    <xf numFmtId="44" fontId="0" fillId="12" borderId="31" xfId="0" applyNumberFormat="1" applyFill="1" applyBorder="1"/>
    <xf numFmtId="0" fontId="9" fillId="9" borderId="1" xfId="0" applyNumberFormat="1" applyFont="1" applyFill="1" applyBorder="1"/>
    <xf numFmtId="0" fontId="9" fillId="9" borderId="1" xfId="0" applyFont="1" applyFill="1" applyBorder="1"/>
    <xf numFmtId="44" fontId="9" fillId="9" borderId="1" xfId="1" applyFont="1" applyFill="1" applyBorder="1"/>
    <xf numFmtId="0" fontId="9" fillId="11" borderId="1" xfId="1" applyNumberFormat="1" applyFont="1" applyFill="1" applyBorder="1"/>
    <xf numFmtId="0" fontId="9" fillId="11" borderId="1" xfId="0" applyFont="1" applyFill="1" applyBorder="1"/>
    <xf numFmtId="44" fontId="9" fillId="11" borderId="1" xfId="1" applyFont="1" applyFill="1" applyBorder="1"/>
    <xf numFmtId="0" fontId="9" fillId="11" borderId="1" xfId="0" applyNumberFormat="1" applyFont="1" applyFill="1" applyBorder="1"/>
    <xf numFmtId="0" fontId="9" fillId="5" borderId="1" xfId="0" applyNumberFormat="1" applyFont="1" applyFill="1" applyBorder="1"/>
    <xf numFmtId="0" fontId="9" fillId="5" borderId="1" xfId="0" applyFont="1" applyFill="1" applyBorder="1"/>
    <xf numFmtId="44" fontId="9" fillId="5" borderId="1" xfId="1" applyFont="1" applyFill="1" applyBorder="1"/>
    <xf numFmtId="0" fontId="24" fillId="0" borderId="0" xfId="0" applyFont="1"/>
    <xf numFmtId="10" fontId="0" fillId="0" borderId="0" xfId="1" applyNumberFormat="1" applyFont="1"/>
    <xf numFmtId="44" fontId="9" fillId="18" borderId="1" xfId="0" applyNumberFormat="1" applyFont="1" applyFill="1" applyBorder="1"/>
    <xf numFmtId="0" fontId="25" fillId="0" borderId="0" xfId="2" applyFont="1" applyAlignment="1" applyProtection="1"/>
    <xf numFmtId="0" fontId="26" fillId="3" borderId="1" xfId="0" applyFont="1" applyFill="1" applyBorder="1"/>
    <xf numFmtId="44" fontId="27" fillId="3" borderId="1" xfId="1" applyFont="1" applyFill="1" applyBorder="1"/>
    <xf numFmtId="44" fontId="27" fillId="3" borderId="1" xfId="0" applyNumberFormat="1" applyFont="1" applyFill="1" applyBorder="1"/>
    <xf numFmtId="0" fontId="28" fillId="3" borderId="1" xfId="0" applyFont="1" applyFill="1" applyBorder="1"/>
    <xf numFmtId="0" fontId="27" fillId="0" borderId="0" xfId="0" applyFont="1"/>
    <xf numFmtId="0" fontId="27" fillId="0" borderId="1" xfId="0" applyFont="1" applyBorder="1"/>
    <xf numFmtId="44" fontId="27" fillId="0" borderId="1" xfId="1" applyFont="1" applyBorder="1"/>
    <xf numFmtId="0" fontId="29" fillId="0" borderId="1" xfId="0" applyFont="1" applyBorder="1"/>
    <xf numFmtId="0" fontId="27" fillId="12" borderId="1" xfId="0" applyFont="1" applyFill="1" applyBorder="1"/>
    <xf numFmtId="44" fontId="27" fillId="12" borderId="1" xfId="1" applyFont="1" applyFill="1" applyBorder="1"/>
    <xf numFmtId="0" fontId="29" fillId="12" borderId="1" xfId="0" applyFont="1" applyFill="1" applyBorder="1"/>
    <xf numFmtId="0" fontId="26" fillId="0" borderId="1" xfId="0" applyFont="1" applyFill="1" applyBorder="1"/>
    <xf numFmtId="44" fontId="27" fillId="0" borderId="1" xfId="1" applyFont="1" applyFill="1" applyBorder="1"/>
    <xf numFmtId="44" fontId="27" fillId="0" borderId="1" xfId="0" applyNumberFormat="1" applyFont="1" applyFill="1" applyBorder="1"/>
    <xf numFmtId="0" fontId="28" fillId="0" borderId="1" xfId="0" applyFont="1" applyFill="1" applyBorder="1"/>
    <xf numFmtId="44" fontId="27" fillId="0" borderId="1" xfId="0" applyNumberFormat="1" applyFont="1" applyBorder="1"/>
    <xf numFmtId="44" fontId="27" fillId="3" borderId="26" xfId="0" applyNumberFormat="1" applyFont="1" applyFill="1" applyBorder="1"/>
    <xf numFmtId="0" fontId="27" fillId="0" borderId="1" xfId="0" applyFont="1" applyFill="1" applyBorder="1"/>
    <xf numFmtId="0" fontId="27" fillId="0" borderId="0" xfId="0" applyFont="1" applyFill="1" applyBorder="1"/>
    <xf numFmtId="0" fontId="29" fillId="0" borderId="1" xfId="0" applyFont="1" applyFill="1" applyBorder="1"/>
    <xf numFmtId="0" fontId="27" fillId="13" borderId="1" xfId="0" applyFont="1" applyFill="1" applyBorder="1"/>
    <xf numFmtId="44" fontId="27" fillId="13" borderId="1" xfId="1" applyFont="1" applyFill="1" applyBorder="1"/>
    <xf numFmtId="0" fontId="26" fillId="13" borderId="1" xfId="0" applyFont="1" applyFill="1" applyBorder="1"/>
    <xf numFmtId="44" fontId="27" fillId="0" borderId="1" xfId="1" quotePrefix="1" applyFont="1" applyBorder="1"/>
    <xf numFmtId="0" fontId="29" fillId="13" borderId="1" xfId="0" applyFont="1" applyFill="1" applyBorder="1"/>
    <xf numFmtId="44" fontId="27" fillId="0" borderId="0" xfId="0" applyNumberFormat="1" applyFont="1"/>
    <xf numFmtId="44" fontId="27" fillId="0" borderId="13" xfId="1" applyFont="1" applyBorder="1"/>
    <xf numFmtId="44" fontId="29" fillId="0" borderId="12" xfId="1" applyFont="1" applyBorder="1"/>
    <xf numFmtId="0" fontId="30" fillId="10" borderId="1" xfId="0" applyFont="1" applyFill="1" applyBorder="1"/>
    <xf numFmtId="44" fontId="30" fillId="10" borderId="1" xfId="1" applyFont="1" applyFill="1" applyBorder="1"/>
    <xf numFmtId="0" fontId="9" fillId="7" borderId="1" xfId="0" applyFont="1" applyFill="1" applyBorder="1"/>
    <xf numFmtId="44" fontId="0" fillId="3" borderId="0" xfId="1" applyFont="1" applyFill="1"/>
    <xf numFmtId="0" fontId="0" fillId="0" borderId="1" xfId="0" applyFont="1" applyFill="1" applyBorder="1" applyAlignment="1">
      <alignment horizontal="left" vertical="center"/>
    </xf>
    <xf numFmtId="44" fontId="1" fillId="0" borderId="1" xfId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32" fillId="0" borderId="1" xfId="0" applyFont="1" applyBorder="1" applyAlignment="1">
      <alignment wrapText="1"/>
    </xf>
    <xf numFmtId="0" fontId="32" fillId="0" borderId="23" xfId="0" applyFont="1" applyBorder="1" applyAlignment="1">
      <alignment wrapText="1"/>
    </xf>
    <xf numFmtId="0" fontId="32" fillId="0" borderId="18" xfId="0" applyFont="1" applyBorder="1" applyAlignment="1">
      <alignment wrapText="1"/>
    </xf>
    <xf numFmtId="0" fontId="32" fillId="0" borderId="20" xfId="0" applyFont="1" applyBorder="1" applyAlignment="1">
      <alignment wrapText="1"/>
    </xf>
    <xf numFmtId="0" fontId="32" fillId="0" borderId="24" xfId="0" applyFont="1" applyBorder="1" applyAlignment="1">
      <alignment wrapText="1"/>
    </xf>
    <xf numFmtId="0" fontId="32" fillId="0" borderId="22" xfId="0" applyFont="1" applyBorder="1" applyAlignment="1">
      <alignment wrapText="1"/>
    </xf>
    <xf numFmtId="0" fontId="32" fillId="0" borderId="0" xfId="0" applyFont="1" applyAlignment="1">
      <alignment wrapText="1"/>
    </xf>
    <xf numFmtId="0" fontId="0" fillId="12" borderId="34" xfId="0" applyFill="1" applyBorder="1" applyAlignment="1">
      <alignment horizontal="center" wrapText="1"/>
    </xf>
    <xf numFmtId="0" fontId="0" fillId="12" borderId="36" xfId="0" applyFill="1" applyBorder="1" applyAlignment="1">
      <alignment horizontal="center" wrapText="1"/>
    </xf>
    <xf numFmtId="0" fontId="32" fillId="22" borderId="1" xfId="0" applyFont="1" applyFill="1" applyBorder="1" applyAlignment="1">
      <alignment wrapText="1"/>
    </xf>
    <xf numFmtId="0" fontId="32" fillId="23" borderId="1" xfId="0" applyFont="1" applyFill="1" applyBorder="1" applyAlignment="1">
      <alignment wrapText="1"/>
    </xf>
    <xf numFmtId="0" fontId="17" fillId="19" borderId="0" xfId="0" applyFont="1" applyFill="1" applyAlignment="1">
      <alignment horizontal="center" vertical="center" wrapText="1"/>
    </xf>
    <xf numFmtId="0" fontId="31" fillId="19" borderId="0" xfId="0" applyFont="1" applyFill="1" applyAlignment="1">
      <alignment horizontal="center" vertical="center" wrapText="1"/>
    </xf>
    <xf numFmtId="0" fontId="33" fillId="19" borderId="0" xfId="0" applyFont="1" applyFill="1" applyAlignment="1">
      <alignment horizontal="center" vertical="center" wrapText="1"/>
    </xf>
    <xf numFmtId="0" fontId="0" fillId="21" borderId="19" xfId="0" applyFill="1" applyBorder="1" applyAlignment="1">
      <alignment horizontal="right" wrapText="1"/>
    </xf>
    <xf numFmtId="0" fontId="9" fillId="22" borderId="17" xfId="0" applyFont="1" applyFill="1" applyBorder="1" applyAlignment="1">
      <alignment horizontal="center" wrapText="1"/>
    </xf>
    <xf numFmtId="0" fontId="34" fillId="22" borderId="23" xfId="0" applyFont="1" applyFill="1" applyBorder="1" applyAlignment="1">
      <alignment horizontal="center" wrapText="1"/>
    </xf>
    <xf numFmtId="0" fontId="9" fillId="22" borderId="18" xfId="0" applyFont="1" applyFill="1" applyBorder="1" applyAlignment="1">
      <alignment horizontal="center" wrapText="1"/>
    </xf>
    <xf numFmtId="0" fontId="34" fillId="22" borderId="1" xfId="0" applyFont="1" applyFill="1" applyBorder="1" applyAlignment="1">
      <alignment horizontal="center" wrapText="1"/>
    </xf>
    <xf numFmtId="0" fontId="9" fillId="22" borderId="17" xfId="0" applyFont="1" applyFill="1" applyBorder="1" applyAlignment="1">
      <alignment horizontal="center" vertical="center" wrapText="1"/>
    </xf>
    <xf numFmtId="0" fontId="34" fillId="2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0" fillId="23" borderId="19" xfId="0" applyFill="1" applyBorder="1" applyAlignment="1">
      <alignment wrapText="1"/>
    </xf>
    <xf numFmtId="0" fontId="32" fillId="23" borderId="20" xfId="0" applyFont="1" applyFill="1" applyBorder="1" applyAlignment="1">
      <alignment wrapText="1"/>
    </xf>
    <xf numFmtId="0" fontId="0" fillId="22" borderId="19" xfId="0" applyFill="1" applyBorder="1" applyAlignment="1">
      <alignment wrapText="1"/>
    </xf>
    <xf numFmtId="0" fontId="32" fillId="22" borderId="20" xfId="0" applyFont="1" applyFill="1" applyBorder="1" applyAlignment="1">
      <alignment wrapText="1"/>
    </xf>
    <xf numFmtId="0" fontId="0" fillId="0" borderId="1" xfId="0" applyFill="1" applyBorder="1" applyAlignment="1">
      <alignment horizontal="left" vertical="center"/>
    </xf>
    <xf numFmtId="44" fontId="0" fillId="0" borderId="1" xfId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44" fontId="1" fillId="12" borderId="1" xfId="1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44" fontId="7" fillId="3" borderId="7" xfId="1" applyFont="1" applyFill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6" fillId="0" borderId="0" xfId="0" applyFont="1" applyFill="1" applyBorder="1"/>
    <xf numFmtId="0" fontId="29" fillId="0" borderId="14" xfId="0" applyFont="1" applyBorder="1" applyAlignment="1">
      <alignment horizontal="right"/>
    </xf>
    <xf numFmtId="0" fontId="29" fillId="0" borderId="15" xfId="0" applyFont="1" applyBorder="1" applyAlignment="1">
      <alignment horizontal="right"/>
    </xf>
    <xf numFmtId="0" fontId="29" fillId="0" borderId="16" xfId="0" applyFont="1" applyBorder="1" applyAlignment="1">
      <alignment horizontal="right"/>
    </xf>
    <xf numFmtId="0" fontId="29" fillId="0" borderId="14" xfId="0" applyFont="1" applyBorder="1" applyAlignment="1">
      <alignment horizontal="right"/>
    </xf>
    <xf numFmtId="0" fontId="29" fillId="0" borderId="15" xfId="0" applyFont="1" applyBorder="1" applyAlignment="1">
      <alignment horizontal="right"/>
    </xf>
    <xf numFmtId="0" fontId="29" fillId="0" borderId="16" xfId="0" applyFont="1" applyBorder="1" applyAlignment="1">
      <alignment horizontal="right"/>
    </xf>
    <xf numFmtId="0" fontId="9" fillId="9" borderId="1" xfId="1" applyNumberFormat="1" applyFont="1" applyFill="1" applyBorder="1"/>
    <xf numFmtId="0" fontId="9" fillId="0" borderId="1" xfId="0" applyFont="1" applyFill="1" applyBorder="1"/>
    <xf numFmtId="0" fontId="0" fillId="9" borderId="0" xfId="0" applyFill="1" applyBorder="1"/>
    <xf numFmtId="44" fontId="0" fillId="9" borderId="0" xfId="1" applyFont="1" applyFill="1" applyBorder="1"/>
    <xf numFmtId="0" fontId="0" fillId="12" borderId="1" xfId="0" applyFill="1" applyBorder="1" applyAlignment="1">
      <alignment horizontal="left" vertical="center"/>
    </xf>
    <xf numFmtId="0" fontId="29" fillId="0" borderId="14" xfId="0" applyFont="1" applyBorder="1" applyAlignment="1">
      <alignment horizontal="right"/>
    </xf>
    <xf numFmtId="0" fontId="29" fillId="0" borderId="15" xfId="0" applyFont="1" applyBorder="1" applyAlignment="1">
      <alignment horizontal="right"/>
    </xf>
    <xf numFmtId="0" fontId="29" fillId="0" borderId="16" xfId="0" applyFont="1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18" borderId="0" xfId="0" applyFill="1"/>
    <xf numFmtId="44" fontId="0" fillId="4" borderId="0" xfId="1" applyFont="1" applyFill="1"/>
    <xf numFmtId="44" fontId="0" fillId="18" borderId="0" xfId="1" applyFont="1" applyFill="1"/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0" fontId="0" fillId="3" borderId="1" xfId="1" applyNumberFormat="1" applyFont="1" applyFill="1" applyBorder="1"/>
    <xf numFmtId="0" fontId="0" fillId="18" borderId="1" xfId="1" applyNumberFormat="1" applyFont="1" applyFill="1" applyBorder="1"/>
    <xf numFmtId="0" fontId="0" fillId="6" borderId="0" xfId="0" applyNumberFormat="1" applyFill="1" applyBorder="1"/>
    <xf numFmtId="0" fontId="0" fillId="6" borderId="0" xfId="0" applyFill="1"/>
    <xf numFmtId="44" fontId="0" fillId="6" borderId="0" xfId="1" applyFont="1" applyFill="1" applyBorder="1"/>
    <xf numFmtId="0" fontId="0" fillId="3" borderId="19" xfId="1" applyNumberFormat="1" applyFont="1" applyFill="1" applyBorder="1"/>
    <xf numFmtId="0" fontId="0" fillId="3" borderId="19" xfId="0" applyNumberFormat="1" applyFill="1" applyBorder="1"/>
    <xf numFmtId="44" fontId="0" fillId="3" borderId="20" xfId="1" applyFont="1" applyFill="1" applyBorder="1"/>
    <xf numFmtId="0" fontId="0" fillId="10" borderId="19" xfId="1" applyNumberFormat="1" applyFont="1" applyFill="1" applyBorder="1"/>
    <xf numFmtId="0" fontId="0" fillId="10" borderId="1" xfId="1" applyNumberFormat="1" applyFont="1" applyFill="1" applyBorder="1"/>
    <xf numFmtId="0" fontId="0" fillId="10" borderId="19" xfId="0" applyNumberFormat="1" applyFill="1" applyBorder="1"/>
    <xf numFmtId="44" fontId="0" fillId="0" borderId="31" xfId="1" applyFont="1" applyFill="1" applyBorder="1"/>
    <xf numFmtId="0" fontId="0" fillId="5" borderId="1" xfId="0" applyFont="1" applyFill="1" applyBorder="1"/>
    <xf numFmtId="44" fontId="1" fillId="5" borderId="1" xfId="1" applyFont="1" applyFill="1" applyBorder="1"/>
    <xf numFmtId="8" fontId="16" fillId="0" borderId="0" xfId="0" applyNumberFormat="1" applyFont="1" applyBorder="1"/>
    <xf numFmtId="10" fontId="0" fillId="0" borderId="0" xfId="0" applyNumberFormat="1" applyBorder="1"/>
    <xf numFmtId="0" fontId="0" fillId="18" borderId="21" xfId="0" applyFill="1" applyBorder="1"/>
    <xf numFmtId="0" fontId="0" fillId="18" borderId="24" xfId="0" applyFill="1" applyBorder="1"/>
    <xf numFmtId="44" fontId="0" fillId="18" borderId="24" xfId="0" applyNumberFormat="1" applyFill="1" applyBorder="1"/>
    <xf numFmtId="44" fontId="0" fillId="18" borderId="22" xfId="1" applyFont="1" applyFill="1" applyBorder="1"/>
    <xf numFmtId="0" fontId="1" fillId="4" borderId="19" xfId="1" applyNumberFormat="1" applyFont="1" applyFill="1" applyBorder="1"/>
    <xf numFmtId="0" fontId="0" fillId="4" borderId="1" xfId="0" applyFont="1" applyFill="1" applyBorder="1"/>
    <xf numFmtId="44" fontId="1" fillId="4" borderId="1" xfId="1" applyFont="1" applyFill="1" applyBorder="1"/>
    <xf numFmtId="0" fontId="1" fillId="4" borderId="1" xfId="1" applyNumberFormat="1" applyFont="1" applyFill="1" applyBorder="1"/>
    <xf numFmtId="0" fontId="0" fillId="18" borderId="1" xfId="0" applyNumberFormat="1" applyFill="1" applyBorder="1"/>
    <xf numFmtId="0" fontId="0" fillId="0" borderId="45" xfId="1" applyNumberFormat="1" applyFont="1" applyFill="1" applyBorder="1"/>
    <xf numFmtId="0" fontId="0" fillId="0" borderId="2" xfId="0" applyFill="1" applyBorder="1"/>
    <xf numFmtId="44" fontId="0" fillId="0" borderId="2" xfId="1" applyFont="1" applyFill="1" applyBorder="1"/>
    <xf numFmtId="0" fontId="0" fillId="0" borderId="2" xfId="1" applyNumberFormat="1" applyFont="1" applyFill="1" applyBorder="1"/>
    <xf numFmtId="0" fontId="0" fillId="3" borderId="1" xfId="0" applyNumberFormat="1" applyFill="1" applyBorder="1"/>
    <xf numFmtId="44" fontId="9" fillId="7" borderId="1" xfId="1" applyFont="1" applyFill="1" applyBorder="1"/>
    <xf numFmtId="0" fontId="9" fillId="7" borderId="1" xfId="1" applyNumberFormat="1" applyFont="1" applyFill="1" applyBorder="1"/>
    <xf numFmtId="0" fontId="0" fillId="0" borderId="0" xfId="0" applyFill="1" applyBorder="1" applyAlignment="1">
      <alignment horizontal="right"/>
    </xf>
    <xf numFmtId="44" fontId="9" fillId="0" borderId="31" xfId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8" fillId="6" borderId="1" xfId="0" applyNumberFormat="1" applyFont="1" applyFill="1" applyBorder="1"/>
    <xf numFmtId="44" fontId="18" fillId="6" borderId="1" xfId="1" applyFont="1" applyFill="1" applyBorder="1"/>
    <xf numFmtId="0" fontId="18" fillId="6" borderId="1" xfId="1" applyNumberFormat="1" applyFont="1" applyFill="1" applyBorder="1"/>
    <xf numFmtId="0" fontId="17" fillId="6" borderId="1" xfId="0" applyNumberFormat="1" applyFont="1" applyFill="1" applyBorder="1"/>
    <xf numFmtId="0" fontId="0" fillId="8" borderId="19" xfId="0" applyNumberFormat="1" applyFill="1" applyBorder="1"/>
    <xf numFmtId="0" fontId="0" fillId="8" borderId="20" xfId="1" applyNumberFormat="1" applyFont="1" applyFill="1" applyBorder="1"/>
    <xf numFmtId="0" fontId="0" fillId="8" borderId="21" xfId="0" applyNumberFormat="1" applyFill="1" applyBorder="1"/>
    <xf numFmtId="0" fontId="0" fillId="8" borderId="24" xfId="1" applyNumberFormat="1" applyFont="1" applyFill="1" applyBorder="1"/>
    <xf numFmtId="44" fontId="0" fillId="8" borderId="24" xfId="1" applyFont="1" applyFill="1" applyBorder="1"/>
    <xf numFmtId="44" fontId="0" fillId="11" borderId="20" xfId="0" applyNumberFormat="1" applyFill="1" applyBorder="1"/>
    <xf numFmtId="44" fontId="0" fillId="7" borderId="20" xfId="0" applyNumberFormat="1" applyFill="1" applyBorder="1"/>
    <xf numFmtId="44" fontId="0" fillId="4" borderId="20" xfId="0" applyNumberFormat="1" applyFill="1" applyBorder="1"/>
    <xf numFmtId="44" fontId="0" fillId="18" borderId="20" xfId="0" applyNumberFormat="1" applyFill="1" applyBorder="1"/>
    <xf numFmtId="0" fontId="17" fillId="6" borderId="22" xfId="0" applyFont="1" applyFill="1" applyBorder="1" applyAlignment="1">
      <alignment horizontal="center"/>
    </xf>
    <xf numFmtId="0" fontId="0" fillId="4" borderId="19" xfId="1" applyNumberFormat="1" applyFont="1" applyFill="1" applyBorder="1"/>
    <xf numFmtId="44" fontId="0" fillId="4" borderId="19" xfId="1" applyFont="1" applyFill="1" applyBorder="1"/>
    <xf numFmtId="44" fontId="1" fillId="3" borderId="1" xfId="1" applyFont="1" applyFill="1" applyBorder="1"/>
    <xf numFmtId="0" fontId="1" fillId="3" borderId="1" xfId="1" applyNumberFormat="1" applyFont="1" applyFill="1" applyBorder="1"/>
    <xf numFmtId="0" fontId="6" fillId="5" borderId="1" xfId="0" applyNumberFormat="1" applyFont="1" applyFill="1" applyBorder="1"/>
    <xf numFmtId="0" fontId="6" fillId="5" borderId="1" xfId="0" applyFont="1" applyFill="1" applyBorder="1"/>
    <xf numFmtId="44" fontId="6" fillId="5" borderId="1" xfId="1" applyFont="1" applyFill="1" applyBorder="1"/>
    <xf numFmtId="0" fontId="7" fillId="5" borderId="1" xfId="0" applyNumberFormat="1" applyFont="1" applyFill="1" applyBorder="1"/>
    <xf numFmtId="0" fontId="6" fillId="5" borderId="1" xfId="1" applyNumberFormat="1" applyFont="1" applyFill="1" applyBorder="1"/>
    <xf numFmtId="0" fontId="0" fillId="3" borderId="0" xfId="0" applyFill="1" applyAlignment="1">
      <alignment horizontal="left" vertical="center"/>
    </xf>
    <xf numFmtId="44" fontId="7" fillId="5" borderId="1" xfId="1" applyFont="1" applyFill="1" applyBorder="1"/>
    <xf numFmtId="167" fontId="0" fillId="0" borderId="0" xfId="1" applyNumberFormat="1" applyFont="1" applyBorder="1"/>
    <xf numFmtId="167" fontId="0" fillId="0" borderId="0" xfId="1" applyNumberFormat="1" applyFont="1"/>
    <xf numFmtId="0" fontId="35" fillId="14" borderId="9" xfId="0" applyFont="1" applyFill="1" applyBorder="1"/>
    <xf numFmtId="167" fontId="35" fillId="14" borderId="8" xfId="1" applyNumberFormat="1" applyFont="1" applyFill="1" applyBorder="1"/>
    <xf numFmtId="0" fontId="35" fillId="14" borderId="10" xfId="0" applyFont="1" applyFill="1" applyBorder="1"/>
    <xf numFmtId="0" fontId="35" fillId="14" borderId="34" xfId="0" applyFont="1" applyFill="1" applyBorder="1"/>
    <xf numFmtId="167" fontId="35" fillId="14" borderId="0" xfId="1" applyNumberFormat="1" applyFont="1" applyFill="1" applyBorder="1"/>
    <xf numFmtId="0" fontId="35" fillId="14" borderId="35" xfId="0" applyFont="1" applyFill="1" applyBorder="1"/>
    <xf numFmtId="0" fontId="35" fillId="0" borderId="9" xfId="0" applyFont="1" applyBorder="1"/>
    <xf numFmtId="167" fontId="35" fillId="0" borderId="8" xfId="1" applyNumberFormat="1" applyFont="1" applyBorder="1"/>
    <xf numFmtId="0" fontId="35" fillId="0" borderId="10" xfId="0" applyFont="1" applyBorder="1"/>
    <xf numFmtId="0" fontId="35" fillId="0" borderId="34" xfId="0" applyFont="1" applyBorder="1"/>
    <xf numFmtId="167" fontId="35" fillId="0" borderId="0" xfId="1" applyNumberFormat="1" applyFont="1" applyBorder="1"/>
    <xf numFmtId="0" fontId="35" fillId="0" borderId="35" xfId="0" applyFont="1" applyBorder="1"/>
    <xf numFmtId="0" fontId="35" fillId="0" borderId="36" xfId="0" applyFont="1" applyBorder="1"/>
    <xf numFmtId="167" fontId="35" fillId="0" borderId="37" xfId="1" applyNumberFormat="1" applyFont="1" applyBorder="1"/>
    <xf numFmtId="0" fontId="35" fillId="0" borderId="41" xfId="0" applyFont="1" applyBorder="1"/>
    <xf numFmtId="0" fontId="35" fillId="0" borderId="34" xfId="0" applyFont="1" applyFill="1" applyBorder="1"/>
    <xf numFmtId="167" fontId="35" fillId="0" borderId="0" xfId="1" applyNumberFormat="1" applyFont="1" applyFill="1" applyBorder="1"/>
    <xf numFmtId="0" fontId="35" fillId="0" borderId="35" xfId="0" applyFont="1" applyFill="1" applyBorder="1"/>
    <xf numFmtId="0" fontId="35" fillId="14" borderId="36" xfId="0" applyFont="1" applyFill="1" applyBorder="1"/>
    <xf numFmtId="167" fontId="35" fillId="14" borderId="37" xfId="1" applyNumberFormat="1" applyFont="1" applyFill="1" applyBorder="1"/>
    <xf numFmtId="0" fontId="35" fillId="14" borderId="41" xfId="0" applyFont="1" applyFill="1" applyBorder="1"/>
    <xf numFmtId="0" fontId="35" fillId="0" borderId="36" xfId="0" applyFont="1" applyFill="1" applyBorder="1"/>
    <xf numFmtId="167" fontId="35" fillId="0" borderId="37" xfId="1" applyNumberFormat="1" applyFont="1" applyFill="1" applyBorder="1"/>
    <xf numFmtId="0" fontId="35" fillId="0" borderId="41" xfId="0" applyFont="1" applyFill="1" applyBorder="1"/>
    <xf numFmtId="0" fontId="17" fillId="25" borderId="9" xfId="0" applyFont="1" applyFill="1" applyBorder="1" applyAlignment="1">
      <alignment horizontal="center"/>
    </xf>
    <xf numFmtId="167" fontId="17" fillId="25" borderId="8" xfId="1" applyNumberFormat="1" applyFont="1" applyFill="1" applyBorder="1" applyAlignment="1">
      <alignment horizontal="center"/>
    </xf>
    <xf numFmtId="0" fontId="17" fillId="25" borderId="10" xfId="0" applyFont="1" applyFill="1" applyBorder="1" applyAlignment="1">
      <alignment horizontal="center"/>
    </xf>
    <xf numFmtId="0" fontId="9" fillId="5" borderId="1" xfId="1" applyNumberFormat="1" applyFont="1" applyFill="1" applyBorder="1"/>
    <xf numFmtId="44" fontId="0" fillId="5" borderId="0" xfId="1" applyFont="1" applyFill="1"/>
    <xf numFmtId="44" fontId="2" fillId="2" borderId="1" xfId="1" applyFont="1" applyFill="1" applyBorder="1"/>
    <xf numFmtId="0" fontId="2" fillId="0" borderId="31" xfId="0" applyFont="1" applyFill="1" applyBorder="1"/>
    <xf numFmtId="0" fontId="3" fillId="2" borderId="2" xfId="0" applyFont="1" applyFill="1" applyBorder="1"/>
    <xf numFmtId="44" fontId="2" fillId="2" borderId="2" xfId="1" applyFont="1" applyFill="1" applyBorder="1"/>
    <xf numFmtId="0" fontId="2" fillId="2" borderId="2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44" fontId="2" fillId="2" borderId="13" xfId="1" applyFont="1" applyFill="1" applyBorder="1"/>
    <xf numFmtId="0" fontId="3" fillId="2" borderId="14" xfId="0" applyFont="1" applyFill="1" applyBorder="1" applyAlignment="1">
      <alignment horizontal="right"/>
    </xf>
    <xf numFmtId="0" fontId="3" fillId="2" borderId="15" xfId="0" applyFont="1" applyFill="1" applyBorder="1" applyAlignment="1">
      <alignment horizontal="right"/>
    </xf>
    <xf numFmtId="0" fontId="3" fillId="2" borderId="16" xfId="0" applyFont="1" applyFill="1" applyBorder="1" applyAlignment="1">
      <alignment horizontal="right"/>
    </xf>
    <xf numFmtId="44" fontId="3" fillId="2" borderId="12" xfId="1" applyFont="1" applyFill="1" applyBorder="1"/>
    <xf numFmtId="0" fontId="36" fillId="0" borderId="1" xfId="0" applyFont="1" applyBorder="1"/>
    <xf numFmtId="44" fontId="36" fillId="2" borderId="1" xfId="1" applyFont="1" applyFill="1" applyBorder="1"/>
    <xf numFmtId="44" fontId="36" fillId="0" borderId="1" xfId="1" applyFont="1" applyBorder="1"/>
    <xf numFmtId="0" fontId="36" fillId="0" borderId="1" xfId="0" applyFont="1" applyFill="1" applyBorder="1"/>
    <xf numFmtId="0" fontId="35" fillId="0" borderId="1" xfId="0" applyFont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/>
    </xf>
    <xf numFmtId="44" fontId="35" fillId="12" borderId="1" xfId="1" applyFont="1" applyFill="1" applyBorder="1" applyAlignment="1">
      <alignment horizontal="left" vertical="center"/>
    </xf>
    <xf numFmtId="44" fontId="35" fillId="0" borderId="1" xfId="1" applyFont="1" applyFill="1" applyBorder="1" applyAlignment="1">
      <alignment horizontal="left" vertical="center"/>
    </xf>
    <xf numFmtId="0" fontId="35" fillId="12" borderId="1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/>
    </xf>
    <xf numFmtId="0" fontId="39" fillId="0" borderId="1" xfId="0" applyFont="1" applyFill="1" applyBorder="1" applyAlignment="1">
      <alignment horizontal="left" vertical="center"/>
    </xf>
    <xf numFmtId="44" fontId="38" fillId="0" borderId="1" xfId="1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/>
    </xf>
    <xf numFmtId="0" fontId="40" fillId="9" borderId="1" xfId="0" applyFont="1" applyFill="1" applyBorder="1"/>
    <xf numFmtId="44" fontId="40" fillId="9" borderId="1" xfId="1" applyFont="1" applyFill="1" applyBorder="1"/>
    <xf numFmtId="0" fontId="3" fillId="0" borderId="17" xfId="0" applyFont="1" applyFill="1" applyBorder="1"/>
    <xf numFmtId="44" fontId="2" fillId="0" borderId="23" xfId="1" applyFont="1" applyFill="1" applyBorder="1"/>
    <xf numFmtId="0" fontId="2" fillId="0" borderId="23" xfId="0" applyFont="1" applyFill="1" applyBorder="1"/>
    <xf numFmtId="44" fontId="2" fillId="0" borderId="18" xfId="1" applyFont="1" applyFill="1" applyBorder="1"/>
    <xf numFmtId="0" fontId="3" fillId="0" borderId="19" xfId="0" applyFont="1" applyFill="1" applyBorder="1"/>
    <xf numFmtId="44" fontId="2" fillId="0" borderId="20" xfId="1" applyFont="1" applyFill="1" applyBorder="1"/>
    <xf numFmtId="44" fontId="2" fillId="0" borderId="30" xfId="1" applyFont="1" applyFill="1" applyBorder="1"/>
    <xf numFmtId="0" fontId="3" fillId="0" borderId="14" xfId="0" applyFont="1" applyFill="1" applyBorder="1" applyAlignment="1">
      <alignment horizontal="right"/>
    </xf>
    <xf numFmtId="0" fontId="3" fillId="0" borderId="15" xfId="0" applyFont="1" applyFill="1" applyBorder="1" applyAlignment="1">
      <alignment horizontal="right"/>
    </xf>
    <xf numFmtId="0" fontId="3" fillId="0" borderId="16" xfId="0" applyFont="1" applyFill="1" applyBorder="1" applyAlignment="1">
      <alignment horizontal="right"/>
    </xf>
    <xf numFmtId="44" fontId="3" fillId="0" borderId="12" xfId="1" applyFont="1" applyFill="1" applyBorder="1"/>
    <xf numFmtId="0" fontId="41" fillId="0" borderId="1" xfId="0" applyFont="1" applyBorder="1"/>
    <xf numFmtId="44" fontId="41" fillId="0" borderId="1" xfId="1" applyFont="1" applyBorder="1"/>
    <xf numFmtId="0" fontId="41" fillId="12" borderId="1" xfId="0" applyFont="1" applyFill="1" applyBorder="1"/>
    <xf numFmtId="44" fontId="41" fillId="12" borderId="1" xfId="1" applyFont="1" applyFill="1" applyBorder="1"/>
    <xf numFmtId="0" fontId="41" fillId="0" borderId="1" xfId="0" applyFont="1" applyFill="1" applyBorder="1"/>
    <xf numFmtId="0" fontId="41" fillId="0" borderId="0" xfId="0" applyFont="1"/>
    <xf numFmtId="0" fontId="41" fillId="0" borderId="0" xfId="0" applyFont="1" applyFill="1" applyBorder="1"/>
    <xf numFmtId="0" fontId="40" fillId="9" borderId="1" xfId="0" applyNumberFormat="1" applyFont="1" applyFill="1" applyBorder="1"/>
    <xf numFmtId="0" fontId="42" fillId="0" borderId="47" xfId="0" applyFont="1" applyFill="1" applyBorder="1"/>
    <xf numFmtId="44" fontId="42" fillId="0" borderId="47" xfId="1" applyFont="1" applyFill="1" applyBorder="1"/>
    <xf numFmtId="0" fontId="42" fillId="0" borderId="47" xfId="0" applyFont="1" applyFill="1" applyBorder="1" applyAlignment="1">
      <alignment horizontal="right"/>
    </xf>
    <xf numFmtId="0" fontId="35" fillId="0" borderId="1" xfId="0" applyFont="1" applyBorder="1"/>
    <xf numFmtId="0" fontId="35" fillId="0" borderId="1" xfId="0" applyFont="1" applyFill="1" applyBorder="1"/>
    <xf numFmtId="44" fontId="35" fillId="0" borderId="1" xfId="1" applyFont="1" applyFill="1" applyBorder="1"/>
    <xf numFmtId="0" fontId="42" fillId="0" borderId="1" xfId="0" applyFont="1" applyFill="1" applyBorder="1"/>
    <xf numFmtId="0" fontId="35" fillId="0" borderId="46" xfId="0" applyFont="1" applyFill="1" applyBorder="1"/>
    <xf numFmtId="0" fontId="35" fillId="0" borderId="4" xfId="0" applyFont="1" applyFill="1" applyBorder="1"/>
    <xf numFmtId="44" fontId="35" fillId="0" borderId="1" xfId="0" applyNumberFormat="1" applyFont="1" applyBorder="1"/>
    <xf numFmtId="44" fontId="35" fillId="0" borderId="0" xfId="0" applyNumberFormat="1" applyFont="1"/>
    <xf numFmtId="0" fontId="37" fillId="11" borderId="1" xfId="1" applyNumberFormat="1" applyFont="1" applyFill="1" applyBorder="1"/>
    <xf numFmtId="0" fontId="37" fillId="11" borderId="1" xfId="0" applyFont="1" applyFill="1" applyBorder="1"/>
    <xf numFmtId="44" fontId="37" fillId="11" borderId="1" xfId="1" applyFont="1" applyFill="1" applyBorder="1"/>
    <xf numFmtId="0" fontId="35" fillId="11" borderId="1" xfId="1" applyNumberFormat="1" applyFont="1" applyFill="1" applyBorder="1"/>
    <xf numFmtId="0" fontId="35" fillId="11" borderId="1" xfId="0" applyFont="1" applyFill="1" applyBorder="1"/>
    <xf numFmtId="44" fontId="35" fillId="11" borderId="1" xfId="1" applyFont="1" applyFill="1" applyBorder="1"/>
    <xf numFmtId="0" fontId="35" fillId="11" borderId="1" xfId="0" applyNumberFormat="1" applyFont="1" applyFill="1" applyBorder="1"/>
    <xf numFmtId="0" fontId="35" fillId="7" borderId="1" xfId="1" applyNumberFormat="1" applyFont="1" applyFill="1" applyBorder="1"/>
    <xf numFmtId="0" fontId="35" fillId="7" borderId="1" xfId="0" applyFont="1" applyFill="1" applyBorder="1"/>
    <xf numFmtId="44" fontId="35" fillId="7" borderId="1" xfId="1" applyFont="1" applyFill="1" applyBorder="1"/>
    <xf numFmtId="0" fontId="35" fillId="7" borderId="1" xfId="0" applyNumberFormat="1" applyFont="1" applyFill="1" applyBorder="1"/>
    <xf numFmtId="0" fontId="35" fillId="4" borderId="1" xfId="1" applyNumberFormat="1" applyFont="1" applyFill="1" applyBorder="1"/>
    <xf numFmtId="0" fontId="35" fillId="4" borderId="1" xfId="0" applyFont="1" applyFill="1" applyBorder="1"/>
    <xf numFmtId="44" fontId="35" fillId="4" borderId="1" xfId="1" applyFont="1" applyFill="1" applyBorder="1"/>
    <xf numFmtId="0" fontId="35" fillId="4" borderId="1" xfId="0" applyNumberFormat="1" applyFont="1" applyFill="1" applyBorder="1"/>
    <xf numFmtId="0" fontId="35" fillId="5" borderId="1" xfId="1" applyNumberFormat="1" applyFont="1" applyFill="1" applyBorder="1"/>
    <xf numFmtId="0" fontId="35" fillId="5" borderId="1" xfId="0" applyFont="1" applyFill="1" applyBorder="1"/>
    <xf numFmtId="44" fontId="35" fillId="5" borderId="1" xfId="1" applyFont="1" applyFill="1" applyBorder="1"/>
    <xf numFmtId="44" fontId="37" fillId="5" borderId="1" xfId="1" applyFont="1" applyFill="1" applyBorder="1"/>
    <xf numFmtId="0" fontId="35" fillId="5" borderId="1" xfId="0" applyNumberFormat="1" applyFont="1" applyFill="1" applyBorder="1"/>
    <xf numFmtId="0" fontId="35" fillId="21" borderId="1" xfId="0" applyFont="1" applyFill="1" applyBorder="1"/>
    <xf numFmtId="44" fontId="35" fillId="21" borderId="1" xfId="1" applyFont="1" applyFill="1" applyBorder="1"/>
    <xf numFmtId="44" fontId="37" fillId="4" borderId="1" xfId="1" applyFont="1" applyFill="1" applyBorder="1"/>
    <xf numFmtId="0" fontId="35" fillId="18" borderId="1" xfId="1" applyNumberFormat="1" applyFont="1" applyFill="1" applyBorder="1"/>
    <xf numFmtId="0" fontId="35" fillId="18" borderId="1" xfId="0" applyFont="1" applyFill="1" applyBorder="1"/>
    <xf numFmtId="44" fontId="35" fillId="18" borderId="1" xfId="1" applyFont="1" applyFill="1" applyBorder="1"/>
    <xf numFmtId="44" fontId="35" fillId="18" borderId="1" xfId="1" applyNumberFormat="1" applyFont="1" applyFill="1" applyBorder="1"/>
    <xf numFmtId="0" fontId="35" fillId="18" borderId="1" xfId="0" applyNumberFormat="1" applyFont="1" applyFill="1" applyBorder="1"/>
    <xf numFmtId="0" fontId="35" fillId="24" borderId="1" xfId="0" applyNumberFormat="1" applyFont="1" applyFill="1" applyBorder="1"/>
    <xf numFmtId="44" fontId="35" fillId="24" borderId="1" xfId="1" applyFont="1" applyFill="1" applyBorder="1"/>
    <xf numFmtId="0" fontId="37" fillId="5" borderId="1" xfId="0" applyNumberFormat="1" applyFont="1" applyFill="1" applyBorder="1"/>
    <xf numFmtId="0" fontId="0" fillId="0" borderId="0" xfId="0" applyFont="1" applyFill="1"/>
    <xf numFmtId="44" fontId="1" fillId="0" borderId="0" xfId="1" applyFont="1" applyFill="1"/>
    <xf numFmtId="44" fontId="0" fillId="0" borderId="0" xfId="0" applyNumberFormat="1" applyFont="1" applyFill="1"/>
    <xf numFmtId="0" fontId="0" fillId="0" borderId="0" xfId="0" applyFont="1" applyFill="1" applyBorder="1"/>
    <xf numFmtId="0" fontId="35" fillId="0" borderId="48" xfId="0" applyFont="1" applyFill="1" applyBorder="1"/>
    <xf numFmtId="0" fontId="35" fillId="0" borderId="50" xfId="0" applyFont="1" applyFill="1" applyBorder="1"/>
    <xf numFmtId="0" fontId="35" fillId="0" borderId="52" xfId="0" applyFont="1" applyFill="1" applyBorder="1"/>
    <xf numFmtId="0" fontId="35" fillId="0" borderId="50" xfId="1" applyNumberFormat="1" applyFont="1" applyFill="1" applyBorder="1"/>
    <xf numFmtId="0" fontId="35" fillId="0" borderId="52" xfId="1" applyNumberFormat="1" applyFont="1" applyFill="1" applyBorder="1"/>
    <xf numFmtId="0" fontId="35" fillId="0" borderId="48" xfId="0" applyNumberFormat="1" applyFont="1" applyFill="1" applyBorder="1"/>
    <xf numFmtId="0" fontId="35" fillId="0" borderId="50" xfId="0" applyNumberFormat="1" applyFont="1" applyFill="1" applyBorder="1"/>
    <xf numFmtId="0" fontId="35" fillId="0" borderId="52" xfId="0" applyNumberFormat="1" applyFont="1" applyFill="1" applyBorder="1"/>
    <xf numFmtId="0" fontId="35" fillId="3" borderId="50" xfId="0" applyFont="1" applyFill="1" applyBorder="1"/>
    <xf numFmtId="0" fontId="35" fillId="0" borderId="49" xfId="1" applyNumberFormat="1" applyFont="1" applyFill="1" applyBorder="1" applyAlignment="1">
      <alignment horizontal="left"/>
    </xf>
    <xf numFmtId="0" fontId="35" fillId="0" borderId="51" xfId="1" applyNumberFormat="1" applyFont="1" applyFill="1" applyBorder="1" applyAlignment="1">
      <alignment horizontal="left"/>
    </xf>
    <xf numFmtId="0" fontId="35" fillId="0" borderId="53" xfId="1" applyNumberFormat="1" applyFont="1" applyFill="1" applyBorder="1" applyAlignment="1">
      <alignment horizontal="left"/>
    </xf>
    <xf numFmtId="44" fontId="35" fillId="0" borderId="51" xfId="1" applyFont="1" applyFill="1" applyBorder="1" applyAlignment="1">
      <alignment horizontal="left"/>
    </xf>
    <xf numFmtId="44" fontId="35" fillId="0" borderId="53" xfId="1" applyFont="1" applyFill="1" applyBorder="1" applyAlignment="1">
      <alignment horizontal="left"/>
    </xf>
    <xf numFmtId="44" fontId="35" fillId="0" borderId="49" xfId="1" applyFont="1" applyFill="1" applyBorder="1" applyAlignment="1">
      <alignment horizontal="left"/>
    </xf>
    <xf numFmtId="44" fontId="35" fillId="3" borderId="51" xfId="1" applyFont="1" applyFill="1" applyBorder="1" applyAlignment="1">
      <alignment horizontal="left"/>
    </xf>
    <xf numFmtId="0" fontId="35" fillId="0" borderId="49" xfId="0" applyNumberFormat="1" applyFont="1" applyFill="1" applyBorder="1" applyAlignment="1">
      <alignment horizontal="left"/>
    </xf>
    <xf numFmtId="0" fontId="35" fillId="0" borderId="51" xfId="0" applyNumberFormat="1" applyFont="1" applyFill="1" applyBorder="1" applyAlignment="1">
      <alignment horizontal="left"/>
    </xf>
    <xf numFmtId="0" fontId="35" fillId="0" borderId="53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5" borderId="0" xfId="0" applyFill="1"/>
    <xf numFmtId="0" fontId="0" fillId="26" borderId="0" xfId="0" applyFill="1"/>
    <xf numFmtId="44" fontId="0" fillId="26" borderId="0" xfId="1" applyFont="1" applyFill="1"/>
    <xf numFmtId="0" fontId="0" fillId="4" borderId="0" xfId="0" applyFill="1" applyBorder="1"/>
    <xf numFmtId="0" fontId="35" fillId="0" borderId="0" xfId="0" applyFont="1"/>
    <xf numFmtId="44" fontId="35" fillId="0" borderId="1" xfId="1" applyFont="1" applyBorder="1"/>
    <xf numFmtId="0" fontId="35" fillId="0" borderId="4" xfId="0" applyFont="1" applyBorder="1"/>
    <xf numFmtId="44" fontId="35" fillId="0" borderId="13" xfId="1" applyFont="1" applyBorder="1"/>
    <xf numFmtId="44" fontId="35" fillId="0" borderId="58" xfId="1" applyFont="1" applyBorder="1"/>
    <xf numFmtId="44" fontId="35" fillId="0" borderId="59" xfId="1" applyFont="1" applyBorder="1"/>
    <xf numFmtId="44" fontId="35" fillId="0" borderId="46" xfId="1" applyFont="1" applyBorder="1"/>
    <xf numFmtId="44" fontId="35" fillId="0" borderId="57" xfId="1" applyFont="1" applyBorder="1"/>
    <xf numFmtId="44" fontId="35" fillId="0" borderId="60" xfId="1" applyFont="1" applyBorder="1"/>
    <xf numFmtId="0" fontId="35" fillId="0" borderId="46" xfId="0" applyFont="1" applyBorder="1"/>
    <xf numFmtId="0" fontId="35" fillId="0" borderId="61" xfId="0" applyFont="1" applyBorder="1"/>
    <xf numFmtId="0" fontId="35" fillId="3" borderId="4" xfId="0" applyFont="1" applyFill="1" applyBorder="1"/>
    <xf numFmtId="0" fontId="35" fillId="0" borderId="62" xfId="0" applyFont="1" applyBorder="1"/>
    <xf numFmtId="0" fontId="35" fillId="3" borderId="63" xfId="0" applyFont="1" applyFill="1" applyBorder="1"/>
    <xf numFmtId="0" fontId="35" fillId="0" borderId="39" xfId="0" applyFont="1" applyBorder="1"/>
    <xf numFmtId="0" fontId="35" fillId="0" borderId="64" xfId="0" applyFont="1" applyBorder="1"/>
    <xf numFmtId="0" fontId="35" fillId="0" borderId="4" xfId="0" applyFont="1" applyBorder="1" applyAlignment="1">
      <alignment wrapText="1"/>
    </xf>
    <xf numFmtId="44" fontId="35" fillId="0" borderId="0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47" xfId="0" applyFont="1" applyBorder="1"/>
    <xf numFmtId="165" fontId="35" fillId="0" borderId="0" xfId="0" applyNumberFormat="1" applyFont="1"/>
    <xf numFmtId="44" fontId="35" fillId="0" borderId="0" xfId="1" applyFont="1"/>
    <xf numFmtId="165" fontId="0" fillId="0" borderId="0" xfId="1" applyNumberFormat="1" applyFont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4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9" fillId="0" borderId="14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16" xfId="0" applyFont="1" applyBorder="1" applyAlignment="1">
      <alignment horizontal="right"/>
    </xf>
    <xf numFmtId="0" fontId="29" fillId="0" borderId="14" xfId="0" applyFont="1" applyBorder="1" applyAlignment="1">
      <alignment horizontal="right"/>
    </xf>
    <xf numFmtId="0" fontId="29" fillId="0" borderId="15" xfId="0" applyFont="1" applyBorder="1" applyAlignment="1">
      <alignment horizontal="right"/>
    </xf>
    <xf numFmtId="0" fontId="29" fillId="0" borderId="16" xfId="0" applyFont="1" applyBorder="1" applyAlignment="1">
      <alignment horizontal="right"/>
    </xf>
    <xf numFmtId="44" fontId="27" fillId="0" borderId="44" xfId="0" applyNumberFormat="1" applyFont="1" applyBorder="1" applyAlignment="1">
      <alignment vertical="center"/>
    </xf>
    <xf numFmtId="0" fontId="27" fillId="0" borderId="44" xfId="0" applyFont="1" applyBorder="1" applyAlignment="1">
      <alignment vertical="center"/>
    </xf>
    <xf numFmtId="44" fontId="0" fillId="0" borderId="44" xfId="1" applyFont="1" applyBorder="1" applyAlignment="1">
      <alignment horizontal="center"/>
    </xf>
    <xf numFmtId="44" fontId="0" fillId="0" borderId="0" xfId="1" applyFont="1" applyAlignment="1">
      <alignment horizontal="center"/>
    </xf>
    <xf numFmtId="44" fontId="2" fillId="0" borderId="1" xfId="1" applyFont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7" fillId="6" borderId="26" xfId="0" applyFont="1" applyFill="1" applyBorder="1" applyAlignment="1">
      <alignment horizontal="center"/>
    </xf>
    <xf numFmtId="44" fontId="18" fillId="6" borderId="25" xfId="0" applyNumberFormat="1" applyFont="1" applyFill="1" applyBorder="1" applyAlignment="1">
      <alignment horizontal="center"/>
    </xf>
    <xf numFmtId="44" fontId="18" fillId="6" borderId="0" xfId="0" applyNumberFormat="1" applyFont="1" applyFill="1" applyBorder="1" applyAlignment="1">
      <alignment horizontal="center"/>
    </xf>
    <xf numFmtId="44" fontId="17" fillId="6" borderId="0" xfId="0" applyNumberFormat="1" applyFont="1" applyFill="1" applyAlignment="1"/>
    <xf numFmtId="0" fontId="17" fillId="6" borderId="0" xfId="0" applyFont="1" applyFill="1" applyAlignment="1"/>
    <xf numFmtId="44" fontId="18" fillId="6" borderId="25" xfId="1" applyFont="1" applyFill="1" applyBorder="1" applyAlignment="1">
      <alignment horizontal="center"/>
    </xf>
    <xf numFmtId="44" fontId="18" fillId="6" borderId="0" xfId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center"/>
    </xf>
    <xf numFmtId="0" fontId="17" fillId="25" borderId="34" xfId="0" applyFont="1" applyFill="1" applyBorder="1" applyAlignment="1">
      <alignment horizontal="center"/>
    </xf>
    <xf numFmtId="0" fontId="17" fillId="25" borderId="0" xfId="0" applyFont="1" applyFill="1" applyBorder="1" applyAlignment="1">
      <alignment horizontal="center"/>
    </xf>
    <xf numFmtId="0" fontId="17" fillId="25" borderId="35" xfId="0" applyFont="1" applyFill="1" applyBorder="1" applyAlignment="1">
      <alignment horizontal="center"/>
    </xf>
    <xf numFmtId="44" fontId="35" fillId="0" borderId="0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0" fillId="18" borderId="13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43" fillId="0" borderId="55" xfId="0" applyFont="1" applyFill="1" applyBorder="1" applyAlignment="1">
      <alignment horizontal="center" vertical="center"/>
    </xf>
    <xf numFmtId="0" fontId="43" fillId="0" borderId="5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44" fontId="0" fillId="0" borderId="0" xfId="1" applyFont="1" applyAlignment="1">
      <alignment horizontal="center" wrapText="1"/>
    </xf>
    <xf numFmtId="165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12" borderId="37" xfId="0" applyFont="1" applyFill="1" applyBorder="1" applyAlignment="1">
      <alignment horizontal="center" wrapText="1"/>
    </xf>
    <xf numFmtId="0" fontId="32" fillId="12" borderId="41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37" xfId="0" applyFont="1" applyFill="1" applyBorder="1" applyAlignment="1">
      <alignment horizontal="center" wrapText="1"/>
    </xf>
    <xf numFmtId="0" fontId="17" fillId="19" borderId="9" xfId="0" applyFont="1" applyFill="1" applyBorder="1" applyAlignment="1">
      <alignment horizontal="center" vertical="center" wrapText="1"/>
    </xf>
    <xf numFmtId="0" fontId="17" fillId="19" borderId="8" xfId="0" applyFont="1" applyFill="1" applyBorder="1" applyAlignment="1">
      <alignment horizontal="center" vertical="center" wrapText="1"/>
    </xf>
    <xf numFmtId="0" fontId="17" fillId="19" borderId="10" xfId="0" applyFont="1" applyFill="1" applyBorder="1" applyAlignment="1">
      <alignment horizontal="center" vertical="center" wrapText="1"/>
    </xf>
    <xf numFmtId="0" fontId="32" fillId="12" borderId="0" xfId="0" applyFont="1" applyFill="1" applyBorder="1" applyAlignment="1">
      <alignment horizontal="center" vertical="center" wrapText="1"/>
    </xf>
    <xf numFmtId="0" fontId="32" fillId="12" borderId="35" xfId="0" applyFont="1" applyFill="1" applyBorder="1" applyAlignment="1">
      <alignment horizontal="center" vertic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0" xfId="0" applyFont="1" applyFill="1" applyBorder="1" applyAlignment="1">
      <alignment horizontal="center" wrapText="1"/>
    </xf>
  </cellXfs>
  <cellStyles count="10">
    <cellStyle name="20% - Énfasis3 2" xfId="7"/>
    <cellStyle name="Cálculo 2" xfId="9"/>
    <cellStyle name="Entrada 2" xfId="8"/>
    <cellStyle name="Hipervínculo" xfId="2" builtinId="8"/>
    <cellStyle name="Millares" xfId="3" builtinId="3"/>
    <cellStyle name="Moneda" xfId="1" builtinId="4"/>
    <cellStyle name="Moneda 2" xfId="6"/>
    <cellStyle name="Normal" xfId="0" builtinId="0"/>
    <cellStyle name="Normal 2" xfId="5"/>
    <cellStyle name="Porcentual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5"/>
  <sheetViews>
    <sheetView topLeftCell="A60" zoomScale="98" zoomScaleNormal="98" workbookViewId="0">
      <selection activeCell="B72" sqref="B72"/>
    </sheetView>
  </sheetViews>
  <sheetFormatPr baseColWidth="10" defaultRowHeight="12.75"/>
  <cols>
    <col min="1" max="1" width="4" style="2" bestFit="1" customWidth="1"/>
    <col min="2" max="2" width="30.7109375" style="2" bestFit="1" customWidth="1"/>
    <col min="3" max="4" width="11.42578125" style="2"/>
    <col min="5" max="5" width="19.5703125" style="2" bestFit="1" customWidth="1"/>
    <col min="6" max="6" width="3" style="2" bestFit="1" customWidth="1"/>
    <col min="7" max="7" width="22.28515625" style="2" bestFit="1" customWidth="1"/>
    <col min="8" max="9" width="10" style="2" bestFit="1" customWidth="1"/>
    <col min="10" max="10" width="15.28515625" style="2" bestFit="1" customWidth="1"/>
    <col min="11" max="16384" width="11.42578125" style="2"/>
  </cols>
  <sheetData>
    <row r="1" spans="1:12" ht="15">
      <c r="A1" s="9">
        <v>1</v>
      </c>
      <c r="B1" s="14" t="s">
        <v>0</v>
      </c>
      <c r="C1" s="15">
        <v>0</v>
      </c>
      <c r="D1" s="15">
        <v>0</v>
      </c>
      <c r="E1" s="24" t="s">
        <v>37</v>
      </c>
      <c r="F1" s="2">
        <v>1</v>
      </c>
    </row>
    <row r="2" spans="1:12" ht="15">
      <c r="A2" s="9">
        <v>2</v>
      </c>
      <c r="B2" s="9" t="s">
        <v>144</v>
      </c>
      <c r="C2" s="10">
        <v>555</v>
      </c>
      <c r="D2" s="38">
        <v>0</v>
      </c>
      <c r="E2" s="39" t="s">
        <v>145</v>
      </c>
    </row>
    <row r="3" spans="1:12" ht="15">
      <c r="A3" s="9">
        <v>3</v>
      </c>
      <c r="B3" s="9" t="s">
        <v>75</v>
      </c>
      <c r="C3" s="10">
        <v>250</v>
      </c>
      <c r="D3" s="10">
        <v>305</v>
      </c>
      <c r="E3" s="40" t="s">
        <v>76</v>
      </c>
      <c r="F3" s="27"/>
    </row>
    <row r="4" spans="1:12" ht="15">
      <c r="A4" s="9">
        <v>4</v>
      </c>
      <c r="B4" s="9" t="s">
        <v>183</v>
      </c>
      <c r="C4" s="10">
        <v>250</v>
      </c>
      <c r="D4" s="10">
        <v>305</v>
      </c>
      <c r="E4" s="13" t="s">
        <v>31</v>
      </c>
      <c r="F4" s="27"/>
    </row>
    <row r="5" spans="1:12" ht="15">
      <c r="A5" s="9">
        <v>5</v>
      </c>
      <c r="B5" s="9" t="s">
        <v>139</v>
      </c>
      <c r="C5" s="49">
        <v>280</v>
      </c>
      <c r="D5" s="49">
        <v>0</v>
      </c>
      <c r="E5" s="48" t="s">
        <v>141</v>
      </c>
    </row>
    <row r="6" spans="1:12" ht="15">
      <c r="A6" s="9">
        <v>6</v>
      </c>
      <c r="B6" s="9" t="s">
        <v>178</v>
      </c>
      <c r="C6" s="10">
        <v>255</v>
      </c>
      <c r="D6" s="10">
        <v>300</v>
      </c>
      <c r="E6" s="39" t="s">
        <v>62</v>
      </c>
      <c r="H6" s="53"/>
    </row>
    <row r="7" spans="1:12" ht="15">
      <c r="A7" s="9">
        <v>7</v>
      </c>
      <c r="B7" s="9" t="s">
        <v>58</v>
      </c>
      <c r="C7" s="10">
        <v>255</v>
      </c>
      <c r="D7" s="10">
        <v>300</v>
      </c>
      <c r="E7" s="39" t="s">
        <v>59</v>
      </c>
    </row>
    <row r="8" spans="1:12" ht="15">
      <c r="A8" s="9">
        <v>8</v>
      </c>
      <c r="B8" s="9" t="s">
        <v>55</v>
      </c>
      <c r="C8" s="10">
        <v>255</v>
      </c>
      <c r="D8" s="10">
        <v>300</v>
      </c>
      <c r="E8" s="26" t="s">
        <v>184</v>
      </c>
    </row>
    <row r="9" spans="1:12" ht="15">
      <c r="A9" s="9">
        <v>9</v>
      </c>
      <c r="B9" s="11" t="s">
        <v>53</v>
      </c>
      <c r="C9" s="12">
        <v>255</v>
      </c>
      <c r="D9" s="12">
        <f>755-C9</f>
        <v>500</v>
      </c>
      <c r="E9" s="26" t="s">
        <v>31</v>
      </c>
      <c r="F9" s="2">
        <v>2</v>
      </c>
    </row>
    <row r="10" spans="1:12" ht="15">
      <c r="A10" s="9">
        <v>10</v>
      </c>
      <c r="B10" s="11" t="s">
        <v>52</v>
      </c>
      <c r="C10" s="12">
        <v>255</v>
      </c>
      <c r="D10" s="12">
        <f>755-C10</f>
        <v>500</v>
      </c>
      <c r="E10" s="26" t="s">
        <v>31</v>
      </c>
      <c r="F10" s="2">
        <v>3</v>
      </c>
    </row>
    <row r="11" spans="1:12" ht="15">
      <c r="A11" s="9">
        <v>11</v>
      </c>
      <c r="B11" s="11" t="s">
        <v>51</v>
      </c>
      <c r="C11" s="12">
        <v>270</v>
      </c>
      <c r="D11" s="12">
        <f>755-C11</f>
        <v>485</v>
      </c>
      <c r="E11" s="26" t="s">
        <v>31</v>
      </c>
      <c r="F11" s="2">
        <v>4</v>
      </c>
    </row>
    <row r="12" spans="1:12" ht="15">
      <c r="A12" s="9">
        <v>12</v>
      </c>
      <c r="B12" s="9" t="s">
        <v>49</v>
      </c>
      <c r="C12" s="10">
        <v>555</v>
      </c>
      <c r="D12" s="10">
        <v>0</v>
      </c>
      <c r="E12" s="26" t="s">
        <v>185</v>
      </c>
      <c r="H12" s="22"/>
    </row>
    <row r="13" spans="1:12" ht="15">
      <c r="A13" s="9">
        <v>13</v>
      </c>
      <c r="B13" s="9" t="s">
        <v>47</v>
      </c>
      <c r="C13" s="10">
        <v>555</v>
      </c>
      <c r="D13" s="10">
        <v>0</v>
      </c>
      <c r="E13" s="39" t="s">
        <v>48</v>
      </c>
    </row>
    <row r="14" spans="1:12" ht="15">
      <c r="A14" s="9">
        <v>14</v>
      </c>
      <c r="B14" s="9" t="s">
        <v>45</v>
      </c>
      <c r="C14" s="10">
        <v>250</v>
      </c>
      <c r="D14" s="10">
        <f>400-C14</f>
        <v>150</v>
      </c>
      <c r="E14" s="39" t="s">
        <v>46</v>
      </c>
      <c r="L14" s="3"/>
    </row>
    <row r="15" spans="1:12" ht="15">
      <c r="A15" s="9">
        <v>15</v>
      </c>
      <c r="B15" s="9" t="s">
        <v>69</v>
      </c>
      <c r="C15" s="38">
        <v>255</v>
      </c>
      <c r="D15" s="38">
        <v>300</v>
      </c>
      <c r="E15" s="39" t="s">
        <v>68</v>
      </c>
      <c r="L15" s="3"/>
    </row>
    <row r="16" spans="1:12" ht="15">
      <c r="A16" s="9">
        <v>16</v>
      </c>
      <c r="B16" s="9" t="s">
        <v>42</v>
      </c>
      <c r="C16" s="10">
        <v>255</v>
      </c>
      <c r="D16" s="10">
        <v>300</v>
      </c>
      <c r="E16" s="26" t="s">
        <v>186</v>
      </c>
    </row>
    <row r="17" spans="1:6" ht="15">
      <c r="A17" s="9">
        <v>17</v>
      </c>
      <c r="B17" s="9" t="s">
        <v>28</v>
      </c>
      <c r="C17" s="10">
        <v>400</v>
      </c>
      <c r="D17" s="10">
        <f>755-C17</f>
        <v>355</v>
      </c>
      <c r="E17" s="21" t="s">
        <v>38</v>
      </c>
      <c r="F17" s="2">
        <v>5</v>
      </c>
    </row>
    <row r="18" spans="1:6" ht="15">
      <c r="A18" s="9">
        <v>18</v>
      </c>
      <c r="B18" s="11" t="s">
        <v>27</v>
      </c>
      <c r="C18" s="12">
        <v>400</v>
      </c>
      <c r="D18" s="12">
        <f>555-C18</f>
        <v>155</v>
      </c>
      <c r="E18" s="13" t="s">
        <v>31</v>
      </c>
      <c r="F18" s="2">
        <v>6</v>
      </c>
    </row>
    <row r="19" spans="1:6" ht="15">
      <c r="A19" s="9">
        <v>19</v>
      </c>
      <c r="B19" s="9" t="s">
        <v>26</v>
      </c>
      <c r="C19" s="10">
        <v>255</v>
      </c>
      <c r="D19" s="10">
        <v>300</v>
      </c>
      <c r="E19" s="21" t="s">
        <v>36</v>
      </c>
    </row>
    <row r="20" spans="1:6" ht="15">
      <c r="A20" s="9">
        <v>20</v>
      </c>
      <c r="B20" s="9" t="s">
        <v>25</v>
      </c>
      <c r="C20" s="10">
        <v>555</v>
      </c>
      <c r="D20" s="10">
        <v>0</v>
      </c>
      <c r="E20" s="21" t="s">
        <v>35</v>
      </c>
    </row>
    <row r="21" spans="1:6" ht="15">
      <c r="A21" s="9">
        <v>21</v>
      </c>
      <c r="B21" s="9" t="s">
        <v>23</v>
      </c>
      <c r="C21" s="10">
        <v>300</v>
      </c>
      <c r="D21" s="10">
        <v>255</v>
      </c>
      <c r="E21" s="21" t="s">
        <v>34</v>
      </c>
    </row>
    <row r="22" spans="1:6" ht="15">
      <c r="A22" s="9">
        <v>22</v>
      </c>
      <c r="B22" s="11" t="s">
        <v>22</v>
      </c>
      <c r="C22" s="12">
        <f>400+350</f>
        <v>750</v>
      </c>
      <c r="D22" s="12">
        <f>755-C22</f>
        <v>5</v>
      </c>
      <c r="E22" s="21" t="s">
        <v>33</v>
      </c>
      <c r="F22" s="2">
        <v>7</v>
      </c>
    </row>
    <row r="23" spans="1:6" ht="15">
      <c r="A23" s="9">
        <v>23</v>
      </c>
      <c r="B23" s="9" t="s">
        <v>21</v>
      </c>
      <c r="C23" s="10">
        <v>255</v>
      </c>
      <c r="D23" s="10">
        <v>500</v>
      </c>
      <c r="E23" s="21" t="s">
        <v>32</v>
      </c>
      <c r="F23" s="59">
        <v>8</v>
      </c>
    </row>
    <row r="24" spans="1:6" ht="15">
      <c r="A24" s="9">
        <v>24</v>
      </c>
      <c r="B24" s="11" t="s">
        <v>18</v>
      </c>
      <c r="C24" s="12">
        <v>355</v>
      </c>
      <c r="D24" s="12">
        <f>755-C24</f>
        <v>400</v>
      </c>
      <c r="E24" s="21" t="s">
        <v>30</v>
      </c>
      <c r="F24" s="2">
        <v>9</v>
      </c>
    </row>
    <row r="25" spans="1:6" ht="15">
      <c r="A25" s="9">
        <v>25</v>
      </c>
      <c r="B25" s="9" t="s">
        <v>19</v>
      </c>
      <c r="C25" s="10">
        <v>255</v>
      </c>
      <c r="D25" s="10">
        <f>555-C25</f>
        <v>300</v>
      </c>
      <c r="E25" s="13" t="s">
        <v>31</v>
      </c>
    </row>
    <row r="26" spans="1:6" ht="15">
      <c r="A26" s="9">
        <v>26</v>
      </c>
      <c r="B26" s="9" t="s">
        <v>20</v>
      </c>
      <c r="C26" s="10">
        <v>255</v>
      </c>
      <c r="D26" s="10">
        <v>300</v>
      </c>
      <c r="E26" s="13" t="s">
        <v>31</v>
      </c>
    </row>
    <row r="27" spans="1:6" ht="15">
      <c r="A27" s="9">
        <v>27</v>
      </c>
      <c r="B27" s="9" t="s">
        <v>90</v>
      </c>
      <c r="C27" s="41">
        <v>255</v>
      </c>
      <c r="D27" s="41">
        <v>300</v>
      </c>
      <c r="E27" s="13" t="s">
        <v>31</v>
      </c>
    </row>
    <row r="28" spans="1:6" ht="15">
      <c r="A28" s="9">
        <v>28</v>
      </c>
      <c r="B28" s="9" t="s">
        <v>147</v>
      </c>
      <c r="C28" s="10">
        <v>755</v>
      </c>
      <c r="D28" s="10">
        <v>0</v>
      </c>
      <c r="E28" s="40" t="s">
        <v>138</v>
      </c>
      <c r="F28" s="2">
        <v>10</v>
      </c>
    </row>
    <row r="29" spans="1:6" ht="15">
      <c r="A29" s="9">
        <v>29</v>
      </c>
      <c r="B29" s="9" t="s">
        <v>148</v>
      </c>
      <c r="C29" s="10">
        <v>0</v>
      </c>
      <c r="D29" s="38">
        <v>555</v>
      </c>
      <c r="E29" s="40" t="s">
        <v>138</v>
      </c>
    </row>
    <row r="30" spans="1:6" ht="15">
      <c r="A30" s="9">
        <v>30</v>
      </c>
      <c r="B30" s="9" t="s">
        <v>100</v>
      </c>
      <c r="C30" s="41">
        <v>555</v>
      </c>
      <c r="D30" s="41">
        <v>0</v>
      </c>
      <c r="E30" s="13" t="s">
        <v>31</v>
      </c>
    </row>
    <row r="31" spans="1:6" ht="15">
      <c r="A31" s="9">
        <v>31</v>
      </c>
      <c r="B31" s="1" t="s">
        <v>142</v>
      </c>
      <c r="C31" s="41">
        <v>755</v>
      </c>
      <c r="D31" s="41">
        <v>0</v>
      </c>
      <c r="E31" s="40" t="s">
        <v>149</v>
      </c>
      <c r="F31" s="2">
        <v>11</v>
      </c>
    </row>
    <row r="32" spans="1:6" ht="15">
      <c r="A32" s="9">
        <v>32</v>
      </c>
      <c r="B32" s="1" t="s">
        <v>146</v>
      </c>
      <c r="C32" s="41">
        <v>255</v>
      </c>
      <c r="D32" s="41">
        <v>300</v>
      </c>
      <c r="E32" s="40" t="s">
        <v>150</v>
      </c>
    </row>
    <row r="33" spans="1:10" ht="15">
      <c r="A33" s="9">
        <v>33</v>
      </c>
      <c r="B33" s="1" t="s">
        <v>190</v>
      </c>
      <c r="C33" s="41">
        <v>255</v>
      </c>
      <c r="D33" s="10">
        <v>300</v>
      </c>
      <c r="E33" s="40" t="s">
        <v>129</v>
      </c>
    </row>
    <row r="34" spans="1:10" ht="15">
      <c r="A34" s="9">
        <v>34</v>
      </c>
      <c r="B34" s="1" t="s">
        <v>189</v>
      </c>
      <c r="C34" s="41">
        <v>355</v>
      </c>
      <c r="D34" s="10">
        <v>400</v>
      </c>
      <c r="E34" s="13" t="s">
        <v>31</v>
      </c>
      <c r="F34" s="2">
        <v>12</v>
      </c>
    </row>
    <row r="35" spans="1:10" ht="15">
      <c r="A35" s="9">
        <v>35</v>
      </c>
      <c r="B35" s="1" t="s">
        <v>110</v>
      </c>
      <c r="C35" s="41">
        <v>755</v>
      </c>
      <c r="D35" s="41">
        <v>0</v>
      </c>
      <c r="E35" s="40" t="s">
        <v>111</v>
      </c>
      <c r="F35" s="2">
        <v>13</v>
      </c>
    </row>
    <row r="36" spans="1:10" ht="15">
      <c r="A36" s="9">
        <v>36</v>
      </c>
      <c r="B36" s="9" t="s">
        <v>136</v>
      </c>
      <c r="C36" s="10">
        <v>0</v>
      </c>
      <c r="D36" s="41">
        <v>0</v>
      </c>
      <c r="E36" s="40" t="s">
        <v>137</v>
      </c>
    </row>
    <row r="37" spans="1:10" ht="15">
      <c r="A37" s="9">
        <v>37</v>
      </c>
      <c r="B37" s="1" t="s">
        <v>57</v>
      </c>
      <c r="C37" s="41" t="s">
        <v>124</v>
      </c>
      <c r="D37" s="10">
        <v>0</v>
      </c>
      <c r="E37" s="40" t="s">
        <v>60</v>
      </c>
      <c r="G37" s="29"/>
      <c r="H37" s="29"/>
      <c r="I37" s="29"/>
    </row>
    <row r="38" spans="1:10" ht="15">
      <c r="A38" s="9">
        <v>38</v>
      </c>
      <c r="B38" s="1" t="s">
        <v>56</v>
      </c>
      <c r="C38" s="41">
        <v>0</v>
      </c>
      <c r="D38" s="10">
        <v>0</v>
      </c>
      <c r="E38" s="40" t="s">
        <v>61</v>
      </c>
      <c r="G38" s="29"/>
      <c r="H38" s="29"/>
      <c r="I38" s="29"/>
    </row>
    <row r="39" spans="1:10" ht="15">
      <c r="A39" s="9">
        <v>39</v>
      </c>
      <c r="B39" s="9" t="s">
        <v>108</v>
      </c>
      <c r="C39" s="10">
        <f>255+255</f>
        <v>510</v>
      </c>
      <c r="D39" s="41">
        <f>555-C39</f>
        <v>45</v>
      </c>
      <c r="E39" s="40" t="s">
        <v>140</v>
      </c>
      <c r="G39" s="58"/>
      <c r="H39" s="31"/>
      <c r="I39" s="32"/>
    </row>
    <row r="40" spans="1:10" ht="15">
      <c r="A40" s="9">
        <v>40</v>
      </c>
      <c r="B40" s="9" t="s">
        <v>107</v>
      </c>
      <c r="C40" s="10">
        <v>255</v>
      </c>
      <c r="D40" s="41">
        <v>300</v>
      </c>
      <c r="E40" s="1" t="s">
        <v>31</v>
      </c>
      <c r="G40" s="58"/>
      <c r="H40" s="33"/>
      <c r="I40" s="32"/>
    </row>
    <row r="41" spans="1:10" ht="15">
      <c r="A41" s="9">
        <v>41</v>
      </c>
      <c r="B41" s="9" t="s">
        <v>161</v>
      </c>
      <c r="C41" s="10">
        <v>255</v>
      </c>
      <c r="D41" s="41">
        <v>500</v>
      </c>
      <c r="E41" s="40" t="s">
        <v>109</v>
      </c>
      <c r="F41" s="6"/>
      <c r="G41" s="58"/>
      <c r="H41" s="33"/>
      <c r="I41" s="32"/>
    </row>
    <row r="42" spans="1:10" ht="15">
      <c r="A42" s="9">
        <v>42</v>
      </c>
      <c r="B42" s="9" t="s">
        <v>112</v>
      </c>
      <c r="C42" s="10">
        <v>555</v>
      </c>
      <c r="D42" s="41">
        <v>555</v>
      </c>
      <c r="E42" s="40" t="s">
        <v>114</v>
      </c>
      <c r="G42" s="58"/>
      <c r="H42" s="58"/>
      <c r="I42" s="58"/>
      <c r="J42" s="58"/>
    </row>
    <row r="43" spans="1:10" ht="15">
      <c r="A43" s="9">
        <v>43</v>
      </c>
      <c r="B43" s="9" t="s">
        <v>113</v>
      </c>
      <c r="C43" s="10">
        <v>555</v>
      </c>
      <c r="D43" s="41">
        <v>555</v>
      </c>
      <c r="E43" s="1" t="s">
        <v>31</v>
      </c>
      <c r="G43" s="58"/>
      <c r="H43" s="58"/>
      <c r="I43" s="58"/>
      <c r="J43" s="58"/>
    </row>
    <row r="44" spans="1:10" ht="15">
      <c r="A44" s="9">
        <v>44</v>
      </c>
      <c r="B44" s="9" t="s">
        <v>115</v>
      </c>
      <c r="C44" s="10">
        <v>255</v>
      </c>
      <c r="D44" s="41">
        <v>300</v>
      </c>
      <c r="E44" s="40" t="s">
        <v>104</v>
      </c>
      <c r="F44" s="6"/>
      <c r="G44" s="58"/>
      <c r="H44" s="58"/>
      <c r="I44" s="58"/>
      <c r="J44" s="58"/>
    </row>
    <row r="45" spans="1:10" ht="15">
      <c r="A45" s="9">
        <v>45</v>
      </c>
      <c r="B45" s="9" t="s">
        <v>118</v>
      </c>
      <c r="C45" s="10">
        <v>255</v>
      </c>
      <c r="D45" s="41">
        <f>495-C45</f>
        <v>240</v>
      </c>
      <c r="E45" s="40" t="s">
        <v>119</v>
      </c>
      <c r="F45" s="6"/>
      <c r="G45" s="58"/>
      <c r="H45" s="58"/>
      <c r="I45" s="58"/>
      <c r="J45" s="58"/>
    </row>
    <row r="46" spans="1:10" ht="15">
      <c r="A46" s="9">
        <v>46</v>
      </c>
      <c r="B46" s="9" t="s">
        <v>82</v>
      </c>
      <c r="C46" s="10">
        <v>255</v>
      </c>
      <c r="D46" s="41">
        <v>300</v>
      </c>
      <c r="E46" s="1" t="s">
        <v>31</v>
      </c>
      <c r="F46" s="6"/>
      <c r="G46" s="58"/>
      <c r="H46" s="58"/>
      <c r="I46" s="58"/>
      <c r="J46" s="58"/>
    </row>
    <row r="47" spans="1:10" ht="15">
      <c r="A47" s="9">
        <v>47</v>
      </c>
      <c r="B47" s="9" t="s">
        <v>81</v>
      </c>
      <c r="C47" s="10">
        <v>255</v>
      </c>
      <c r="D47" s="41">
        <v>300</v>
      </c>
      <c r="E47" s="40" t="s">
        <v>88</v>
      </c>
      <c r="G47" s="58"/>
      <c r="H47" s="58"/>
      <c r="I47" s="58"/>
      <c r="J47" s="58"/>
    </row>
    <row r="48" spans="1:10" ht="15">
      <c r="A48" s="9">
        <v>48</v>
      </c>
      <c r="B48" s="1" t="s">
        <v>123</v>
      </c>
      <c r="C48" s="41">
        <v>255</v>
      </c>
      <c r="D48" s="10">
        <v>300</v>
      </c>
      <c r="E48" s="40" t="s">
        <v>122</v>
      </c>
      <c r="G48" s="58"/>
      <c r="H48" s="58"/>
      <c r="I48" s="58"/>
      <c r="J48" s="58"/>
    </row>
    <row r="49" spans="1:10" ht="15">
      <c r="A49" s="9">
        <v>49</v>
      </c>
      <c r="B49" s="1" t="s">
        <v>125</v>
      </c>
      <c r="C49" s="41">
        <v>260</v>
      </c>
      <c r="D49" s="10">
        <f>555-C49</f>
        <v>295</v>
      </c>
      <c r="E49" s="40" t="s">
        <v>126</v>
      </c>
      <c r="G49" s="58"/>
      <c r="H49" s="58"/>
      <c r="I49" s="58"/>
      <c r="J49" s="58"/>
    </row>
    <row r="50" spans="1:10" ht="15">
      <c r="A50" s="9">
        <v>50</v>
      </c>
      <c r="B50" s="1" t="s">
        <v>130</v>
      </c>
      <c r="C50" s="41">
        <v>255</v>
      </c>
      <c r="D50" s="10">
        <v>300</v>
      </c>
      <c r="E50" s="1" t="s">
        <v>31</v>
      </c>
      <c r="G50" s="58"/>
      <c r="H50" s="58"/>
      <c r="I50" s="58"/>
      <c r="J50" s="58"/>
    </row>
    <row r="51" spans="1:10" ht="15">
      <c r="A51" s="9">
        <v>51</v>
      </c>
      <c r="B51" s="1" t="s">
        <v>131</v>
      </c>
      <c r="C51" s="41">
        <v>255</v>
      </c>
      <c r="D51" s="10">
        <v>300</v>
      </c>
      <c r="E51" s="40" t="s">
        <v>151</v>
      </c>
      <c r="G51" s="58"/>
      <c r="H51" s="58"/>
      <c r="I51" s="58"/>
      <c r="J51" s="58"/>
    </row>
    <row r="52" spans="1:10" ht="15">
      <c r="A52" s="9">
        <v>52</v>
      </c>
      <c r="B52" s="9" t="s">
        <v>102</v>
      </c>
      <c r="C52" s="41">
        <v>255</v>
      </c>
      <c r="D52" s="41">
        <v>300</v>
      </c>
      <c r="E52" s="40" t="s">
        <v>103</v>
      </c>
    </row>
    <row r="53" spans="1:10" ht="15">
      <c r="A53" s="9">
        <v>53</v>
      </c>
      <c r="B53" s="9" t="s">
        <v>105</v>
      </c>
      <c r="C53" s="41">
        <v>555</v>
      </c>
      <c r="D53" s="41">
        <v>0</v>
      </c>
      <c r="E53" s="40" t="s">
        <v>106</v>
      </c>
    </row>
    <row r="54" spans="1:10" ht="15">
      <c r="A54" s="9">
        <v>54</v>
      </c>
      <c r="B54" s="9" t="s">
        <v>132</v>
      </c>
      <c r="C54" s="49">
        <v>555</v>
      </c>
      <c r="D54" s="49">
        <v>0</v>
      </c>
      <c r="E54" s="39" t="s">
        <v>135</v>
      </c>
    </row>
    <row r="55" spans="1:10" ht="15">
      <c r="A55" s="9">
        <v>55</v>
      </c>
      <c r="B55" s="9" t="s">
        <v>133</v>
      </c>
      <c r="C55" s="49">
        <v>555</v>
      </c>
      <c r="D55" s="49">
        <v>0</v>
      </c>
      <c r="E55" s="48" t="s">
        <v>31</v>
      </c>
    </row>
    <row r="56" spans="1:10" ht="15">
      <c r="A56" s="9">
        <v>56</v>
      </c>
      <c r="B56" s="9" t="s">
        <v>97</v>
      </c>
      <c r="C56" s="41">
        <f>510/2</f>
        <v>255</v>
      </c>
      <c r="D56" s="41">
        <f>555-C56</f>
        <v>300</v>
      </c>
      <c r="E56" s="40" t="s">
        <v>96</v>
      </c>
    </row>
    <row r="57" spans="1:10" ht="15">
      <c r="A57" s="9">
        <v>57</v>
      </c>
      <c r="B57" s="9" t="s">
        <v>98</v>
      </c>
      <c r="C57" s="41">
        <v>255</v>
      </c>
      <c r="D57" s="41">
        <v>300</v>
      </c>
      <c r="E57" s="13" t="s">
        <v>31</v>
      </c>
    </row>
    <row r="58" spans="1:10" ht="15">
      <c r="A58" s="9">
        <v>58</v>
      </c>
      <c r="B58" s="9" t="s">
        <v>143</v>
      </c>
      <c r="C58" s="10">
        <v>555</v>
      </c>
      <c r="D58" s="10">
        <v>0</v>
      </c>
      <c r="E58" s="40" t="s">
        <v>152</v>
      </c>
    </row>
    <row r="59" spans="1:10" ht="15">
      <c r="A59" s="9">
        <v>59</v>
      </c>
      <c r="B59" s="9" t="s">
        <v>99</v>
      </c>
      <c r="C59" s="41">
        <v>555</v>
      </c>
      <c r="D59" s="41">
        <v>0</v>
      </c>
      <c r="E59" s="40" t="s">
        <v>101</v>
      </c>
    </row>
    <row r="60" spans="1:10" ht="15">
      <c r="A60" s="9">
        <v>60</v>
      </c>
      <c r="B60" s="9" t="s">
        <v>91</v>
      </c>
      <c r="C60" s="41">
        <v>255</v>
      </c>
      <c r="D60" s="41">
        <v>300</v>
      </c>
      <c r="E60" s="40" t="s">
        <v>89</v>
      </c>
    </row>
    <row r="61" spans="1:10" ht="15">
      <c r="A61" s="9">
        <v>61</v>
      </c>
      <c r="B61" s="9" t="s">
        <v>154</v>
      </c>
      <c r="C61" s="41">
        <v>300</v>
      </c>
      <c r="D61" s="41">
        <v>255</v>
      </c>
      <c r="E61" s="40" t="s">
        <v>153</v>
      </c>
    </row>
    <row r="62" spans="1:10" ht="15">
      <c r="A62" s="9">
        <v>62</v>
      </c>
      <c r="B62" s="9" t="s">
        <v>159</v>
      </c>
      <c r="C62" s="41">
        <v>555</v>
      </c>
      <c r="D62" s="10">
        <v>0</v>
      </c>
      <c r="E62" s="40" t="s">
        <v>134</v>
      </c>
    </row>
    <row r="63" spans="1:10" ht="15">
      <c r="A63" s="9">
        <v>63</v>
      </c>
      <c r="B63" s="9" t="s">
        <v>160</v>
      </c>
      <c r="C63" s="41">
        <v>555</v>
      </c>
      <c r="D63" s="41">
        <v>0</v>
      </c>
      <c r="E63" s="40" t="s">
        <v>134</v>
      </c>
    </row>
    <row r="64" spans="1:10" ht="15">
      <c r="A64" s="9">
        <v>64</v>
      </c>
      <c r="B64" s="9" t="s">
        <v>162</v>
      </c>
      <c r="C64" s="10">
        <v>255</v>
      </c>
      <c r="D64" s="10">
        <v>0</v>
      </c>
      <c r="E64" s="40" t="s">
        <v>180</v>
      </c>
    </row>
    <row r="65" spans="1:5" ht="15">
      <c r="A65" s="9">
        <v>65</v>
      </c>
      <c r="B65" s="9" t="s">
        <v>164</v>
      </c>
      <c r="C65" s="10">
        <v>555</v>
      </c>
      <c r="D65" s="10">
        <v>0</v>
      </c>
      <c r="E65" s="40" t="s">
        <v>181</v>
      </c>
    </row>
    <row r="66" spans="1:5" ht="15">
      <c r="A66" s="9">
        <v>66</v>
      </c>
      <c r="B66" s="9" t="s">
        <v>166</v>
      </c>
      <c r="C66" s="10">
        <v>555</v>
      </c>
      <c r="D66" s="10">
        <v>0</v>
      </c>
      <c r="E66" s="40" t="s">
        <v>167</v>
      </c>
    </row>
    <row r="67" spans="1:5" ht="15">
      <c r="A67" s="9">
        <v>67</v>
      </c>
      <c r="B67" s="9" t="s">
        <v>168</v>
      </c>
      <c r="C67" s="10">
        <v>255</v>
      </c>
      <c r="D67" s="10">
        <v>300</v>
      </c>
      <c r="E67" s="40" t="s">
        <v>169</v>
      </c>
    </row>
    <row r="68" spans="1:5" ht="15">
      <c r="A68" s="9">
        <v>68</v>
      </c>
      <c r="B68" s="11" t="s">
        <v>156</v>
      </c>
      <c r="C68" s="12">
        <v>0</v>
      </c>
      <c r="D68" s="12">
        <v>400</v>
      </c>
      <c r="E68" s="13" t="s">
        <v>157</v>
      </c>
    </row>
    <row r="69" spans="1:5" ht="15">
      <c r="A69" s="9">
        <v>69</v>
      </c>
      <c r="B69" s="11" t="s">
        <v>24</v>
      </c>
      <c r="C69" s="12">
        <v>0</v>
      </c>
      <c r="D69" s="12">
        <v>555</v>
      </c>
      <c r="E69" s="13" t="s">
        <v>87</v>
      </c>
    </row>
    <row r="70" spans="1:5" ht="15">
      <c r="A70" s="9">
        <v>70</v>
      </c>
      <c r="B70" s="11" t="s">
        <v>163</v>
      </c>
      <c r="C70" s="10"/>
      <c r="D70" s="56">
        <v>555</v>
      </c>
      <c r="E70" s="26" t="s">
        <v>182</v>
      </c>
    </row>
    <row r="71" spans="1:5" ht="15">
      <c r="A71" s="9">
        <v>71</v>
      </c>
      <c r="B71" s="11" t="s">
        <v>43</v>
      </c>
      <c r="C71" s="12">
        <v>0</v>
      </c>
      <c r="D71" s="12">
        <v>555</v>
      </c>
      <c r="E71" s="26" t="s">
        <v>44</v>
      </c>
    </row>
    <row r="72" spans="1:5" ht="15">
      <c r="A72" s="9">
        <v>72</v>
      </c>
      <c r="B72" s="13" t="s">
        <v>120</v>
      </c>
      <c r="C72" s="7"/>
      <c r="D72" s="12">
        <v>555</v>
      </c>
      <c r="E72" s="13" t="s">
        <v>121</v>
      </c>
    </row>
    <row r="73" spans="1:5" ht="15">
      <c r="A73" s="9">
        <v>73</v>
      </c>
      <c r="B73" s="9" t="s">
        <v>170</v>
      </c>
      <c r="C73" s="10">
        <v>0</v>
      </c>
      <c r="D73" s="38">
        <v>555</v>
      </c>
      <c r="E73" s="25" t="s">
        <v>172</v>
      </c>
    </row>
    <row r="74" spans="1:5" ht="15">
      <c r="A74" s="9">
        <v>74</v>
      </c>
      <c r="B74" s="9" t="s">
        <v>171</v>
      </c>
      <c r="C74" s="10">
        <v>0</v>
      </c>
      <c r="D74" s="10">
        <v>555</v>
      </c>
      <c r="E74" s="25" t="s">
        <v>172</v>
      </c>
    </row>
    <row r="75" spans="1:5" ht="15">
      <c r="A75" s="9">
        <v>75</v>
      </c>
      <c r="B75" s="1" t="s">
        <v>116</v>
      </c>
      <c r="C75" s="41"/>
      <c r="D75" s="10">
        <v>280</v>
      </c>
      <c r="E75" s="1" t="s">
        <v>117</v>
      </c>
    </row>
    <row r="76" spans="1:5" ht="15">
      <c r="A76" s="9">
        <v>76</v>
      </c>
      <c r="B76" s="9" t="s">
        <v>158</v>
      </c>
      <c r="C76" s="10">
        <v>0</v>
      </c>
      <c r="D76" s="10">
        <v>555</v>
      </c>
      <c r="E76" s="1" t="s">
        <v>177</v>
      </c>
    </row>
    <row r="77" spans="1:5" ht="15">
      <c r="A77" s="9">
        <v>77</v>
      </c>
      <c r="B77" s="9" t="s">
        <v>200</v>
      </c>
      <c r="C77" s="10"/>
      <c r="D77" s="38">
        <v>755</v>
      </c>
      <c r="E77" s="25" t="s">
        <v>31</v>
      </c>
    </row>
    <row r="78" spans="1:5" ht="15">
      <c r="A78" s="9">
        <v>78</v>
      </c>
      <c r="B78" s="9" t="s">
        <v>197</v>
      </c>
      <c r="C78" s="10"/>
      <c r="D78" s="38">
        <v>555</v>
      </c>
      <c r="E78" s="25" t="s">
        <v>198</v>
      </c>
    </row>
    <row r="79" spans="1:5" ht="15">
      <c r="A79" s="9">
        <v>79</v>
      </c>
      <c r="B79" s="9" t="s">
        <v>196</v>
      </c>
      <c r="C79" s="10"/>
      <c r="D79" s="38">
        <v>555</v>
      </c>
      <c r="E79" s="25" t="s">
        <v>199</v>
      </c>
    </row>
    <row r="80" spans="1:5" ht="15">
      <c r="A80" s="9">
        <v>80</v>
      </c>
      <c r="B80" s="9" t="s">
        <v>195</v>
      </c>
      <c r="C80" s="10"/>
      <c r="D80" s="38">
        <v>555</v>
      </c>
      <c r="E80" s="25" t="s">
        <v>31</v>
      </c>
    </row>
    <row r="81" spans="1:5" ht="15">
      <c r="A81" s="9">
        <v>81</v>
      </c>
      <c r="B81" s="9" t="s">
        <v>194</v>
      </c>
      <c r="C81" s="10">
        <v>0</v>
      </c>
      <c r="D81" s="38">
        <v>555</v>
      </c>
      <c r="E81" s="25" t="s">
        <v>31</v>
      </c>
    </row>
    <row r="82" spans="1:5" ht="15">
      <c r="A82" s="9">
        <v>82</v>
      </c>
      <c r="B82" s="9" t="s">
        <v>193</v>
      </c>
      <c r="C82" s="10">
        <v>0</v>
      </c>
      <c r="D82" s="38">
        <v>555</v>
      </c>
      <c r="E82" s="25" t="s">
        <v>31</v>
      </c>
    </row>
    <row r="83" spans="1:5" ht="15">
      <c r="A83" s="9">
        <v>83</v>
      </c>
      <c r="B83" s="9" t="s">
        <v>192</v>
      </c>
      <c r="C83" s="10">
        <v>0</v>
      </c>
      <c r="D83" s="38">
        <v>555</v>
      </c>
      <c r="E83" s="25" t="s">
        <v>31</v>
      </c>
    </row>
    <row r="84" spans="1:5" ht="15">
      <c r="A84" s="9">
        <v>84</v>
      </c>
      <c r="B84" s="9"/>
      <c r="C84" s="10"/>
      <c r="D84" s="38">
        <v>555</v>
      </c>
      <c r="E84" s="25"/>
    </row>
    <row r="85" spans="1:5" ht="15">
      <c r="A85" s="9">
        <v>85</v>
      </c>
      <c r="B85" s="9"/>
      <c r="C85" s="10"/>
      <c r="D85" s="38">
        <v>555</v>
      </c>
      <c r="E85" s="25"/>
    </row>
    <row r="86" spans="1:5" ht="15">
      <c r="A86" s="9">
        <v>86</v>
      </c>
      <c r="B86" s="9"/>
      <c r="C86" s="10"/>
      <c r="D86" s="38">
        <v>555</v>
      </c>
      <c r="E86" s="25"/>
    </row>
    <row r="87" spans="1:5">
      <c r="C87" s="6">
        <f>SUM(C1:C86)</f>
        <v>23470</v>
      </c>
      <c r="D87" s="6">
        <f>SUM(D1:D86)</f>
        <v>24530</v>
      </c>
    </row>
    <row r="88" spans="1:5">
      <c r="B88" s="16" t="s">
        <v>1</v>
      </c>
      <c r="C88" s="18">
        <v>2</v>
      </c>
      <c r="D88" s="7">
        <f>5700*2</f>
        <v>11400</v>
      </c>
    </row>
    <row r="89" spans="1:5">
      <c r="B89" s="16" t="s">
        <v>2</v>
      </c>
      <c r="C89" s="20">
        <v>73</v>
      </c>
      <c r="D89" s="7">
        <f>270*C89</f>
        <v>19710</v>
      </c>
    </row>
    <row r="90" spans="1:5">
      <c r="B90" s="16" t="s">
        <v>3</v>
      </c>
      <c r="C90" s="20">
        <v>13</v>
      </c>
      <c r="D90" s="7">
        <f>450*C90</f>
        <v>5850</v>
      </c>
    </row>
    <row r="91" spans="1:5">
      <c r="B91" s="16" t="s">
        <v>4</v>
      </c>
      <c r="C91" s="18">
        <f>C90+C89</f>
        <v>86</v>
      </c>
      <c r="D91" s="7">
        <f>D90+D89</f>
        <v>25560</v>
      </c>
    </row>
    <row r="92" spans="1:5">
      <c r="B92" s="57" t="s">
        <v>9</v>
      </c>
      <c r="C92" s="19" t="s">
        <v>40</v>
      </c>
      <c r="D92" s="7">
        <f>20+25+80+135+136+500</f>
        <v>896</v>
      </c>
    </row>
    <row r="93" spans="1:5">
      <c r="B93" s="612" t="s">
        <v>5</v>
      </c>
      <c r="C93" s="613"/>
      <c r="D93" s="7">
        <f>D91+D88</f>
        <v>36960</v>
      </c>
    </row>
    <row r="94" spans="1:5">
      <c r="B94" s="612" t="s">
        <v>6</v>
      </c>
      <c r="C94" s="613"/>
      <c r="D94" s="7">
        <f>D87+C87</f>
        <v>48000</v>
      </c>
    </row>
    <row r="95" spans="1:5">
      <c r="B95" s="612" t="s">
        <v>7</v>
      </c>
      <c r="C95" s="613"/>
      <c r="D95" s="7">
        <f>D94-D93</f>
        <v>11040</v>
      </c>
    </row>
  </sheetData>
  <mergeCells count="3">
    <mergeCell ref="B93:C93"/>
    <mergeCell ref="B94:C94"/>
    <mergeCell ref="B95:C9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63"/>
  <sheetViews>
    <sheetView topLeftCell="A34" workbookViewId="0">
      <selection activeCell="A65" sqref="A65"/>
    </sheetView>
  </sheetViews>
  <sheetFormatPr baseColWidth="10" defaultRowHeight="15"/>
  <cols>
    <col min="1" max="1" width="20.42578125" bestFit="1" customWidth="1"/>
    <col min="2" max="3" width="11.5703125" bestFit="1" customWidth="1"/>
    <col min="6" max="6" width="15.42578125" style="78" customWidth="1"/>
  </cols>
  <sheetData>
    <row r="1" spans="1:7">
      <c r="A1" s="8" t="s">
        <v>828</v>
      </c>
      <c r="B1" s="8">
        <f>565/2</f>
        <v>282.5</v>
      </c>
      <c r="C1" s="8">
        <f>565-B1</f>
        <v>282.5</v>
      </c>
      <c r="D1" s="132">
        <v>43174</v>
      </c>
      <c r="E1" s="67" t="s">
        <v>212</v>
      </c>
      <c r="F1" s="209" t="s">
        <v>889</v>
      </c>
    </row>
    <row r="2" spans="1:7">
      <c r="A2" s="8" t="s">
        <v>829</v>
      </c>
      <c r="B2" s="8">
        <v>282.5</v>
      </c>
      <c r="C2" s="8">
        <v>282.5</v>
      </c>
      <c r="D2" s="132">
        <v>43174</v>
      </c>
      <c r="E2" s="67" t="s">
        <v>211</v>
      </c>
      <c r="F2" s="209" t="s">
        <v>889</v>
      </c>
    </row>
    <row r="3" spans="1:7">
      <c r="A3" s="8" t="s">
        <v>891</v>
      </c>
      <c r="B3" s="8">
        <f>530/2</f>
        <v>265</v>
      </c>
      <c r="C3" s="8">
        <f>565-B3</f>
        <v>300</v>
      </c>
      <c r="D3" s="132">
        <v>43174</v>
      </c>
      <c r="E3" s="67" t="s">
        <v>887</v>
      </c>
      <c r="F3" s="209" t="s">
        <v>888</v>
      </c>
    </row>
    <row r="4" spans="1:7">
      <c r="A4" s="8" t="s">
        <v>892</v>
      </c>
      <c r="B4" s="8">
        <v>265</v>
      </c>
      <c r="C4" s="8">
        <v>300</v>
      </c>
      <c r="D4" s="132">
        <v>43174</v>
      </c>
      <c r="E4" s="67" t="s">
        <v>211</v>
      </c>
      <c r="F4" s="209" t="s">
        <v>890</v>
      </c>
    </row>
    <row r="5" spans="1:7">
      <c r="A5" s="8" t="s">
        <v>970</v>
      </c>
      <c r="B5" s="8">
        <f>265+265</f>
        <v>530</v>
      </c>
      <c r="C5" s="8">
        <f>565-B5</f>
        <v>35</v>
      </c>
      <c r="D5" s="8" t="s">
        <v>969</v>
      </c>
      <c r="E5" s="67" t="s">
        <v>157</v>
      </c>
      <c r="F5" s="293" t="s">
        <v>711</v>
      </c>
    </row>
    <row r="6" spans="1:7">
      <c r="A6" s="8" t="s">
        <v>971</v>
      </c>
      <c r="B6" s="8">
        <v>265</v>
      </c>
      <c r="C6" s="8">
        <v>300</v>
      </c>
      <c r="D6" s="8" t="s">
        <v>969</v>
      </c>
      <c r="E6" s="67" t="s">
        <v>211</v>
      </c>
      <c r="F6" s="293" t="s">
        <v>956</v>
      </c>
    </row>
    <row r="7" spans="1:7">
      <c r="A7" s="8" t="s">
        <v>987</v>
      </c>
      <c r="B7" s="8">
        <v>365</v>
      </c>
      <c r="C7" s="8">
        <v>400</v>
      </c>
      <c r="D7" s="8" t="s">
        <v>969</v>
      </c>
      <c r="E7" s="8" t="s">
        <v>211</v>
      </c>
      <c r="F7" s="293" t="s">
        <v>956</v>
      </c>
      <c r="G7" s="264" t="s">
        <v>267</v>
      </c>
    </row>
    <row r="8" spans="1:7">
      <c r="A8" s="8" t="s">
        <v>1013</v>
      </c>
      <c r="B8" s="8">
        <v>565</v>
      </c>
      <c r="C8" s="8">
        <v>0</v>
      </c>
      <c r="D8" s="8" t="s">
        <v>1012</v>
      </c>
      <c r="E8" s="67" t="s">
        <v>1010</v>
      </c>
      <c r="F8" s="293" t="s">
        <v>1011</v>
      </c>
    </row>
    <row r="9" spans="1:7">
      <c r="A9" s="8" t="s">
        <v>1029</v>
      </c>
      <c r="B9" s="8">
        <v>265</v>
      </c>
      <c r="C9" s="8">
        <v>300</v>
      </c>
      <c r="D9" s="8" t="s">
        <v>1012</v>
      </c>
      <c r="E9" s="67" t="s">
        <v>1022</v>
      </c>
      <c r="F9" s="293" t="s">
        <v>711</v>
      </c>
    </row>
    <row r="10" spans="1:7">
      <c r="A10" s="8" t="s">
        <v>21</v>
      </c>
      <c r="B10" s="8">
        <v>365</v>
      </c>
      <c r="C10" s="8">
        <v>400</v>
      </c>
      <c r="D10" s="8" t="s">
        <v>993</v>
      </c>
      <c r="E10" s="67" t="s">
        <v>32</v>
      </c>
      <c r="F10" s="293" t="s">
        <v>889</v>
      </c>
    </row>
    <row r="11" spans="1:7">
      <c r="A11" s="8" t="s">
        <v>1031</v>
      </c>
      <c r="B11" s="8">
        <v>500</v>
      </c>
      <c r="C11" s="8">
        <v>165</v>
      </c>
      <c r="D11" s="8" t="s">
        <v>969</v>
      </c>
      <c r="E11" s="67" t="s">
        <v>1030</v>
      </c>
      <c r="F11" s="293" t="s">
        <v>748</v>
      </c>
    </row>
    <row r="12" spans="1:7">
      <c r="A12" s="8" t="s">
        <v>1032</v>
      </c>
      <c r="B12" s="8">
        <v>500</v>
      </c>
      <c r="C12" s="8">
        <v>265</v>
      </c>
      <c r="D12" s="8" t="s">
        <v>969</v>
      </c>
      <c r="E12" s="8" t="s">
        <v>211</v>
      </c>
      <c r="F12" s="293" t="s">
        <v>890</v>
      </c>
      <c r="G12" s="264" t="s">
        <v>267</v>
      </c>
    </row>
    <row r="13" spans="1:7">
      <c r="A13" s="8" t="s">
        <v>1033</v>
      </c>
      <c r="B13" s="8">
        <v>265</v>
      </c>
      <c r="C13" s="8">
        <v>300</v>
      </c>
      <c r="D13" s="8" t="s">
        <v>1012</v>
      </c>
      <c r="E13" s="8" t="s">
        <v>211</v>
      </c>
      <c r="F13" s="293" t="s">
        <v>890</v>
      </c>
    </row>
    <row r="14" spans="1:7">
      <c r="A14" s="8" t="s">
        <v>625</v>
      </c>
      <c r="B14" s="8">
        <v>765</v>
      </c>
      <c r="C14" s="8">
        <v>0</v>
      </c>
      <c r="D14" s="8" t="s">
        <v>1012</v>
      </c>
      <c r="E14" s="67" t="s">
        <v>632</v>
      </c>
      <c r="F14" s="293" t="s">
        <v>889</v>
      </c>
      <c r="G14" s="264" t="s">
        <v>267</v>
      </c>
    </row>
    <row r="15" spans="1:7">
      <c r="A15" s="8" t="s">
        <v>1034</v>
      </c>
      <c r="B15" s="8">
        <v>765</v>
      </c>
      <c r="C15" s="8">
        <v>0</v>
      </c>
      <c r="D15" s="8" t="s">
        <v>1012</v>
      </c>
      <c r="E15" s="67" t="s">
        <v>238</v>
      </c>
      <c r="F15" s="293" t="s">
        <v>889</v>
      </c>
      <c r="G15" s="264" t="s">
        <v>267</v>
      </c>
    </row>
    <row r="16" spans="1:7">
      <c r="A16" s="8" t="s">
        <v>1036</v>
      </c>
      <c r="B16" s="8">
        <v>265</v>
      </c>
      <c r="C16" s="8">
        <v>300</v>
      </c>
      <c r="D16" s="8" t="s">
        <v>993</v>
      </c>
      <c r="E16" s="67" t="s">
        <v>1035</v>
      </c>
      <c r="F16" s="293" t="s">
        <v>755</v>
      </c>
    </row>
    <row r="17" spans="1:9">
      <c r="A17" s="8" t="s">
        <v>1037</v>
      </c>
      <c r="B17" s="8">
        <v>265</v>
      </c>
      <c r="C17" s="8">
        <v>300</v>
      </c>
      <c r="D17" s="8" t="s">
        <v>993</v>
      </c>
      <c r="E17" s="67" t="s">
        <v>1038</v>
      </c>
      <c r="F17" s="293" t="s">
        <v>755</v>
      </c>
    </row>
    <row r="18" spans="1:9">
      <c r="A18" s="8" t="s">
        <v>1040</v>
      </c>
      <c r="B18" s="8">
        <v>565</v>
      </c>
      <c r="C18" s="8">
        <v>0</v>
      </c>
      <c r="D18" s="8" t="s">
        <v>993</v>
      </c>
      <c r="E18" s="67" t="s">
        <v>1039</v>
      </c>
      <c r="F18" s="293" t="s">
        <v>755</v>
      </c>
    </row>
    <row r="19" spans="1:9">
      <c r="A19" s="8" t="s">
        <v>1043</v>
      </c>
      <c r="B19" s="8">
        <v>0</v>
      </c>
      <c r="C19" s="8">
        <v>0</v>
      </c>
      <c r="D19" s="8" t="s">
        <v>993</v>
      </c>
      <c r="E19" s="67" t="s">
        <v>1041</v>
      </c>
      <c r="F19" s="293" t="s">
        <v>889</v>
      </c>
    </row>
    <row r="20" spans="1:9">
      <c r="A20" s="8" t="s">
        <v>1042</v>
      </c>
      <c r="B20" s="8">
        <v>0</v>
      </c>
      <c r="C20" s="8">
        <v>0</v>
      </c>
      <c r="D20" s="8" t="s">
        <v>993</v>
      </c>
      <c r="E20" s="8" t="s">
        <v>211</v>
      </c>
      <c r="F20" s="293" t="s">
        <v>890</v>
      </c>
    </row>
    <row r="21" spans="1:9">
      <c r="A21" s="8" t="s">
        <v>1090</v>
      </c>
      <c r="B21" s="8">
        <f>565+565</f>
        <v>1130</v>
      </c>
      <c r="C21" s="8">
        <v>0</v>
      </c>
      <c r="D21" s="8" t="s">
        <v>1012</v>
      </c>
      <c r="E21" s="67" t="s">
        <v>1044</v>
      </c>
      <c r="F21" s="293" t="s">
        <v>889</v>
      </c>
    </row>
    <row r="22" spans="1:9">
      <c r="A22" s="8" t="s">
        <v>828</v>
      </c>
      <c r="B22" s="8">
        <v>565</v>
      </c>
      <c r="C22" s="8">
        <v>0</v>
      </c>
      <c r="D22" s="8" t="s">
        <v>1012</v>
      </c>
      <c r="E22" s="67" t="s">
        <v>211</v>
      </c>
      <c r="F22" s="293" t="s">
        <v>890</v>
      </c>
    </row>
    <row r="23" spans="1:9">
      <c r="A23" s="8" t="s">
        <v>1046</v>
      </c>
      <c r="B23" s="8">
        <v>300</v>
      </c>
      <c r="C23" s="8">
        <f>565-B23</f>
        <v>265</v>
      </c>
      <c r="D23" s="8" t="s">
        <v>969</v>
      </c>
      <c r="E23" s="67" t="s">
        <v>1045</v>
      </c>
      <c r="F23" s="293" t="s">
        <v>755</v>
      </c>
    </row>
    <row r="24" spans="1:9">
      <c r="A24" s="8" t="s">
        <v>1047</v>
      </c>
      <c r="B24" s="8">
        <v>300</v>
      </c>
      <c r="C24" s="8">
        <v>265</v>
      </c>
      <c r="D24" s="8" t="s">
        <v>969</v>
      </c>
      <c r="E24" s="8" t="s">
        <v>211</v>
      </c>
      <c r="F24" s="293" t="s">
        <v>890</v>
      </c>
    </row>
    <row r="25" spans="1:9">
      <c r="A25" s="8" t="s">
        <v>1051</v>
      </c>
      <c r="B25" s="8">
        <v>565</v>
      </c>
      <c r="C25" s="8">
        <v>0</v>
      </c>
      <c r="D25" s="8" t="s">
        <v>1012</v>
      </c>
      <c r="E25" s="67" t="s">
        <v>1050</v>
      </c>
      <c r="F25" s="293" t="s">
        <v>755</v>
      </c>
    </row>
    <row r="26" spans="1:9">
      <c r="A26" s="8" t="s">
        <v>1054</v>
      </c>
      <c r="B26" s="8">
        <v>300</v>
      </c>
      <c r="C26" s="8">
        <f>765-B26</f>
        <v>465</v>
      </c>
      <c r="D26" s="8" t="s">
        <v>993</v>
      </c>
      <c r="E26" s="67" t="s">
        <v>1053</v>
      </c>
      <c r="F26" s="293" t="s">
        <v>889</v>
      </c>
      <c r="G26" s="264" t="s">
        <v>267</v>
      </c>
    </row>
    <row r="27" spans="1:9">
      <c r="A27" s="8" t="s">
        <v>1055</v>
      </c>
      <c r="B27" s="8">
        <v>300</v>
      </c>
      <c r="C27" s="8">
        <v>465</v>
      </c>
      <c r="D27" s="8" t="s">
        <v>993</v>
      </c>
      <c r="E27" s="8" t="s">
        <v>822</v>
      </c>
      <c r="F27" s="293" t="s">
        <v>890</v>
      </c>
      <c r="G27" s="264" t="s">
        <v>267</v>
      </c>
    </row>
    <row r="28" spans="1:9">
      <c r="A28" s="8" t="s">
        <v>206</v>
      </c>
      <c r="B28" s="8">
        <v>765</v>
      </c>
      <c r="C28" s="8"/>
      <c r="D28" s="8" t="s">
        <v>1012</v>
      </c>
      <c r="E28" s="67" t="s">
        <v>451</v>
      </c>
      <c r="F28" s="293" t="s">
        <v>889</v>
      </c>
      <c r="G28" s="264" t="s">
        <v>267</v>
      </c>
    </row>
    <row r="29" spans="1:9">
      <c r="A29" s="8" t="s">
        <v>1086</v>
      </c>
      <c r="B29" s="8">
        <v>0</v>
      </c>
      <c r="C29" s="8">
        <v>0</v>
      </c>
      <c r="D29" s="8" t="s">
        <v>1056</v>
      </c>
      <c r="E29" s="8" t="s">
        <v>211</v>
      </c>
      <c r="F29" s="293" t="s">
        <v>748</v>
      </c>
    </row>
    <row r="30" spans="1:9">
      <c r="A30" s="8" t="s">
        <v>1059</v>
      </c>
      <c r="B30" s="8">
        <v>265</v>
      </c>
      <c r="C30" s="8">
        <v>300</v>
      </c>
      <c r="D30" s="8" t="s">
        <v>1012</v>
      </c>
      <c r="E30" s="67" t="s">
        <v>1068</v>
      </c>
      <c r="F30" s="293" t="s">
        <v>889</v>
      </c>
      <c r="I30" s="264"/>
    </row>
    <row r="31" spans="1:9">
      <c r="A31" s="8" t="s">
        <v>1060</v>
      </c>
      <c r="B31" s="8">
        <v>265</v>
      </c>
      <c r="C31" s="8">
        <v>300</v>
      </c>
      <c r="D31" s="8" t="s">
        <v>1012</v>
      </c>
      <c r="E31" s="8" t="s">
        <v>822</v>
      </c>
      <c r="F31" s="293" t="s">
        <v>890</v>
      </c>
    </row>
    <row r="32" spans="1:9">
      <c r="A32" s="8" t="s">
        <v>1061</v>
      </c>
      <c r="B32" s="8">
        <v>265</v>
      </c>
      <c r="C32" s="8">
        <v>300</v>
      </c>
      <c r="D32" s="8" t="s">
        <v>1012</v>
      </c>
      <c r="E32" s="8" t="s">
        <v>822</v>
      </c>
      <c r="F32" s="293" t="s">
        <v>890</v>
      </c>
    </row>
    <row r="33" spans="1:9">
      <c r="A33" s="8" t="s">
        <v>1062</v>
      </c>
      <c r="B33" s="8">
        <v>565</v>
      </c>
      <c r="C33" s="8">
        <v>0</v>
      </c>
      <c r="D33" s="8" t="s">
        <v>1012</v>
      </c>
      <c r="E33" s="67" t="s">
        <v>1069</v>
      </c>
      <c r="F33" s="293" t="s">
        <v>889</v>
      </c>
    </row>
    <row r="34" spans="1:9">
      <c r="A34" s="8" t="s">
        <v>1066</v>
      </c>
      <c r="B34" s="8">
        <v>565</v>
      </c>
      <c r="C34" s="8">
        <v>0</v>
      </c>
      <c r="D34" s="8" t="s">
        <v>1067</v>
      </c>
      <c r="E34" s="67" t="s">
        <v>1065</v>
      </c>
      <c r="F34" s="293" t="s">
        <v>755</v>
      </c>
    </row>
    <row r="35" spans="1:9">
      <c r="A35" s="8" t="s">
        <v>1064</v>
      </c>
      <c r="B35" s="8">
        <v>565</v>
      </c>
      <c r="C35" s="8">
        <v>0</v>
      </c>
      <c r="D35" s="8" t="s">
        <v>1067</v>
      </c>
      <c r="E35" s="8" t="s">
        <v>822</v>
      </c>
      <c r="F35" s="293" t="s">
        <v>890</v>
      </c>
    </row>
    <row r="36" spans="1:9">
      <c r="A36" s="8" t="s">
        <v>1058</v>
      </c>
      <c r="B36" s="8">
        <v>300</v>
      </c>
      <c r="C36" s="8">
        <v>265</v>
      </c>
      <c r="D36" s="8" t="s">
        <v>1070</v>
      </c>
      <c r="E36" s="67" t="s">
        <v>1063</v>
      </c>
      <c r="F36" s="293" t="s">
        <v>889</v>
      </c>
      <c r="H36" s="264"/>
    </row>
    <row r="37" spans="1:9">
      <c r="A37" s="8" t="s">
        <v>1071</v>
      </c>
      <c r="B37" s="8">
        <v>265</v>
      </c>
      <c r="C37" s="8">
        <v>300</v>
      </c>
      <c r="D37" s="8" t="s">
        <v>1072</v>
      </c>
      <c r="E37" s="67" t="s">
        <v>1073</v>
      </c>
      <c r="F37" s="293" t="s">
        <v>755</v>
      </c>
      <c r="H37" s="264"/>
    </row>
    <row r="38" spans="1:9">
      <c r="A38" s="8" t="s">
        <v>1074</v>
      </c>
      <c r="B38" s="8">
        <v>400</v>
      </c>
      <c r="C38" s="8">
        <v>365</v>
      </c>
      <c r="D38" s="8" t="s">
        <v>1075</v>
      </c>
      <c r="E38" s="67" t="s">
        <v>1083</v>
      </c>
      <c r="F38" s="293" t="s">
        <v>755</v>
      </c>
      <c r="G38" s="264" t="s">
        <v>267</v>
      </c>
      <c r="H38" s="264"/>
    </row>
    <row r="39" spans="1:9">
      <c r="A39" s="8" t="s">
        <v>1076</v>
      </c>
      <c r="B39" s="8">
        <v>565</v>
      </c>
      <c r="C39" s="8">
        <v>0</v>
      </c>
      <c r="D39" s="8" t="s">
        <v>969</v>
      </c>
      <c r="E39" s="67" t="s">
        <v>1077</v>
      </c>
      <c r="F39" s="209" t="s">
        <v>889</v>
      </c>
      <c r="H39" s="264"/>
      <c r="I39" s="264"/>
    </row>
    <row r="40" spans="1:9">
      <c r="A40" s="8" t="s">
        <v>1078</v>
      </c>
      <c r="B40" s="8">
        <v>0</v>
      </c>
      <c r="C40" s="8">
        <v>565</v>
      </c>
      <c r="D40" s="8" t="s">
        <v>969</v>
      </c>
      <c r="E40" s="67" t="s">
        <v>822</v>
      </c>
      <c r="F40" s="293" t="s">
        <v>889</v>
      </c>
      <c r="H40" s="264"/>
    </row>
    <row r="41" spans="1:9">
      <c r="A41" s="8" t="s">
        <v>1079</v>
      </c>
      <c r="B41" s="8">
        <v>565</v>
      </c>
      <c r="C41" s="8">
        <v>0</v>
      </c>
      <c r="D41" s="8" t="s">
        <v>993</v>
      </c>
      <c r="E41" s="67" t="s">
        <v>1080</v>
      </c>
      <c r="F41" s="293" t="s">
        <v>889</v>
      </c>
      <c r="H41" s="264"/>
      <c r="I41" s="264"/>
    </row>
    <row r="42" spans="1:9">
      <c r="A42" s="8" t="s">
        <v>1081</v>
      </c>
      <c r="B42" s="8">
        <v>565</v>
      </c>
      <c r="C42" s="8">
        <v>0</v>
      </c>
      <c r="D42" s="8" t="s">
        <v>969</v>
      </c>
      <c r="E42" s="8" t="s">
        <v>1082</v>
      </c>
      <c r="F42" s="293" t="s">
        <v>755</v>
      </c>
    </row>
    <row r="43" spans="1:9" s="264" customFormat="1">
      <c r="A43" s="8" t="s">
        <v>828</v>
      </c>
      <c r="B43" s="209">
        <v>565</v>
      </c>
      <c r="C43" s="209">
        <v>0</v>
      </c>
      <c r="D43" s="209" t="s">
        <v>1012</v>
      </c>
      <c r="E43" s="367" t="s">
        <v>1014</v>
      </c>
      <c r="F43" s="293" t="s">
        <v>1057</v>
      </c>
    </row>
    <row r="44" spans="1:9" s="264" customFormat="1">
      <c r="A44" s="209" t="s">
        <v>1085</v>
      </c>
      <c r="B44" s="209">
        <v>0</v>
      </c>
      <c r="C44" s="209">
        <v>565</v>
      </c>
      <c r="D44" s="209" t="s">
        <v>1012</v>
      </c>
      <c r="E44" s="367" t="s">
        <v>1014</v>
      </c>
      <c r="F44" s="293" t="s">
        <v>890</v>
      </c>
    </row>
    <row r="45" spans="1:9" s="264" customFormat="1">
      <c r="A45" s="209" t="s">
        <v>1087</v>
      </c>
      <c r="B45" s="209">
        <v>895</v>
      </c>
      <c r="C45" s="209">
        <v>1000</v>
      </c>
      <c r="D45" s="209" t="s">
        <v>1088</v>
      </c>
      <c r="E45" s="367" t="s">
        <v>1089</v>
      </c>
      <c r="F45" s="293" t="s">
        <v>889</v>
      </c>
    </row>
    <row r="46" spans="1:9" s="264" customFormat="1">
      <c r="A46" s="209" t="s">
        <v>0</v>
      </c>
      <c r="B46" s="209">
        <v>0</v>
      </c>
      <c r="C46" s="209">
        <v>0</v>
      </c>
      <c r="D46" s="209" t="s">
        <v>1093</v>
      </c>
      <c r="E46" s="367" t="s">
        <v>1089</v>
      </c>
      <c r="F46" s="293" t="s">
        <v>1023</v>
      </c>
    </row>
    <row r="47" spans="1:9" s="264" customFormat="1">
      <c r="A47" s="209" t="s">
        <v>136</v>
      </c>
      <c r="B47" s="209">
        <v>0</v>
      </c>
      <c r="C47" s="209">
        <v>0</v>
      </c>
      <c r="D47" s="209" t="s">
        <v>1093</v>
      </c>
      <c r="E47" s="367" t="s">
        <v>1089</v>
      </c>
      <c r="F47" s="293" t="s">
        <v>1023</v>
      </c>
    </row>
    <row r="48" spans="1:9" s="264" customFormat="1">
      <c r="A48" s="209" t="s">
        <v>1091</v>
      </c>
      <c r="B48" s="209">
        <v>0</v>
      </c>
      <c r="C48" s="209">
        <v>565</v>
      </c>
      <c r="D48" s="209" t="s">
        <v>1094</v>
      </c>
      <c r="E48" s="367" t="s">
        <v>1089</v>
      </c>
      <c r="F48" s="293" t="s">
        <v>755</v>
      </c>
    </row>
    <row r="49" spans="1:8" s="264" customFormat="1">
      <c r="A49" s="209" t="s">
        <v>1092</v>
      </c>
      <c r="B49" s="209">
        <v>0</v>
      </c>
      <c r="C49" s="209">
        <v>565</v>
      </c>
      <c r="D49" s="209" t="s">
        <v>1094</v>
      </c>
      <c r="E49" s="367" t="s">
        <v>1089</v>
      </c>
      <c r="F49" s="293" t="s">
        <v>755</v>
      </c>
    </row>
    <row r="50" spans="1:8">
      <c r="B50" s="37">
        <f>SUM(B1:B49)</f>
        <v>18175</v>
      </c>
      <c r="C50" s="37">
        <f>SUM(C1:C49)</f>
        <v>10480</v>
      </c>
    </row>
    <row r="51" spans="1:8">
      <c r="B51" s="626">
        <f>B50+C50</f>
        <v>28655</v>
      </c>
      <c r="C51" s="626"/>
    </row>
    <row r="53" spans="1:8">
      <c r="A53" s="289" t="s">
        <v>262</v>
      </c>
      <c r="B53" s="288">
        <v>6700</v>
      </c>
      <c r="C53" s="287">
        <v>1</v>
      </c>
      <c r="D53" s="288">
        <f>(C53*B53)</f>
        <v>6700</v>
      </c>
      <c r="F53" s="209" t="s">
        <v>1095</v>
      </c>
      <c r="G53" s="8">
        <v>48</v>
      </c>
    </row>
    <row r="54" spans="1:8">
      <c r="A54" s="289" t="s">
        <v>311</v>
      </c>
      <c r="B54" s="288">
        <v>300</v>
      </c>
      <c r="C54" s="287">
        <v>1</v>
      </c>
      <c r="D54" s="288">
        <v>410</v>
      </c>
      <c r="F54" s="209" t="s">
        <v>1096</v>
      </c>
      <c r="G54" s="8">
        <v>47</v>
      </c>
    </row>
    <row r="55" spans="1:8">
      <c r="A55" s="289" t="s">
        <v>263</v>
      </c>
      <c r="B55" s="288">
        <f>300-(300*10%)</f>
        <v>270</v>
      </c>
      <c r="C55" s="287">
        <v>36</v>
      </c>
      <c r="D55" s="288">
        <f>C55*B55</f>
        <v>9720</v>
      </c>
      <c r="F55" s="209" t="s">
        <v>1097</v>
      </c>
      <c r="G55" s="8">
        <v>49</v>
      </c>
    </row>
    <row r="56" spans="1:8">
      <c r="A56" s="289" t="s">
        <v>264</v>
      </c>
      <c r="B56" s="288">
        <f>500-(500*10%)</f>
        <v>450</v>
      </c>
      <c r="C56" s="287">
        <v>11</v>
      </c>
      <c r="D56" s="288">
        <f>C56*B56</f>
        <v>4950</v>
      </c>
    </row>
    <row r="57" spans="1:8">
      <c r="A57" s="289" t="s">
        <v>266</v>
      </c>
      <c r="B57" s="287"/>
      <c r="C57" s="287">
        <f>C56+C55</f>
        <v>47</v>
      </c>
      <c r="D57" s="288">
        <f>D56+D55</f>
        <v>14670</v>
      </c>
    </row>
    <row r="58" spans="1:8" ht="15.75" thickBot="1">
      <c r="A58" s="289" t="s">
        <v>265</v>
      </c>
      <c r="B58" s="287"/>
      <c r="C58" s="287"/>
      <c r="D58" s="308">
        <f>D57+D53+D54</f>
        <v>21780</v>
      </c>
    </row>
    <row r="59" spans="1:8" ht="15.75" thickBot="1">
      <c r="A59" s="363" t="s">
        <v>7</v>
      </c>
      <c r="B59" s="364"/>
      <c r="C59" s="365"/>
      <c r="D59" s="309">
        <f>(B51-D58)-250</f>
        <v>6625</v>
      </c>
      <c r="F59" s="78">
        <v>121</v>
      </c>
      <c r="G59" s="264" t="s">
        <v>601</v>
      </c>
      <c r="H59" s="264"/>
    </row>
    <row r="60" spans="1:8">
      <c r="F60" s="78">
        <v>2975</v>
      </c>
      <c r="G60" s="264" t="s">
        <v>1098</v>
      </c>
      <c r="H60" s="264"/>
    </row>
    <row r="61" spans="1:8">
      <c r="F61" s="78">
        <v>3846</v>
      </c>
      <c r="G61" s="264" t="s">
        <v>1099</v>
      </c>
      <c r="H61" s="264"/>
    </row>
    <row r="62" spans="1:8">
      <c r="F62" s="78">
        <f>SUM(F59:F61)</f>
        <v>6942</v>
      </c>
    </row>
    <row r="63" spans="1:8">
      <c r="F63" s="78">
        <v>500</v>
      </c>
    </row>
  </sheetData>
  <mergeCells count="1">
    <mergeCell ref="B51:C51"/>
  </mergeCells>
  <pageMargins left="0.70866141732283472" right="0.70866141732283472" top="0.74803149606299213" bottom="0.74803149606299213" header="0.31496062992125984" footer="0.31496062992125984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selection activeCell="D23" sqref="D23"/>
    </sheetView>
  </sheetViews>
  <sheetFormatPr baseColWidth="10" defaultRowHeight="15"/>
  <cols>
    <col min="1" max="1" width="26.5703125" bestFit="1" customWidth="1"/>
    <col min="2" max="3" width="11.5703125" bestFit="1" customWidth="1"/>
    <col min="4" max="4" width="12.28515625" bestFit="1" customWidth="1"/>
    <col min="5" max="5" width="6.42578125" customWidth="1"/>
    <col min="6" max="6" width="8.42578125" customWidth="1"/>
    <col min="7" max="7" width="11.42578125" customWidth="1"/>
  </cols>
  <sheetData>
    <row r="1" spans="1:7">
      <c r="A1" s="8" t="s">
        <v>1084</v>
      </c>
      <c r="B1" s="63">
        <v>750</v>
      </c>
      <c r="C1" s="63">
        <v>0</v>
      </c>
      <c r="D1" s="67" t="s">
        <v>672</v>
      </c>
      <c r="E1" s="48" t="s">
        <v>889</v>
      </c>
      <c r="F1" s="209" t="s">
        <v>991</v>
      </c>
      <c r="G1" s="8" t="s">
        <v>267</v>
      </c>
    </row>
    <row r="2" spans="1:7">
      <c r="A2" s="8" t="s">
        <v>1084</v>
      </c>
      <c r="B2" s="63">
        <v>265</v>
      </c>
      <c r="C2" s="174">
        <v>300</v>
      </c>
      <c r="D2" s="67" t="s">
        <v>672</v>
      </c>
      <c r="E2" s="48" t="s">
        <v>754</v>
      </c>
      <c r="F2" s="209" t="s">
        <v>1104</v>
      </c>
      <c r="G2" s="8" t="s">
        <v>1175</v>
      </c>
    </row>
    <row r="3" spans="1:7">
      <c r="A3" s="209" t="s">
        <v>1100</v>
      </c>
      <c r="B3" s="63">
        <v>565</v>
      </c>
      <c r="C3" s="174">
        <v>0</v>
      </c>
      <c r="D3" s="209" t="s">
        <v>211</v>
      </c>
      <c r="E3" s="209" t="s">
        <v>755</v>
      </c>
      <c r="F3" s="209" t="s">
        <v>991</v>
      </c>
      <c r="G3" s="209" t="s">
        <v>1175</v>
      </c>
    </row>
    <row r="4" spans="1:7">
      <c r="A4" s="209" t="s">
        <v>1101</v>
      </c>
      <c r="B4" s="63">
        <v>565</v>
      </c>
      <c r="C4" s="63">
        <v>0</v>
      </c>
      <c r="D4" s="209" t="s">
        <v>822</v>
      </c>
      <c r="E4" s="209" t="s">
        <v>755</v>
      </c>
      <c r="F4" s="209" t="s">
        <v>991</v>
      </c>
      <c r="G4" s="209" t="s">
        <v>1175</v>
      </c>
    </row>
    <row r="5" spans="1:7">
      <c r="A5" s="209" t="s">
        <v>1102</v>
      </c>
      <c r="B5" s="63">
        <v>745</v>
      </c>
      <c r="C5" s="63">
        <f>765-B5</f>
        <v>20</v>
      </c>
      <c r="D5" s="209" t="s">
        <v>211</v>
      </c>
      <c r="E5" s="209" t="s">
        <v>755</v>
      </c>
      <c r="F5" s="209" t="s">
        <v>1104</v>
      </c>
      <c r="G5" s="209" t="s">
        <v>1175</v>
      </c>
    </row>
    <row r="6" spans="1:7">
      <c r="A6" s="209" t="s">
        <v>1103</v>
      </c>
      <c r="B6" s="63">
        <v>565</v>
      </c>
      <c r="C6" s="63">
        <v>0</v>
      </c>
      <c r="D6" s="209" t="s">
        <v>1105</v>
      </c>
      <c r="E6" s="209" t="s">
        <v>755</v>
      </c>
      <c r="F6" s="209" t="s">
        <v>1104</v>
      </c>
      <c r="G6" s="209" t="s">
        <v>1175</v>
      </c>
    </row>
    <row r="7" spans="1:7" s="264" customFormat="1">
      <c r="A7" s="209" t="s">
        <v>894</v>
      </c>
      <c r="B7" s="63">
        <v>565</v>
      </c>
      <c r="C7" s="63">
        <v>0</v>
      </c>
      <c r="D7" s="209" t="s">
        <v>893</v>
      </c>
      <c r="E7" s="209" t="s">
        <v>711</v>
      </c>
      <c r="F7" s="209" t="s">
        <v>969</v>
      </c>
      <c r="G7" s="209" t="s">
        <v>1175</v>
      </c>
    </row>
    <row r="8" spans="1:7">
      <c r="A8" s="209" t="s">
        <v>895</v>
      </c>
      <c r="B8" s="63">
        <v>0</v>
      </c>
      <c r="C8" s="63">
        <v>565</v>
      </c>
      <c r="D8" s="8"/>
      <c r="E8" s="209" t="s">
        <v>711</v>
      </c>
      <c r="F8" s="209" t="s">
        <v>969</v>
      </c>
      <c r="G8" s="209" t="s">
        <v>1175</v>
      </c>
    </row>
    <row r="9" spans="1:7">
      <c r="A9" s="8" t="s">
        <v>1109</v>
      </c>
      <c r="B9" s="63">
        <v>265</v>
      </c>
      <c r="C9" s="63">
        <v>300</v>
      </c>
      <c r="D9" s="8" t="s">
        <v>1108</v>
      </c>
      <c r="E9" s="209" t="s">
        <v>754</v>
      </c>
      <c r="F9" s="8" t="s">
        <v>991</v>
      </c>
      <c r="G9" s="209" t="s">
        <v>1175</v>
      </c>
    </row>
    <row r="10" spans="1:7">
      <c r="A10" s="8" t="s">
        <v>1111</v>
      </c>
      <c r="B10" s="63">
        <v>500</v>
      </c>
      <c r="C10" s="63">
        <f>565-B10</f>
        <v>65</v>
      </c>
      <c r="D10" s="8" t="s">
        <v>1110</v>
      </c>
      <c r="E10" s="209" t="s">
        <v>755</v>
      </c>
      <c r="F10" s="8" t="s">
        <v>1067</v>
      </c>
      <c r="G10" s="209" t="s">
        <v>1175</v>
      </c>
    </row>
    <row r="11" spans="1:7">
      <c r="A11" s="209" t="s">
        <v>1029</v>
      </c>
      <c r="B11" s="63">
        <v>275</v>
      </c>
      <c r="C11" s="63">
        <f>565-B11</f>
        <v>290</v>
      </c>
      <c r="D11" s="8" t="s">
        <v>1022</v>
      </c>
      <c r="E11" s="209" t="s">
        <v>711</v>
      </c>
      <c r="F11" s="209" t="s">
        <v>1104</v>
      </c>
      <c r="G11" s="209" t="s">
        <v>1175</v>
      </c>
    </row>
    <row r="12" spans="1:7">
      <c r="A12" s="209" t="s">
        <v>1114</v>
      </c>
      <c r="B12" s="63">
        <v>265</v>
      </c>
      <c r="C12" s="63">
        <v>300</v>
      </c>
      <c r="D12" s="8" t="s">
        <v>1133</v>
      </c>
      <c r="E12" s="209" t="s">
        <v>755</v>
      </c>
      <c r="F12" s="209" t="s">
        <v>1104</v>
      </c>
      <c r="G12" s="209" t="s">
        <v>1175</v>
      </c>
    </row>
    <row r="13" spans="1:7">
      <c r="A13" s="209" t="s">
        <v>886</v>
      </c>
      <c r="B13" s="63">
        <v>500</v>
      </c>
      <c r="C13" s="63">
        <v>65</v>
      </c>
      <c r="D13" s="8" t="s">
        <v>885</v>
      </c>
      <c r="E13" s="8" t="s">
        <v>755</v>
      </c>
      <c r="F13" s="209" t="s">
        <v>1104</v>
      </c>
      <c r="G13" s="209" t="s">
        <v>1175</v>
      </c>
    </row>
    <row r="14" spans="1:7">
      <c r="A14" s="209" t="s">
        <v>1117</v>
      </c>
      <c r="B14" s="63">
        <v>300</v>
      </c>
      <c r="C14" s="63">
        <f>565-B14</f>
        <v>265</v>
      </c>
      <c r="D14" s="8" t="s">
        <v>1116</v>
      </c>
      <c r="E14" s="209" t="s">
        <v>711</v>
      </c>
      <c r="F14" s="8" t="s">
        <v>1067</v>
      </c>
      <c r="G14" s="209" t="s">
        <v>1175</v>
      </c>
    </row>
    <row r="15" spans="1:7">
      <c r="A15" s="209" t="s">
        <v>1118</v>
      </c>
      <c r="B15" s="63">
        <v>300</v>
      </c>
      <c r="C15" s="63">
        <f>565-B15</f>
        <v>265</v>
      </c>
      <c r="D15" s="8" t="s">
        <v>211</v>
      </c>
      <c r="E15" s="209" t="s">
        <v>754</v>
      </c>
      <c r="F15" s="8" t="s">
        <v>1067</v>
      </c>
      <c r="G15" s="209" t="s">
        <v>1175</v>
      </c>
    </row>
    <row r="16" spans="1:7">
      <c r="A16" s="209" t="s">
        <v>1121</v>
      </c>
      <c r="B16" s="63">
        <v>365</v>
      </c>
      <c r="C16" s="63">
        <v>200</v>
      </c>
      <c r="D16" s="209" t="s">
        <v>1122</v>
      </c>
      <c r="E16" s="8" t="s">
        <v>755</v>
      </c>
      <c r="F16" s="209" t="s">
        <v>1104</v>
      </c>
      <c r="G16" s="209" t="s">
        <v>1175</v>
      </c>
    </row>
    <row r="17" spans="1:9">
      <c r="A17" s="209" t="s">
        <v>1123</v>
      </c>
      <c r="B17" s="63">
        <v>565</v>
      </c>
      <c r="C17" s="63">
        <v>0</v>
      </c>
      <c r="D17" s="209" t="s">
        <v>1124</v>
      </c>
      <c r="E17" s="8" t="s">
        <v>755</v>
      </c>
      <c r="F17" s="209" t="s">
        <v>1104</v>
      </c>
      <c r="G17" s="209" t="s">
        <v>1175</v>
      </c>
    </row>
    <row r="18" spans="1:9">
      <c r="A18" s="209" t="s">
        <v>1126</v>
      </c>
      <c r="B18" s="63">
        <v>300</v>
      </c>
      <c r="C18" s="63">
        <v>265</v>
      </c>
      <c r="D18" s="209" t="s">
        <v>1127</v>
      </c>
      <c r="E18" s="209" t="s">
        <v>711</v>
      </c>
      <c r="F18" s="209" t="s">
        <v>1104</v>
      </c>
      <c r="G18" s="209" t="s">
        <v>1175</v>
      </c>
    </row>
    <row r="19" spans="1:9">
      <c r="A19" s="209" t="s">
        <v>1128</v>
      </c>
      <c r="B19" s="63">
        <v>300</v>
      </c>
      <c r="C19" s="63">
        <v>265</v>
      </c>
      <c r="D19" s="8"/>
      <c r="E19" s="8" t="s">
        <v>755</v>
      </c>
      <c r="F19" s="209" t="s">
        <v>993</v>
      </c>
      <c r="G19" s="209" t="s">
        <v>1175</v>
      </c>
    </row>
    <row r="20" spans="1:9">
      <c r="A20" s="209" t="s">
        <v>1129</v>
      </c>
      <c r="B20" s="63">
        <v>300</v>
      </c>
      <c r="C20" s="63">
        <v>264</v>
      </c>
      <c r="D20" s="8" t="s">
        <v>1130</v>
      </c>
      <c r="E20" s="8" t="s">
        <v>755</v>
      </c>
      <c r="F20" s="209" t="s">
        <v>969</v>
      </c>
      <c r="G20" s="8"/>
    </row>
    <row r="21" spans="1:9">
      <c r="A21" s="209" t="s">
        <v>21</v>
      </c>
      <c r="B21" s="63">
        <v>365</v>
      </c>
      <c r="C21" s="63">
        <f>765-B21</f>
        <v>400</v>
      </c>
      <c r="D21" s="8" t="s">
        <v>1089</v>
      </c>
      <c r="E21" s="8" t="s">
        <v>711</v>
      </c>
      <c r="F21" s="209" t="s">
        <v>993</v>
      </c>
      <c r="G21" s="209" t="s">
        <v>267</v>
      </c>
    </row>
    <row r="22" spans="1:9">
      <c r="A22" s="209" t="s">
        <v>123</v>
      </c>
      <c r="B22" s="63"/>
      <c r="C22" s="63">
        <v>565</v>
      </c>
      <c r="D22" s="8" t="s">
        <v>1136</v>
      </c>
      <c r="E22" s="8" t="s">
        <v>755</v>
      </c>
      <c r="F22" s="209" t="s">
        <v>1137</v>
      </c>
      <c r="G22" s="8"/>
    </row>
    <row r="23" spans="1:9">
      <c r="A23" s="8" t="s">
        <v>1143</v>
      </c>
      <c r="B23" s="63">
        <v>365</v>
      </c>
      <c r="C23" s="63">
        <f>765-B23</f>
        <v>400</v>
      </c>
      <c r="D23" s="8" t="s">
        <v>1142</v>
      </c>
      <c r="E23" s="8" t="s">
        <v>889</v>
      </c>
      <c r="F23" s="209" t="s">
        <v>256</v>
      </c>
      <c r="G23" s="209" t="s">
        <v>187</v>
      </c>
    </row>
    <row r="24" spans="1:9">
      <c r="A24" s="8" t="s">
        <v>1145</v>
      </c>
      <c r="B24" s="63">
        <v>265</v>
      </c>
      <c r="C24" s="63">
        <v>300</v>
      </c>
      <c r="D24" s="8" t="s">
        <v>1144</v>
      </c>
      <c r="E24" s="8" t="s">
        <v>755</v>
      </c>
      <c r="F24" s="209" t="s">
        <v>991</v>
      </c>
      <c r="G24" s="8"/>
    </row>
    <row r="25" spans="1:9">
      <c r="A25" s="8" t="s">
        <v>1146</v>
      </c>
      <c r="B25" s="63">
        <v>565</v>
      </c>
      <c r="C25" s="63">
        <v>0</v>
      </c>
      <c r="D25" s="8" t="s">
        <v>822</v>
      </c>
      <c r="E25" s="8" t="s">
        <v>755</v>
      </c>
      <c r="F25" s="209" t="s">
        <v>969</v>
      </c>
      <c r="G25" s="8"/>
    </row>
    <row r="26" spans="1:9">
      <c r="A26" s="8" t="s">
        <v>1147</v>
      </c>
      <c r="B26" s="63">
        <v>565</v>
      </c>
      <c r="C26" s="63">
        <v>0</v>
      </c>
      <c r="D26" s="8" t="s">
        <v>822</v>
      </c>
      <c r="E26" s="8" t="s">
        <v>755</v>
      </c>
      <c r="F26" s="209" t="s">
        <v>969</v>
      </c>
      <c r="G26" s="8"/>
    </row>
    <row r="27" spans="1:9">
      <c r="A27" s="8" t="s">
        <v>1173</v>
      </c>
      <c r="B27" s="63">
        <v>365</v>
      </c>
      <c r="C27" s="63">
        <v>400</v>
      </c>
      <c r="D27" s="8" t="s">
        <v>1148</v>
      </c>
      <c r="E27" s="8" t="s">
        <v>755</v>
      </c>
      <c r="F27" s="209" t="s">
        <v>969</v>
      </c>
      <c r="G27" s="8" t="s">
        <v>267</v>
      </c>
    </row>
    <row r="28" spans="1:9">
      <c r="A28" s="8" t="s">
        <v>1149</v>
      </c>
      <c r="B28" s="63">
        <v>300</v>
      </c>
      <c r="C28" s="63">
        <v>265</v>
      </c>
      <c r="D28" s="8" t="s">
        <v>1150</v>
      </c>
      <c r="E28" s="8" t="s">
        <v>755</v>
      </c>
      <c r="F28" s="209" t="s">
        <v>969</v>
      </c>
      <c r="G28" s="8"/>
    </row>
    <row r="29" spans="1:9">
      <c r="A29" s="8" t="s">
        <v>1151</v>
      </c>
      <c r="B29" s="63">
        <v>265</v>
      </c>
      <c r="C29" s="63">
        <v>300</v>
      </c>
      <c r="D29" s="8" t="s">
        <v>1152</v>
      </c>
      <c r="E29" s="8" t="s">
        <v>755</v>
      </c>
      <c r="F29" s="209" t="s">
        <v>991</v>
      </c>
      <c r="G29" s="8"/>
    </row>
    <row r="30" spans="1:9">
      <c r="A30" s="8" t="s">
        <v>1155</v>
      </c>
      <c r="B30" s="63">
        <v>300</v>
      </c>
      <c r="C30" s="63">
        <v>265</v>
      </c>
      <c r="D30" s="8" t="s">
        <v>283</v>
      </c>
      <c r="E30" s="8" t="s">
        <v>711</v>
      </c>
      <c r="F30" s="209" t="s">
        <v>991</v>
      </c>
      <c r="G30" s="8"/>
    </row>
    <row r="31" spans="1:9">
      <c r="A31" s="8" t="s">
        <v>1153</v>
      </c>
      <c r="B31" s="63">
        <v>300</v>
      </c>
      <c r="C31" s="63">
        <v>265</v>
      </c>
      <c r="D31" s="8" t="s">
        <v>822</v>
      </c>
      <c r="E31" s="8" t="s">
        <v>711</v>
      </c>
      <c r="F31" s="209" t="s">
        <v>991</v>
      </c>
      <c r="G31" s="8"/>
    </row>
    <row r="32" spans="1:9">
      <c r="A32" s="8" t="s">
        <v>1154</v>
      </c>
      <c r="B32" s="63">
        <v>300</v>
      </c>
      <c r="C32" s="63">
        <v>265</v>
      </c>
      <c r="D32" s="8" t="s">
        <v>211</v>
      </c>
      <c r="E32" s="8" t="s">
        <v>711</v>
      </c>
      <c r="F32" s="209" t="s">
        <v>991</v>
      </c>
      <c r="G32" s="8"/>
      <c r="I32" s="264"/>
    </row>
    <row r="33" spans="1:9">
      <c r="A33" s="8" t="s">
        <v>1163</v>
      </c>
      <c r="B33" s="63">
        <v>300</v>
      </c>
      <c r="C33" s="63">
        <v>265</v>
      </c>
      <c r="D33" s="8" t="s">
        <v>1164</v>
      </c>
      <c r="E33" s="8" t="s">
        <v>755</v>
      </c>
      <c r="F33" s="209" t="s">
        <v>991</v>
      </c>
      <c r="G33" s="8"/>
      <c r="I33" s="264"/>
    </row>
    <row r="34" spans="1:9">
      <c r="A34" s="8" t="s">
        <v>1165</v>
      </c>
      <c r="B34" s="63">
        <v>265</v>
      </c>
      <c r="C34" s="63">
        <v>300</v>
      </c>
      <c r="D34" s="8" t="s">
        <v>1167</v>
      </c>
      <c r="E34" s="8" t="s">
        <v>889</v>
      </c>
      <c r="F34" s="209" t="s">
        <v>1067</v>
      </c>
      <c r="G34" s="209" t="s">
        <v>1175</v>
      </c>
      <c r="I34" s="264"/>
    </row>
    <row r="35" spans="1:9">
      <c r="A35" s="8" t="s">
        <v>1166</v>
      </c>
      <c r="B35" s="63">
        <v>265</v>
      </c>
      <c r="C35" s="63">
        <v>300</v>
      </c>
      <c r="D35" s="8" t="s">
        <v>211</v>
      </c>
      <c r="E35" s="8" t="s">
        <v>889</v>
      </c>
      <c r="F35" s="209" t="s">
        <v>1067</v>
      </c>
      <c r="G35" s="209" t="s">
        <v>1175</v>
      </c>
      <c r="I35" s="264"/>
    </row>
    <row r="36" spans="1:9">
      <c r="A36" s="8" t="s">
        <v>1170</v>
      </c>
      <c r="B36" s="63">
        <v>0</v>
      </c>
      <c r="C36" s="63">
        <v>765</v>
      </c>
      <c r="D36" s="8" t="s">
        <v>1168</v>
      </c>
      <c r="E36" s="8" t="s">
        <v>889</v>
      </c>
      <c r="F36" s="209" t="s">
        <v>1012</v>
      </c>
      <c r="G36" s="209" t="s">
        <v>1175</v>
      </c>
      <c r="I36" s="264"/>
    </row>
    <row r="37" spans="1:9">
      <c r="A37" s="8" t="s">
        <v>1169</v>
      </c>
      <c r="B37" s="63">
        <v>565</v>
      </c>
      <c r="C37" s="63">
        <v>0</v>
      </c>
      <c r="D37" s="8" t="s">
        <v>1168</v>
      </c>
      <c r="E37" s="8" t="s">
        <v>889</v>
      </c>
      <c r="F37" s="209" t="s">
        <v>1012</v>
      </c>
      <c r="G37" s="209" t="s">
        <v>1175</v>
      </c>
      <c r="I37" s="264"/>
    </row>
    <row r="38" spans="1:9">
      <c r="A38" s="8" t="s">
        <v>1171</v>
      </c>
      <c r="B38" s="63">
        <v>0</v>
      </c>
      <c r="C38" s="63">
        <v>765</v>
      </c>
      <c r="D38" s="8" t="s">
        <v>1174</v>
      </c>
      <c r="E38" s="8" t="s">
        <v>755</v>
      </c>
      <c r="F38" s="209" t="s">
        <v>1137</v>
      </c>
      <c r="G38" s="8"/>
    </row>
    <row r="39" spans="1:9">
      <c r="A39" s="8" t="s">
        <v>1172</v>
      </c>
      <c r="B39" s="63">
        <v>0</v>
      </c>
      <c r="C39" s="63">
        <v>565</v>
      </c>
      <c r="D39" s="8" t="s">
        <v>822</v>
      </c>
      <c r="E39" s="8" t="s">
        <v>755</v>
      </c>
      <c r="F39" s="209" t="s">
        <v>1137</v>
      </c>
      <c r="G39" s="8"/>
    </row>
    <row r="40" spans="1:9">
      <c r="A40" s="8" t="s">
        <v>123</v>
      </c>
      <c r="B40" s="63"/>
      <c r="C40" s="63">
        <v>565</v>
      </c>
      <c r="D40" s="8" t="s">
        <v>1136</v>
      </c>
      <c r="E40" s="8" t="s">
        <v>755</v>
      </c>
      <c r="F40" s="209" t="s">
        <v>1137</v>
      </c>
      <c r="G40" s="8"/>
    </row>
    <row r="41" spans="1:9">
      <c r="A41" s="8">
        <v>5</v>
      </c>
      <c r="B41" s="63"/>
      <c r="C41" s="63"/>
      <c r="D41" s="8"/>
      <c r="E41" s="8"/>
      <c r="F41" s="8"/>
      <c r="G41" s="8"/>
    </row>
    <row r="42" spans="1:9">
      <c r="A42" s="8">
        <v>4</v>
      </c>
      <c r="B42" s="63"/>
      <c r="C42" s="63"/>
      <c r="D42" s="8"/>
      <c r="E42" s="8"/>
      <c r="F42" s="8"/>
      <c r="G42" s="8"/>
    </row>
    <row r="43" spans="1:9">
      <c r="A43" s="8">
        <v>3</v>
      </c>
      <c r="B43" s="63"/>
      <c r="C43" s="63"/>
      <c r="D43" s="8"/>
      <c r="E43" s="8"/>
      <c r="F43" s="8"/>
      <c r="G43" s="8"/>
    </row>
    <row r="44" spans="1:9">
      <c r="A44" s="8">
        <v>2</v>
      </c>
      <c r="B44" s="63"/>
      <c r="C44" s="63"/>
      <c r="D44" s="8"/>
      <c r="E44" s="8"/>
      <c r="F44" s="8"/>
      <c r="G44" s="8"/>
    </row>
    <row r="45" spans="1:9">
      <c r="A45" s="8">
        <v>1</v>
      </c>
      <c r="B45" s="63"/>
      <c r="C45" s="63"/>
      <c r="D45" s="8"/>
      <c r="E45" s="8"/>
      <c r="F45" s="8"/>
      <c r="G45" s="8"/>
    </row>
    <row r="46" spans="1:9" s="264" customFormat="1">
      <c r="B46" s="37">
        <f>SUM(B1:B44)</f>
        <v>13605</v>
      </c>
      <c r="C46" s="37">
        <f>SUM(C1:C44)</f>
        <v>10379</v>
      </c>
    </row>
    <row r="47" spans="1:9">
      <c r="B47" s="625">
        <f>B46+C46</f>
        <v>23984</v>
      </c>
      <c r="C47" s="625"/>
    </row>
    <row r="48" spans="1:9">
      <c r="A48" s="289" t="s">
        <v>262</v>
      </c>
      <c r="B48" s="288">
        <v>6700</v>
      </c>
      <c r="C48" s="287">
        <v>1</v>
      </c>
      <c r="D48" s="288">
        <f>(C48*B48)</f>
        <v>6700</v>
      </c>
    </row>
    <row r="49" spans="1:4">
      <c r="A49" s="289" t="s">
        <v>311</v>
      </c>
      <c r="B49" s="288">
        <v>300</v>
      </c>
      <c r="C49" s="287">
        <v>1</v>
      </c>
      <c r="D49" s="288">
        <v>410</v>
      </c>
    </row>
    <row r="50" spans="1:4">
      <c r="A50" s="289" t="s">
        <v>263</v>
      </c>
      <c r="B50" s="288">
        <f>300-(300*10%)</f>
        <v>270</v>
      </c>
      <c r="C50" s="287">
        <v>36</v>
      </c>
      <c r="D50" s="288">
        <f>C50*B50</f>
        <v>9720</v>
      </c>
    </row>
    <row r="51" spans="1:4">
      <c r="A51" s="289" t="s">
        <v>264</v>
      </c>
      <c r="B51" s="288">
        <f>500-(500*10%)</f>
        <v>450</v>
      </c>
      <c r="C51" s="287">
        <v>4</v>
      </c>
      <c r="D51" s="288">
        <f>C51*B51</f>
        <v>1800</v>
      </c>
    </row>
    <row r="52" spans="1:4">
      <c r="A52" s="289" t="s">
        <v>266</v>
      </c>
      <c r="B52" s="287"/>
      <c r="C52" s="287">
        <f>C51+C50</f>
        <v>40</v>
      </c>
      <c r="D52" s="288">
        <f>D51+D50</f>
        <v>11520</v>
      </c>
    </row>
    <row r="53" spans="1:4" ht="15.75" thickBot="1">
      <c r="A53" s="289" t="s">
        <v>265</v>
      </c>
      <c r="B53" s="287"/>
      <c r="C53" s="287"/>
      <c r="D53" s="308">
        <f>D48+D49+D52</f>
        <v>18630</v>
      </c>
    </row>
    <row r="54" spans="1:4" ht="15.75" thickBot="1">
      <c r="A54" s="371" t="s">
        <v>7</v>
      </c>
      <c r="B54" s="372"/>
      <c r="C54" s="373"/>
      <c r="D54" s="309">
        <f>B47-D53</f>
        <v>5354</v>
      </c>
    </row>
  </sheetData>
  <mergeCells count="1">
    <mergeCell ref="B47:C47"/>
  </mergeCells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4"/>
  <sheetViews>
    <sheetView topLeftCell="A43" workbookViewId="0">
      <selection activeCell="J36" sqref="J36"/>
    </sheetView>
  </sheetViews>
  <sheetFormatPr baseColWidth="10" defaultRowHeight="15"/>
  <cols>
    <col min="1" max="1" width="3" style="264" bestFit="1" customWidth="1"/>
    <col min="2" max="2" width="29.5703125" bestFit="1" customWidth="1"/>
    <col min="3" max="4" width="11.5703125" bestFit="1" customWidth="1"/>
    <col min="5" max="5" width="12.28515625" bestFit="1" customWidth="1"/>
    <col min="6" max="6" width="18.28515625" bestFit="1" customWidth="1"/>
    <col min="11" max="11" width="11.5703125" bestFit="1" customWidth="1"/>
    <col min="12" max="12" width="12.5703125" bestFit="1" customWidth="1"/>
  </cols>
  <sheetData>
    <row r="1" spans="1:9">
      <c r="A1" s="484">
        <v>1</v>
      </c>
      <c r="B1" s="484" t="s">
        <v>1355</v>
      </c>
      <c r="C1" s="485">
        <v>765</v>
      </c>
      <c r="D1" s="486">
        <v>0</v>
      </c>
      <c r="E1" s="484" t="s">
        <v>1112</v>
      </c>
      <c r="F1" s="487" t="s">
        <v>755</v>
      </c>
      <c r="G1" s="2"/>
      <c r="H1" s="2"/>
      <c r="I1" s="2"/>
    </row>
    <row r="2" spans="1:9">
      <c r="A2" s="484">
        <v>2</v>
      </c>
      <c r="B2" s="484" t="s">
        <v>1176</v>
      </c>
      <c r="C2" s="485">
        <v>565</v>
      </c>
      <c r="D2" s="486">
        <f>437.5-C2</f>
        <v>-127.5</v>
      </c>
      <c r="E2" s="484" t="s">
        <v>1112</v>
      </c>
      <c r="F2" s="487" t="s">
        <v>1184</v>
      </c>
      <c r="G2" s="2"/>
      <c r="H2" s="2"/>
      <c r="I2" s="2"/>
    </row>
    <row r="3" spans="1:9">
      <c r="A3" s="484">
        <v>3</v>
      </c>
      <c r="B3" s="484" t="s">
        <v>1178</v>
      </c>
      <c r="C3" s="485">
        <v>437.5</v>
      </c>
      <c r="D3" s="486">
        <v>0</v>
      </c>
      <c r="E3" s="484" t="s">
        <v>1022</v>
      </c>
      <c r="F3" s="484" t="s">
        <v>1179</v>
      </c>
      <c r="G3" s="2"/>
      <c r="H3" s="2"/>
      <c r="I3" s="2"/>
    </row>
    <row r="4" spans="1:9">
      <c r="A4" s="484">
        <v>4</v>
      </c>
      <c r="B4" s="484" t="s">
        <v>1013</v>
      </c>
      <c r="C4" s="485">
        <v>437.5</v>
      </c>
      <c r="D4" s="486">
        <v>0</v>
      </c>
      <c r="E4" s="484" t="s">
        <v>1010</v>
      </c>
      <c r="F4" s="484" t="s">
        <v>1179</v>
      </c>
      <c r="G4" s="2"/>
      <c r="H4" s="2"/>
      <c r="I4" s="2"/>
    </row>
    <row r="5" spans="1:9">
      <c r="A5" s="484">
        <v>5</v>
      </c>
      <c r="B5" s="484" t="s">
        <v>1185</v>
      </c>
      <c r="C5" s="485">
        <v>437.5</v>
      </c>
      <c r="D5" s="486">
        <v>0</v>
      </c>
      <c r="E5" s="484" t="s">
        <v>1182</v>
      </c>
      <c r="F5" s="487" t="s">
        <v>755</v>
      </c>
      <c r="G5" s="2"/>
      <c r="H5" s="2"/>
      <c r="I5" s="2"/>
    </row>
    <row r="6" spans="1:9">
      <c r="A6" s="484">
        <v>6</v>
      </c>
      <c r="B6" s="484" t="s">
        <v>1187</v>
      </c>
      <c r="C6" s="485">
        <f>375+400</f>
        <v>775</v>
      </c>
      <c r="D6" s="486">
        <f>775-C6</f>
        <v>0</v>
      </c>
      <c r="E6" s="484" t="s">
        <v>1186</v>
      </c>
      <c r="F6" s="487" t="s">
        <v>755</v>
      </c>
      <c r="G6" s="473" t="s">
        <v>267</v>
      </c>
      <c r="H6" s="2"/>
      <c r="I6" s="2"/>
    </row>
    <row r="7" spans="1:9">
      <c r="A7" s="484">
        <v>7</v>
      </c>
      <c r="B7" s="484" t="s">
        <v>1191</v>
      </c>
      <c r="C7" s="485">
        <v>275</v>
      </c>
      <c r="D7" s="486">
        <v>300</v>
      </c>
      <c r="E7" s="484" t="s">
        <v>1192</v>
      </c>
      <c r="F7" s="487" t="s">
        <v>755</v>
      </c>
      <c r="G7" s="2"/>
      <c r="H7" s="2"/>
      <c r="I7" s="2"/>
    </row>
    <row r="8" spans="1:9">
      <c r="A8" s="484">
        <v>8</v>
      </c>
      <c r="B8" s="484" t="s">
        <v>1198</v>
      </c>
      <c r="C8" s="485">
        <v>437.5</v>
      </c>
      <c r="D8" s="486">
        <v>0</v>
      </c>
      <c r="E8" s="484" t="s">
        <v>1199</v>
      </c>
      <c r="F8" s="487" t="s">
        <v>755</v>
      </c>
      <c r="G8" s="2"/>
      <c r="H8" s="2"/>
      <c r="I8" s="2"/>
    </row>
    <row r="9" spans="1:9">
      <c r="A9" s="484">
        <v>9</v>
      </c>
      <c r="B9" s="484" t="s">
        <v>1335</v>
      </c>
      <c r="C9" s="485">
        <v>275</v>
      </c>
      <c r="D9" s="486">
        <f>575-C9</f>
        <v>300</v>
      </c>
      <c r="E9" s="484" t="s">
        <v>1336</v>
      </c>
      <c r="F9" s="487" t="s">
        <v>755</v>
      </c>
      <c r="G9" s="2"/>
      <c r="H9" s="2"/>
      <c r="I9" s="2"/>
    </row>
    <row r="10" spans="1:9">
      <c r="A10" s="484">
        <v>10</v>
      </c>
      <c r="B10" s="484" t="s">
        <v>1208</v>
      </c>
      <c r="C10" s="485">
        <v>437.5</v>
      </c>
      <c r="D10" s="486">
        <v>0</v>
      </c>
      <c r="E10" s="484" t="s">
        <v>1209</v>
      </c>
      <c r="F10" s="487" t="s">
        <v>755</v>
      </c>
      <c r="G10" s="2"/>
      <c r="H10" s="2"/>
      <c r="I10" s="2"/>
    </row>
    <row r="11" spans="1:9">
      <c r="A11" s="484">
        <v>11</v>
      </c>
      <c r="B11" s="484" t="s">
        <v>1339</v>
      </c>
      <c r="C11" s="485">
        <v>437.5</v>
      </c>
      <c r="D11" s="486"/>
      <c r="E11" s="484" t="s">
        <v>1340</v>
      </c>
      <c r="F11" s="487" t="s">
        <v>755</v>
      </c>
      <c r="G11" s="2"/>
      <c r="H11" s="2"/>
      <c r="I11" s="2"/>
    </row>
    <row r="12" spans="1:9">
      <c r="A12" s="484">
        <v>12</v>
      </c>
      <c r="B12" s="484" t="s">
        <v>1211</v>
      </c>
      <c r="C12" s="485">
        <v>437.5</v>
      </c>
      <c r="D12" s="486"/>
      <c r="E12" s="484" t="s">
        <v>211</v>
      </c>
      <c r="F12" s="487" t="s">
        <v>1184</v>
      </c>
      <c r="G12" s="2"/>
      <c r="H12" s="2"/>
      <c r="I12" s="2"/>
    </row>
    <row r="13" spans="1:9">
      <c r="A13" s="484">
        <v>13</v>
      </c>
      <c r="B13" s="484" t="s">
        <v>21</v>
      </c>
      <c r="C13" s="485">
        <v>375</v>
      </c>
      <c r="D13" s="486">
        <f>765-C13</f>
        <v>390</v>
      </c>
      <c r="E13" s="484" t="s">
        <v>32</v>
      </c>
      <c r="F13" s="484" t="s">
        <v>1179</v>
      </c>
      <c r="G13" s="2" t="s">
        <v>187</v>
      </c>
      <c r="H13" s="2"/>
      <c r="I13" s="2"/>
    </row>
    <row r="14" spans="1:9">
      <c r="A14" s="484">
        <v>14</v>
      </c>
      <c r="B14" s="484" t="s">
        <v>115</v>
      </c>
      <c r="C14" s="485">
        <v>438</v>
      </c>
      <c r="D14" s="486">
        <v>0</v>
      </c>
      <c r="E14" s="484" t="s">
        <v>104</v>
      </c>
      <c r="F14" s="484" t="s">
        <v>1179</v>
      </c>
      <c r="G14" s="2"/>
      <c r="H14" s="2"/>
      <c r="I14" s="2"/>
    </row>
    <row r="15" spans="1:9">
      <c r="A15" s="484">
        <v>15</v>
      </c>
      <c r="B15" s="484" t="s">
        <v>1216</v>
      </c>
      <c r="C15" s="485">
        <v>437.5</v>
      </c>
      <c r="D15" s="486"/>
      <c r="E15" s="484" t="s">
        <v>361</v>
      </c>
      <c r="F15" s="484" t="s">
        <v>1179</v>
      </c>
      <c r="G15" s="2"/>
      <c r="H15" s="2"/>
      <c r="I15" s="2"/>
    </row>
    <row r="16" spans="1:9">
      <c r="A16" s="484">
        <v>16</v>
      </c>
      <c r="B16" s="484" t="s">
        <v>845</v>
      </c>
      <c r="C16" s="486">
        <v>437.5</v>
      </c>
      <c r="D16" s="486"/>
      <c r="E16" s="484" t="s">
        <v>211</v>
      </c>
      <c r="F16" s="484" t="s">
        <v>1179</v>
      </c>
      <c r="G16" s="2"/>
      <c r="H16" s="2"/>
      <c r="I16" s="2"/>
    </row>
    <row r="17" spans="1:9">
      <c r="A17" s="484">
        <v>17</v>
      </c>
      <c r="B17" s="484" t="s">
        <v>1251</v>
      </c>
      <c r="C17" s="486">
        <v>300</v>
      </c>
      <c r="D17" s="486">
        <f>575-C17</f>
        <v>275</v>
      </c>
      <c r="E17" s="484" t="s">
        <v>1252</v>
      </c>
      <c r="F17" s="484" t="s">
        <v>755</v>
      </c>
      <c r="G17" s="2"/>
      <c r="H17" s="2"/>
      <c r="I17" s="2"/>
    </row>
    <row r="18" spans="1:9">
      <c r="A18" s="484">
        <v>18</v>
      </c>
      <c r="B18" s="484" t="s">
        <v>1320</v>
      </c>
      <c r="C18" s="486">
        <v>500</v>
      </c>
      <c r="D18" s="486">
        <f>775-C18</f>
        <v>275</v>
      </c>
      <c r="E18" s="484" t="s">
        <v>1138</v>
      </c>
      <c r="F18" s="484" t="s">
        <v>1179</v>
      </c>
      <c r="G18" s="2"/>
      <c r="H18" s="2"/>
      <c r="I18" s="2"/>
    </row>
    <row r="19" spans="1:9">
      <c r="A19" s="484">
        <v>19</v>
      </c>
      <c r="B19" s="484" t="s">
        <v>1084</v>
      </c>
      <c r="C19" s="486">
        <v>500</v>
      </c>
      <c r="D19" s="486">
        <f>575-C19</f>
        <v>75</v>
      </c>
      <c r="E19" s="484" t="s">
        <v>211</v>
      </c>
      <c r="F19" s="484" t="s">
        <v>1179</v>
      </c>
      <c r="G19" s="2"/>
      <c r="H19" s="2"/>
      <c r="I19" s="2"/>
    </row>
    <row r="20" spans="1:9">
      <c r="A20" s="484">
        <v>20</v>
      </c>
      <c r="B20" s="484" t="s">
        <v>1260</v>
      </c>
      <c r="C20" s="486">
        <v>575</v>
      </c>
      <c r="D20" s="486">
        <v>0</v>
      </c>
      <c r="E20" s="484" t="s">
        <v>1259</v>
      </c>
      <c r="F20" s="484" t="s">
        <v>1179</v>
      </c>
      <c r="G20" s="2"/>
      <c r="H20" s="2"/>
      <c r="I20" s="2"/>
    </row>
    <row r="21" spans="1:9">
      <c r="A21" s="484">
        <v>21</v>
      </c>
      <c r="B21" s="484" t="s">
        <v>1334</v>
      </c>
      <c r="C21" s="486">
        <v>575</v>
      </c>
      <c r="D21" s="486">
        <v>0</v>
      </c>
      <c r="E21" s="484" t="s">
        <v>1182</v>
      </c>
      <c r="F21" s="487" t="s">
        <v>1184</v>
      </c>
      <c r="G21" s="473" t="s">
        <v>267</v>
      </c>
      <c r="H21" s="2"/>
      <c r="I21" s="2"/>
    </row>
    <row r="22" spans="1:9">
      <c r="A22" s="484">
        <v>22</v>
      </c>
      <c r="B22" s="484" t="s">
        <v>1271</v>
      </c>
      <c r="C22" s="486">
        <v>300</v>
      </c>
      <c r="D22" s="486">
        <f>575-C22</f>
        <v>275</v>
      </c>
      <c r="E22" s="484" t="s">
        <v>1270</v>
      </c>
      <c r="F22" s="484" t="s">
        <v>755</v>
      </c>
      <c r="G22" s="2"/>
      <c r="H22" s="2"/>
      <c r="I22" s="2"/>
    </row>
    <row r="23" spans="1:9">
      <c r="A23" s="484">
        <v>23</v>
      </c>
      <c r="B23" s="484" t="s">
        <v>1274</v>
      </c>
      <c r="C23" s="486">
        <v>575</v>
      </c>
      <c r="D23" s="486">
        <v>0</v>
      </c>
      <c r="E23" s="484" t="s">
        <v>1273</v>
      </c>
      <c r="F23" s="484" t="s">
        <v>755</v>
      </c>
      <c r="G23" s="2"/>
      <c r="H23" s="2"/>
      <c r="I23" s="2"/>
    </row>
    <row r="24" spans="1:9">
      <c r="A24" s="484">
        <v>24</v>
      </c>
      <c r="B24" s="484" t="s">
        <v>1275</v>
      </c>
      <c r="C24" s="486">
        <v>575</v>
      </c>
      <c r="D24" s="486">
        <v>0</v>
      </c>
      <c r="E24" s="484" t="s">
        <v>822</v>
      </c>
      <c r="F24" s="484" t="s">
        <v>956</v>
      </c>
      <c r="G24" s="2"/>
      <c r="H24" s="2"/>
      <c r="I24" s="2"/>
    </row>
    <row r="25" spans="1:9">
      <c r="A25" s="484">
        <v>25</v>
      </c>
      <c r="B25" s="484" t="s">
        <v>1280</v>
      </c>
      <c r="C25" s="486">
        <v>275</v>
      </c>
      <c r="D25" s="486">
        <f>575-C25</f>
        <v>300</v>
      </c>
      <c r="E25" s="484" t="s">
        <v>1279</v>
      </c>
      <c r="F25" s="484" t="s">
        <v>810</v>
      </c>
      <c r="G25" s="2"/>
      <c r="H25" s="2"/>
      <c r="I25" s="2"/>
    </row>
    <row r="26" spans="1:9">
      <c r="A26" s="484">
        <v>26</v>
      </c>
      <c r="B26" s="484" t="s">
        <v>1287</v>
      </c>
      <c r="C26" s="486">
        <f>650</f>
        <v>650</v>
      </c>
      <c r="D26" s="486">
        <f>775-C26</f>
        <v>125</v>
      </c>
      <c r="E26" s="484" t="s">
        <v>1289</v>
      </c>
      <c r="F26" s="484" t="s">
        <v>810</v>
      </c>
      <c r="G26" s="2" t="s">
        <v>267</v>
      </c>
      <c r="H26" s="2"/>
      <c r="I26" s="2"/>
    </row>
    <row r="27" spans="1:9">
      <c r="A27" s="484">
        <v>27</v>
      </c>
      <c r="B27" s="484" t="s">
        <v>1288</v>
      </c>
      <c r="C27" s="486">
        <v>0</v>
      </c>
      <c r="D27" s="486">
        <v>575</v>
      </c>
      <c r="E27" s="484" t="s">
        <v>211</v>
      </c>
      <c r="F27" s="487" t="s">
        <v>1184</v>
      </c>
      <c r="G27" s="2"/>
      <c r="H27" s="2"/>
      <c r="I27" s="2"/>
    </row>
    <row r="28" spans="1:9">
      <c r="A28" s="484">
        <v>28</v>
      </c>
      <c r="B28" s="484" t="s">
        <v>0</v>
      </c>
      <c r="C28" s="486">
        <v>375</v>
      </c>
      <c r="D28" s="486">
        <f>775-C28</f>
        <v>400</v>
      </c>
      <c r="E28" s="484" t="s">
        <v>1319</v>
      </c>
      <c r="F28" s="484" t="s">
        <v>1179</v>
      </c>
      <c r="G28" s="2"/>
      <c r="H28" s="2"/>
      <c r="I28" s="2"/>
    </row>
    <row r="29" spans="1:9">
      <c r="A29" s="484">
        <v>29</v>
      </c>
      <c r="B29" s="484" t="s">
        <v>1321</v>
      </c>
      <c r="C29" s="486">
        <v>500</v>
      </c>
      <c r="D29" s="486">
        <f>775-C29</f>
        <v>275</v>
      </c>
      <c r="E29" s="484" t="s">
        <v>34</v>
      </c>
      <c r="F29" s="484" t="s">
        <v>1179</v>
      </c>
      <c r="G29" s="2"/>
      <c r="H29" s="2"/>
      <c r="I29" s="2"/>
    </row>
    <row r="30" spans="1:9">
      <c r="A30" s="484">
        <v>30</v>
      </c>
      <c r="B30" s="484" t="s">
        <v>1326</v>
      </c>
      <c r="C30" s="486">
        <v>275</v>
      </c>
      <c r="D30" s="486">
        <f>575-C30</f>
        <v>300</v>
      </c>
      <c r="E30" s="484" t="s">
        <v>1325</v>
      </c>
      <c r="F30" s="484" t="s">
        <v>755</v>
      </c>
      <c r="G30" s="2"/>
      <c r="H30" s="2">
        <v>14</v>
      </c>
      <c r="I30" s="2" t="s">
        <v>1179</v>
      </c>
    </row>
    <row r="31" spans="1:9">
      <c r="A31" s="484">
        <v>31</v>
      </c>
      <c r="B31" s="484" t="s">
        <v>1231</v>
      </c>
      <c r="C31" s="486">
        <v>500</v>
      </c>
      <c r="D31" s="486">
        <f>575-C31</f>
        <v>75</v>
      </c>
      <c r="E31" s="484" t="s">
        <v>1232</v>
      </c>
      <c r="F31" s="484" t="s">
        <v>755</v>
      </c>
      <c r="G31" s="2"/>
      <c r="H31" s="2">
        <v>7</v>
      </c>
      <c r="I31" s="2" t="s">
        <v>956</v>
      </c>
    </row>
    <row r="32" spans="1:9">
      <c r="A32" s="484">
        <v>32</v>
      </c>
      <c r="B32" s="484" t="s">
        <v>1328</v>
      </c>
      <c r="C32" s="486">
        <v>275</v>
      </c>
      <c r="D32" s="486">
        <f>575-C32</f>
        <v>300</v>
      </c>
      <c r="E32" s="484" t="s">
        <v>1327</v>
      </c>
      <c r="F32" s="484" t="s">
        <v>755</v>
      </c>
      <c r="G32" s="2"/>
      <c r="H32" s="2">
        <v>22</v>
      </c>
      <c r="I32" s="2" t="s">
        <v>755</v>
      </c>
    </row>
    <row r="33" spans="1:12">
      <c r="A33" s="484">
        <v>33</v>
      </c>
      <c r="B33" s="484" t="s">
        <v>1329</v>
      </c>
      <c r="C33" s="486">
        <v>375</v>
      </c>
      <c r="D33" s="486">
        <f>775-C33</f>
        <v>400</v>
      </c>
      <c r="E33" s="484" t="s">
        <v>1330</v>
      </c>
      <c r="F33" s="484" t="s">
        <v>755</v>
      </c>
      <c r="G33" s="2"/>
      <c r="H33" s="2">
        <v>11</v>
      </c>
      <c r="I33" s="2" t="s">
        <v>1183</v>
      </c>
    </row>
    <row r="34" spans="1:12">
      <c r="A34" s="484">
        <v>34</v>
      </c>
      <c r="B34" s="484" t="s">
        <v>206</v>
      </c>
      <c r="C34" s="486">
        <v>500</v>
      </c>
      <c r="D34" s="486">
        <f>775-C34</f>
        <v>275</v>
      </c>
      <c r="E34" s="484"/>
      <c r="F34" s="484" t="s">
        <v>1179</v>
      </c>
      <c r="G34" s="2" t="s">
        <v>267</v>
      </c>
      <c r="H34" s="2">
        <v>6</v>
      </c>
      <c r="I34" s="2" t="s">
        <v>1290</v>
      </c>
    </row>
    <row r="35" spans="1:12">
      <c r="A35" s="484">
        <v>35</v>
      </c>
      <c r="B35" s="484" t="s">
        <v>1333</v>
      </c>
      <c r="C35" s="486">
        <f>300</f>
        <v>300</v>
      </c>
      <c r="D35" s="486">
        <f>775-C35</f>
        <v>475</v>
      </c>
      <c r="E35" s="484" t="s">
        <v>1331</v>
      </c>
      <c r="F35" s="484" t="s">
        <v>1179</v>
      </c>
      <c r="G35" s="2"/>
      <c r="H35" s="2">
        <v>24</v>
      </c>
      <c r="I35" s="2" t="s">
        <v>1291</v>
      </c>
    </row>
    <row r="36" spans="1:12">
      <c r="A36" s="484">
        <v>36</v>
      </c>
      <c r="B36" s="484" t="s">
        <v>1332</v>
      </c>
      <c r="C36" s="486">
        <v>0</v>
      </c>
      <c r="D36" s="486">
        <v>575</v>
      </c>
      <c r="E36" s="484" t="s">
        <v>211</v>
      </c>
      <c r="F36" s="484" t="s">
        <v>1179</v>
      </c>
      <c r="G36" s="2"/>
      <c r="H36" s="2"/>
      <c r="I36" s="2"/>
    </row>
    <row r="37" spans="1:12">
      <c r="A37" s="484">
        <v>37</v>
      </c>
      <c r="B37" s="484" t="s">
        <v>1338</v>
      </c>
      <c r="C37" s="486">
        <v>300</v>
      </c>
      <c r="D37" s="486">
        <f>575-C37</f>
        <v>275</v>
      </c>
      <c r="E37" s="484" t="s">
        <v>1337</v>
      </c>
      <c r="F37" s="484" t="s">
        <v>755</v>
      </c>
      <c r="G37" s="2"/>
      <c r="H37" s="2"/>
      <c r="I37" s="2"/>
    </row>
    <row r="38" spans="1:12">
      <c r="A38" s="484">
        <v>38</v>
      </c>
      <c r="B38" s="484" t="s">
        <v>1341</v>
      </c>
      <c r="C38" s="486">
        <v>300</v>
      </c>
      <c r="D38" s="486">
        <v>275</v>
      </c>
      <c r="E38" s="484" t="s">
        <v>1342</v>
      </c>
      <c r="F38" s="484" t="s">
        <v>1179</v>
      </c>
      <c r="G38" s="2"/>
      <c r="H38" s="2"/>
      <c r="I38" s="2"/>
    </row>
    <row r="39" spans="1:12">
      <c r="A39" s="484">
        <v>39</v>
      </c>
      <c r="B39" s="484" t="s">
        <v>165</v>
      </c>
      <c r="C39" s="486">
        <v>275</v>
      </c>
      <c r="D39" s="486">
        <v>300</v>
      </c>
      <c r="E39" s="484" t="s">
        <v>386</v>
      </c>
      <c r="F39" s="484" t="s">
        <v>1179</v>
      </c>
      <c r="G39" s="2"/>
      <c r="H39" s="2"/>
      <c r="I39" s="2"/>
    </row>
    <row r="40" spans="1:12">
      <c r="A40" s="484">
        <v>40</v>
      </c>
      <c r="B40" s="484" t="s">
        <v>1343</v>
      </c>
      <c r="C40" s="486">
        <v>0</v>
      </c>
      <c r="D40" s="486">
        <v>575</v>
      </c>
      <c r="E40" s="484" t="s">
        <v>1344</v>
      </c>
      <c r="F40" s="484" t="s">
        <v>1179</v>
      </c>
      <c r="G40" s="2"/>
      <c r="H40" s="2"/>
      <c r="I40" s="2"/>
    </row>
    <row r="41" spans="1:12">
      <c r="A41" s="484">
        <v>41</v>
      </c>
      <c r="B41" s="484" t="s">
        <v>1345</v>
      </c>
      <c r="C41" s="486">
        <v>0</v>
      </c>
      <c r="D41" s="486">
        <v>575</v>
      </c>
      <c r="E41" s="484" t="s">
        <v>211</v>
      </c>
      <c r="F41" s="487" t="s">
        <v>1184</v>
      </c>
      <c r="G41" s="2"/>
      <c r="H41" s="2"/>
      <c r="I41" s="2"/>
      <c r="K41" s="37"/>
      <c r="L41" s="37"/>
    </row>
    <row r="42" spans="1:12">
      <c r="A42" s="484">
        <v>42</v>
      </c>
      <c r="B42" s="484" t="s">
        <v>1346</v>
      </c>
      <c r="C42" s="486">
        <v>0</v>
      </c>
      <c r="D42" s="486">
        <v>575</v>
      </c>
      <c r="E42" s="484" t="s">
        <v>822</v>
      </c>
      <c r="F42" s="487" t="s">
        <v>1184</v>
      </c>
      <c r="G42" s="2"/>
      <c r="H42" s="2"/>
      <c r="I42" s="2"/>
      <c r="L42" s="37"/>
    </row>
    <row r="43" spans="1:12">
      <c r="A43" s="484">
        <v>43</v>
      </c>
      <c r="B43" s="484" t="s">
        <v>1348</v>
      </c>
      <c r="C43" s="486">
        <f>550/2</f>
        <v>275</v>
      </c>
      <c r="D43" s="486">
        <f>575-C43</f>
        <v>300</v>
      </c>
      <c r="E43" s="484" t="s">
        <v>1347</v>
      </c>
      <c r="F43" s="484" t="s">
        <v>1179</v>
      </c>
      <c r="G43" s="2"/>
      <c r="H43" s="2"/>
      <c r="I43" s="2"/>
      <c r="K43" s="37"/>
      <c r="L43" s="37"/>
    </row>
    <row r="44" spans="1:12">
      <c r="A44" s="484">
        <v>44</v>
      </c>
      <c r="B44" s="484" t="s">
        <v>1348</v>
      </c>
      <c r="C44" s="486">
        <v>275</v>
      </c>
      <c r="D44" s="486">
        <f>575-C44</f>
        <v>300</v>
      </c>
      <c r="E44" s="484" t="s">
        <v>211</v>
      </c>
      <c r="F44" s="484" t="s">
        <v>1179</v>
      </c>
      <c r="G44" s="2"/>
      <c r="H44" s="2"/>
      <c r="I44" s="2"/>
      <c r="K44" s="62"/>
      <c r="L44" s="37"/>
    </row>
    <row r="45" spans="1:12">
      <c r="A45" s="484">
        <v>45</v>
      </c>
      <c r="B45" s="484" t="s">
        <v>1350</v>
      </c>
      <c r="C45" s="486">
        <v>0</v>
      </c>
      <c r="D45" s="486">
        <v>575</v>
      </c>
      <c r="E45" s="484" t="s">
        <v>1349</v>
      </c>
      <c r="F45" s="484" t="s">
        <v>1179</v>
      </c>
      <c r="G45" s="2"/>
      <c r="H45" s="2"/>
      <c r="I45" s="2"/>
      <c r="L45" s="37"/>
    </row>
    <row r="46" spans="1:12" s="264" customFormat="1">
      <c r="A46" s="484">
        <v>46</v>
      </c>
      <c r="B46" s="484" t="s">
        <v>1351</v>
      </c>
      <c r="C46" s="486">
        <v>0</v>
      </c>
      <c r="D46" s="486">
        <v>775</v>
      </c>
      <c r="E46" s="484" t="s">
        <v>406</v>
      </c>
      <c r="F46" s="487" t="s">
        <v>1184</v>
      </c>
      <c r="G46" s="473" t="s">
        <v>267</v>
      </c>
      <c r="H46" s="2"/>
      <c r="I46" s="2"/>
      <c r="L46" s="37"/>
    </row>
    <row r="47" spans="1:12" s="264" customFormat="1">
      <c r="A47" s="484">
        <v>47</v>
      </c>
      <c r="B47" s="484" t="s">
        <v>1352</v>
      </c>
      <c r="C47" s="486">
        <v>575</v>
      </c>
      <c r="D47" s="486">
        <v>0</v>
      </c>
      <c r="E47" s="484" t="s">
        <v>1353</v>
      </c>
      <c r="F47" s="487" t="s">
        <v>1184</v>
      </c>
      <c r="G47" s="47"/>
      <c r="H47" s="2"/>
      <c r="I47" s="2"/>
      <c r="L47" s="37"/>
    </row>
    <row r="48" spans="1:12" s="264" customFormat="1">
      <c r="A48" s="484">
        <v>48</v>
      </c>
      <c r="B48" s="484" t="s">
        <v>0</v>
      </c>
      <c r="C48" s="486">
        <v>0</v>
      </c>
      <c r="D48" s="486">
        <v>575</v>
      </c>
      <c r="E48" s="484" t="s">
        <v>1354</v>
      </c>
      <c r="F48" s="487" t="s">
        <v>1179</v>
      </c>
      <c r="G48" s="47"/>
      <c r="H48" s="2"/>
      <c r="I48" s="2"/>
      <c r="L48" s="37"/>
    </row>
    <row r="49" spans="1:12">
      <c r="A49" s="2"/>
      <c r="B49" s="1"/>
      <c r="C49" s="41">
        <f>SUM(C1:C48)</f>
        <v>17330.5</v>
      </c>
      <c r="D49" s="41">
        <f>SUM(D1:D48)</f>
        <v>10937.5</v>
      </c>
      <c r="E49" s="1"/>
      <c r="F49" s="1"/>
      <c r="G49" s="2"/>
      <c r="H49" s="2"/>
      <c r="I49" s="2"/>
      <c r="L49" s="37"/>
    </row>
    <row r="50" spans="1:12">
      <c r="A50" s="2"/>
      <c r="B50" s="1"/>
      <c r="C50" s="627">
        <f>C49+D49</f>
        <v>28268</v>
      </c>
      <c r="D50" s="627"/>
      <c r="E50" s="1"/>
      <c r="F50" s="1"/>
      <c r="G50" s="2"/>
      <c r="H50" s="2"/>
      <c r="I50" s="2"/>
      <c r="L50" s="37"/>
    </row>
    <row r="51" spans="1:12">
      <c r="A51" s="2"/>
      <c r="B51" s="474" t="s">
        <v>262</v>
      </c>
      <c r="C51" s="475">
        <v>6700</v>
      </c>
      <c r="D51" s="476">
        <v>1</v>
      </c>
      <c r="E51" s="475">
        <f>(D51*C51)</f>
        <v>6700</v>
      </c>
      <c r="F51" s="2"/>
      <c r="G51" s="2"/>
      <c r="H51" s="2"/>
      <c r="I51" s="2"/>
      <c r="L51" s="37"/>
    </row>
    <row r="52" spans="1:12">
      <c r="A52" s="2"/>
      <c r="B52" s="477" t="s">
        <v>311</v>
      </c>
      <c r="C52" s="472">
        <v>300</v>
      </c>
      <c r="D52" s="478">
        <v>1</v>
      </c>
      <c r="E52" s="472">
        <v>410</v>
      </c>
      <c r="F52" s="2"/>
      <c r="G52" s="2"/>
      <c r="H52" s="2"/>
      <c r="I52" s="2"/>
      <c r="L52" s="37"/>
    </row>
    <row r="53" spans="1:12">
      <c r="A53" s="2"/>
      <c r="B53" s="477" t="s">
        <v>263</v>
      </c>
      <c r="C53" s="472">
        <f>300-(300*10%)</f>
        <v>270</v>
      </c>
      <c r="D53" s="478">
        <f>D55-D54</f>
        <v>40</v>
      </c>
      <c r="E53" s="472">
        <f>D53*C53</f>
        <v>10800</v>
      </c>
      <c r="F53" s="2"/>
      <c r="G53" s="2"/>
      <c r="H53" s="2"/>
      <c r="I53" s="2"/>
    </row>
    <row r="54" spans="1:12">
      <c r="A54" s="2"/>
      <c r="B54" s="477" t="s">
        <v>264</v>
      </c>
      <c r="C54" s="472">
        <f>500-(500*10%)</f>
        <v>450</v>
      </c>
      <c r="D54" s="478">
        <v>8</v>
      </c>
      <c r="E54" s="472">
        <f>D54*C54</f>
        <v>3600</v>
      </c>
      <c r="F54" s="2"/>
      <c r="G54" s="2"/>
      <c r="H54" s="2"/>
      <c r="I54" s="2"/>
    </row>
    <row r="55" spans="1:12">
      <c r="A55" s="2"/>
      <c r="B55" s="477" t="s">
        <v>266</v>
      </c>
      <c r="C55" s="478"/>
      <c r="D55" s="478">
        <v>48</v>
      </c>
      <c r="E55" s="472">
        <f>E54+E53</f>
        <v>14400</v>
      </c>
      <c r="F55" s="2"/>
      <c r="G55" s="2"/>
      <c r="H55" s="2"/>
      <c r="I55" s="2"/>
    </row>
    <row r="56" spans="1:12" ht="15.75" thickBot="1">
      <c r="A56" s="2"/>
      <c r="B56" s="477" t="s">
        <v>265</v>
      </c>
      <c r="C56" s="478"/>
      <c r="D56" s="478"/>
      <c r="E56" s="479">
        <f>E51+E52+E55</f>
        <v>21510</v>
      </c>
      <c r="F56" s="2"/>
      <c r="G56" s="2"/>
      <c r="H56" s="2"/>
      <c r="I56" s="2"/>
    </row>
    <row r="57" spans="1:12" ht="15.75" thickBot="1">
      <c r="A57" s="2"/>
      <c r="B57" s="480" t="s">
        <v>7</v>
      </c>
      <c r="C57" s="481"/>
      <c r="D57" s="482"/>
      <c r="E57" s="483">
        <f>C50-E56</f>
        <v>6758</v>
      </c>
      <c r="F57" s="2"/>
      <c r="G57" s="2"/>
      <c r="H57" s="2"/>
      <c r="I57" s="2"/>
    </row>
    <row r="59" spans="1:12">
      <c r="C59" s="264" t="s">
        <v>1207</v>
      </c>
      <c r="D59" s="37">
        <v>5365.5</v>
      </c>
    </row>
    <row r="60" spans="1:12">
      <c r="C60" s="264" t="s">
        <v>306</v>
      </c>
      <c r="D60" s="37">
        <v>6730.5</v>
      </c>
    </row>
    <row r="63" spans="1:12">
      <c r="H63">
        <v>4500</v>
      </c>
    </row>
    <row r="64" spans="1:12">
      <c r="H64" s="62">
        <f>C51-H63</f>
        <v>2200</v>
      </c>
    </row>
  </sheetData>
  <mergeCells count="1">
    <mergeCell ref="C50:D50"/>
  </mergeCells>
  <pageMargins left="0.70866141732283472" right="0.70866141732283472" top="0.19685039370078741" bottom="0.19685039370078741" header="0.31496062992125984" footer="0.31496062992125984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8"/>
  <sheetViews>
    <sheetView topLeftCell="A7" workbookViewId="0">
      <selection activeCell="A7" sqref="A1:XFD1048576"/>
    </sheetView>
  </sheetViews>
  <sheetFormatPr baseColWidth="10" defaultRowHeight="15"/>
  <cols>
    <col min="1" max="1" width="14.140625" bestFit="1" customWidth="1"/>
    <col min="2" max="2" width="28.7109375" bestFit="1" customWidth="1"/>
    <col min="3" max="4" width="11.5703125" bestFit="1" customWidth="1"/>
    <col min="5" max="5" width="17.42578125" bestFit="1" customWidth="1"/>
    <col min="6" max="6" width="17.42578125" style="37" customWidth="1"/>
    <col min="7" max="7" width="14.140625" style="101" customWidth="1"/>
    <col min="8" max="8" width="11.5703125" bestFit="1" customWidth="1"/>
  </cols>
  <sheetData>
    <row r="1" spans="1:9">
      <c r="A1" s="122" t="s">
        <v>358</v>
      </c>
      <c r="B1" s="123" t="s">
        <v>357</v>
      </c>
      <c r="C1" s="123" t="s">
        <v>8</v>
      </c>
      <c r="D1" s="125" t="s">
        <v>350</v>
      </c>
      <c r="E1" s="218"/>
      <c r="F1" s="218"/>
      <c r="G1" s="218"/>
    </row>
    <row r="2" spans="1:9">
      <c r="A2" s="223">
        <v>1</v>
      </c>
      <c r="B2" s="111" t="s">
        <v>344</v>
      </c>
      <c r="C2" s="112">
        <f>22155/4</f>
        <v>5538.75</v>
      </c>
      <c r="D2" s="425">
        <f>C2/4</f>
        <v>1384.6875</v>
      </c>
      <c r="E2" s="102"/>
      <c r="F2" s="216"/>
      <c r="G2" s="216"/>
      <c r="H2" s="62"/>
    </row>
    <row r="3" spans="1:9">
      <c r="A3" s="224">
        <v>1</v>
      </c>
      <c r="B3" s="115" t="s">
        <v>344</v>
      </c>
      <c r="C3" s="116">
        <f>22155/4</f>
        <v>5538.75</v>
      </c>
      <c r="D3" s="426">
        <f>C3/4</f>
        <v>1384.6875</v>
      </c>
      <c r="E3" s="102"/>
      <c r="F3" s="216"/>
      <c r="G3" s="216"/>
      <c r="H3" s="37"/>
    </row>
    <row r="4" spans="1:9">
      <c r="A4" s="201">
        <v>1</v>
      </c>
      <c r="B4" s="81" t="s">
        <v>344</v>
      </c>
      <c r="C4" s="82">
        <f>22155/4</f>
        <v>5538.75</v>
      </c>
      <c r="D4" s="427">
        <f>C4/4</f>
        <v>1384.6875</v>
      </c>
      <c r="E4" s="102"/>
      <c r="F4" s="216"/>
      <c r="G4" s="216"/>
      <c r="H4" s="37"/>
    </row>
    <row r="5" spans="1:9">
      <c r="A5" s="225">
        <v>1</v>
      </c>
      <c r="B5" s="206" t="s">
        <v>344</v>
      </c>
      <c r="C5" s="208">
        <f>22155/4</f>
        <v>5538.75</v>
      </c>
      <c r="D5" s="428">
        <f>C5/2</f>
        <v>2769.375</v>
      </c>
      <c r="E5" s="102"/>
      <c r="F5" s="216"/>
      <c r="G5" s="216"/>
    </row>
    <row r="6" spans="1:9" ht="15.75" thickBot="1">
      <c r="A6" s="226">
        <v>4</v>
      </c>
      <c r="B6" s="227" t="s">
        <v>571</v>
      </c>
      <c r="C6" s="228">
        <f>SUM(C2:C5)</f>
        <v>22155</v>
      </c>
      <c r="D6" s="429" t="s">
        <v>572</v>
      </c>
      <c r="E6" s="218"/>
      <c r="F6" s="218"/>
      <c r="G6" s="102"/>
    </row>
    <row r="7" spans="1:9" ht="15.75" customHeight="1" thickBot="1">
      <c r="A7" s="101"/>
      <c r="B7" s="101"/>
      <c r="C7" s="102"/>
      <c r="D7" s="101"/>
      <c r="E7" s="78"/>
      <c r="F7" s="147"/>
      <c r="G7" s="217"/>
    </row>
    <row r="8" spans="1:9">
      <c r="A8" s="122" t="s">
        <v>354</v>
      </c>
      <c r="B8" s="123" t="s">
        <v>353</v>
      </c>
      <c r="C8" s="123" t="s">
        <v>328</v>
      </c>
      <c r="D8" s="123" t="s">
        <v>341</v>
      </c>
      <c r="E8" s="229" t="s">
        <v>441</v>
      </c>
      <c r="F8" s="230" t="s">
        <v>442</v>
      </c>
      <c r="G8" s="219"/>
      <c r="H8" s="192"/>
    </row>
    <row r="9" spans="1:9">
      <c r="A9" s="389" t="s">
        <v>1221</v>
      </c>
      <c r="B9" s="97" t="s">
        <v>0</v>
      </c>
      <c r="C9" s="98">
        <v>0</v>
      </c>
      <c r="D9" s="98">
        <v>0</v>
      </c>
      <c r="E9" s="390"/>
      <c r="F9" s="98">
        <v>0</v>
      </c>
      <c r="G9" s="216"/>
    </row>
    <row r="10" spans="1:9">
      <c r="A10" s="391"/>
      <c r="B10" s="97" t="s">
        <v>1256</v>
      </c>
      <c r="C10" s="98">
        <v>2500</v>
      </c>
      <c r="D10" s="98">
        <v>0</v>
      </c>
      <c r="E10" s="390" t="s">
        <v>1257</v>
      </c>
      <c r="F10" s="98">
        <v>0</v>
      </c>
      <c r="G10" s="216"/>
    </row>
    <row r="11" spans="1:9">
      <c r="A11" s="389"/>
      <c r="B11" s="97"/>
      <c r="C11" s="98"/>
      <c r="D11" s="98"/>
      <c r="E11" s="390"/>
      <c r="F11" s="98"/>
      <c r="G11" s="216"/>
    </row>
    <row r="12" spans="1:9">
      <c r="A12" s="389"/>
      <c r="B12" s="389"/>
      <c r="C12" s="389"/>
      <c r="D12" s="389"/>
      <c r="E12" s="389"/>
      <c r="F12" s="389">
        <v>0</v>
      </c>
      <c r="G12" s="216"/>
    </row>
    <row r="13" spans="1:9">
      <c r="A13" s="401" t="s">
        <v>1221</v>
      </c>
      <c r="B13" s="402" t="s">
        <v>1048</v>
      </c>
      <c r="C13" s="403">
        <f>500+550+2000+1850</f>
        <v>4900</v>
      </c>
      <c r="D13" s="403">
        <f>4900-C13</f>
        <v>0</v>
      </c>
      <c r="E13" s="404" t="s">
        <v>1049</v>
      </c>
      <c r="F13" s="403">
        <v>0</v>
      </c>
      <c r="G13" s="216"/>
    </row>
    <row r="14" spans="1:9">
      <c r="A14" s="401" t="s">
        <v>1221</v>
      </c>
      <c r="B14" s="402" t="s">
        <v>235</v>
      </c>
      <c r="C14" s="403">
        <f>2000+2000+900</f>
        <v>4900</v>
      </c>
      <c r="D14" s="403">
        <f>4900-C14</f>
        <v>0</v>
      </c>
      <c r="E14" s="404" t="s">
        <v>979</v>
      </c>
      <c r="F14" s="403">
        <v>0</v>
      </c>
      <c r="G14" s="216"/>
    </row>
    <row r="15" spans="1:9">
      <c r="A15" s="401" t="s">
        <v>1221</v>
      </c>
      <c r="B15" s="402" t="s">
        <v>838</v>
      </c>
      <c r="C15" s="403">
        <f>1000+3900</f>
        <v>4900</v>
      </c>
      <c r="D15" s="403">
        <f>4900-C15</f>
        <v>0</v>
      </c>
      <c r="E15" s="404" t="s">
        <v>836</v>
      </c>
      <c r="F15" s="403">
        <v>0</v>
      </c>
      <c r="G15" s="216"/>
    </row>
    <row r="16" spans="1:9">
      <c r="A16" s="401" t="s">
        <v>1221</v>
      </c>
      <c r="B16" s="430" t="s">
        <v>1237</v>
      </c>
      <c r="C16" s="431">
        <v>2000</v>
      </c>
      <c r="D16" s="431">
        <v>0</v>
      </c>
      <c r="E16" s="430" t="s">
        <v>1236</v>
      </c>
      <c r="F16" s="403">
        <v>0</v>
      </c>
      <c r="G16" s="216"/>
      <c r="H16" s="62"/>
      <c r="I16" s="69"/>
    </row>
    <row r="17" spans="1:9">
      <c r="A17" s="387" t="s">
        <v>1221</v>
      </c>
      <c r="B17" s="184" t="s">
        <v>837</v>
      </c>
      <c r="C17" s="172">
        <v>4250</v>
      </c>
      <c r="D17" s="172">
        <v>0</v>
      </c>
      <c r="E17" s="381" t="s">
        <v>742</v>
      </c>
      <c r="F17" s="172"/>
      <c r="G17" s="216"/>
      <c r="H17" s="62"/>
    </row>
    <row r="18" spans="1:9">
      <c r="A18" s="410" t="s">
        <v>1221</v>
      </c>
      <c r="B18" s="381" t="s">
        <v>1193</v>
      </c>
      <c r="C18" s="172">
        <v>0</v>
      </c>
      <c r="D18" s="172">
        <v>3500</v>
      </c>
      <c r="E18" s="381" t="s">
        <v>1194</v>
      </c>
      <c r="F18" s="172" t="s">
        <v>1258</v>
      </c>
      <c r="G18" s="216"/>
    </row>
    <row r="19" spans="1:9">
      <c r="A19" s="386" t="s">
        <v>1221</v>
      </c>
      <c r="B19" s="184" t="s">
        <v>1222</v>
      </c>
      <c r="C19" s="172">
        <v>4400</v>
      </c>
      <c r="D19" s="172">
        <v>0</v>
      </c>
      <c r="E19" s="381" t="s">
        <v>48</v>
      </c>
      <c r="F19" s="172">
        <v>0</v>
      </c>
      <c r="G19" s="216"/>
      <c r="H19" s="264"/>
      <c r="I19" s="264"/>
    </row>
    <row r="20" spans="1:9">
      <c r="A20" s="381"/>
      <c r="B20" s="212" t="s">
        <v>869</v>
      </c>
      <c r="C20" s="432">
        <f>500+1500+2000+900</f>
        <v>4900</v>
      </c>
      <c r="D20" s="432">
        <v>0</v>
      </c>
      <c r="E20" s="433" t="s">
        <v>870</v>
      </c>
      <c r="F20" s="381"/>
      <c r="G20" s="216"/>
      <c r="H20" s="62"/>
    </row>
    <row r="21" spans="1:9">
      <c r="A21" s="420" t="s">
        <v>1221</v>
      </c>
      <c r="B21" s="88" t="s">
        <v>1224</v>
      </c>
      <c r="C21" s="89">
        <v>500</v>
      </c>
      <c r="D21" s="89">
        <f>4900-C21</f>
        <v>4400</v>
      </c>
      <c r="E21" s="87" t="s">
        <v>997</v>
      </c>
      <c r="F21" s="421"/>
      <c r="G21" s="216"/>
    </row>
    <row r="22" spans="1:9">
      <c r="A22" s="420" t="s">
        <v>1221</v>
      </c>
      <c r="B22" s="88" t="s">
        <v>1189</v>
      </c>
      <c r="C22" s="89">
        <v>1350</v>
      </c>
      <c r="D22" s="89">
        <f>3000-C22</f>
        <v>1650</v>
      </c>
      <c r="E22" s="87" t="s">
        <v>1190</v>
      </c>
      <c r="F22" s="421" t="s">
        <v>1223</v>
      </c>
      <c r="G22" s="216"/>
    </row>
    <row r="23" spans="1:9" ht="15.75" thickBot="1">
      <c r="A23" s="422" t="s">
        <v>1235</v>
      </c>
      <c r="B23" s="423" t="s">
        <v>1234</v>
      </c>
      <c r="C23" s="424">
        <v>4900</v>
      </c>
      <c r="D23" s="424">
        <v>0</v>
      </c>
      <c r="E23" s="423" t="s">
        <v>1233</v>
      </c>
      <c r="F23" s="424">
        <v>0</v>
      </c>
      <c r="G23" s="216"/>
      <c r="H23" s="264"/>
    </row>
    <row r="24" spans="1:9" ht="15.75" thickBot="1">
      <c r="A24" s="422"/>
      <c r="B24" s="88" t="s">
        <v>1255</v>
      </c>
      <c r="C24" s="89">
        <v>2500</v>
      </c>
      <c r="D24" s="89">
        <v>0</v>
      </c>
      <c r="E24" s="87" t="s">
        <v>1254</v>
      </c>
      <c r="F24" s="424"/>
      <c r="G24" s="216"/>
    </row>
    <row r="25" spans="1:9">
      <c r="A25" s="406" t="s">
        <v>1230</v>
      </c>
      <c r="B25" s="407" t="s">
        <v>1250</v>
      </c>
      <c r="C25" s="408">
        <v>0</v>
      </c>
      <c r="D25" s="408">
        <v>0</v>
      </c>
      <c r="E25" s="409" t="s">
        <v>876</v>
      </c>
      <c r="F25" s="408"/>
      <c r="G25" s="216"/>
    </row>
    <row r="26" spans="1:9">
      <c r="A26" s="222" t="s">
        <v>386</v>
      </c>
      <c r="B26" s="209" t="s">
        <v>1229</v>
      </c>
      <c r="C26" s="174">
        <v>0</v>
      </c>
      <c r="D26" s="174">
        <v>0</v>
      </c>
      <c r="E26" s="210" t="s">
        <v>211</v>
      </c>
      <c r="F26" s="174"/>
      <c r="G26" s="216"/>
    </row>
    <row r="27" spans="1:9">
      <c r="B27" s="118"/>
      <c r="C27" s="77">
        <f>SUM(C9:C26)</f>
        <v>42000</v>
      </c>
      <c r="D27" s="77">
        <f>SUM(D9:D26)</f>
        <v>9550</v>
      </c>
      <c r="G27" s="220"/>
    </row>
    <row r="28" spans="1:9">
      <c r="B28" s="118"/>
      <c r="C28" s="632">
        <f>C27+D27</f>
        <v>51550</v>
      </c>
      <c r="D28" s="633"/>
      <c r="F28" s="37" t="s">
        <v>1276</v>
      </c>
      <c r="H28" s="62"/>
    </row>
    <row r="30" spans="1:9">
      <c r="A30" s="628" t="s">
        <v>348</v>
      </c>
      <c r="B30" s="629"/>
      <c r="C30" s="630">
        <f>C6</f>
        <v>22155</v>
      </c>
      <c r="D30" s="631"/>
      <c r="E30" s="37"/>
    </row>
    <row r="31" spans="1:9">
      <c r="A31" s="628" t="s">
        <v>262</v>
      </c>
      <c r="B31" s="629"/>
      <c r="C31" s="634">
        <v>21000</v>
      </c>
      <c r="D31" s="635"/>
      <c r="E31" s="37" t="s">
        <v>201</v>
      </c>
      <c r="G31" s="216"/>
    </row>
    <row r="32" spans="1:9">
      <c r="A32" s="628" t="s">
        <v>355</v>
      </c>
      <c r="B32" s="629"/>
      <c r="C32" s="630">
        <v>3500</v>
      </c>
      <c r="D32" s="631"/>
      <c r="E32" s="37"/>
      <c r="G32" s="216"/>
    </row>
    <row r="33" spans="1:8">
      <c r="A33" s="628" t="s">
        <v>7</v>
      </c>
      <c r="B33" s="629"/>
      <c r="C33" s="630">
        <f>C28-C30-C31-C32</f>
        <v>4895</v>
      </c>
      <c r="D33" s="631"/>
      <c r="E33" s="37"/>
      <c r="G33" s="216"/>
    </row>
    <row r="34" spans="1:8">
      <c r="D34" s="62"/>
      <c r="G34" s="216"/>
      <c r="H34" s="62"/>
    </row>
    <row r="35" spans="1:8">
      <c r="G35" s="216"/>
    </row>
    <row r="36" spans="1:8">
      <c r="D36" s="62"/>
      <c r="G36" s="216"/>
    </row>
    <row r="37" spans="1:8">
      <c r="A37" s="37"/>
      <c r="B37" s="264"/>
    </row>
    <row r="38" spans="1:8">
      <c r="A38" s="37"/>
    </row>
  </sheetData>
  <mergeCells count="9">
    <mergeCell ref="A33:B33"/>
    <mergeCell ref="C33:D33"/>
    <mergeCell ref="C28:D28"/>
    <mergeCell ref="A30:B30"/>
    <mergeCell ref="C30:D30"/>
    <mergeCell ref="A31:B31"/>
    <mergeCell ref="C31:D31"/>
    <mergeCell ref="A32:B32"/>
    <mergeCell ref="C32:D32"/>
  </mergeCell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5"/>
  <sheetViews>
    <sheetView topLeftCell="A28" workbookViewId="0">
      <selection activeCell="J49" sqref="J49"/>
    </sheetView>
  </sheetViews>
  <sheetFormatPr baseColWidth="10" defaultRowHeight="15"/>
  <cols>
    <col min="1" max="1" width="3" style="264" bestFit="1" customWidth="1"/>
    <col min="2" max="2" width="35.28515625" bestFit="1" customWidth="1"/>
    <col min="3" max="4" width="11.5703125" bestFit="1" customWidth="1"/>
    <col min="7" max="7" width="2" style="516" bestFit="1" customWidth="1"/>
    <col min="8" max="8" width="3" bestFit="1" customWidth="1"/>
    <col min="9" max="9" width="7.28515625" bestFit="1" customWidth="1"/>
  </cols>
  <sheetData>
    <row r="1" spans="1:9">
      <c r="A1" s="511">
        <v>1</v>
      </c>
      <c r="B1" s="511" t="s">
        <v>1391</v>
      </c>
      <c r="C1" s="512">
        <v>250</v>
      </c>
      <c r="D1" s="512"/>
      <c r="E1" s="511" t="s">
        <v>1115</v>
      </c>
      <c r="F1" s="511" t="s">
        <v>1179</v>
      </c>
    </row>
    <row r="2" spans="1:9">
      <c r="A2" s="511">
        <v>2</v>
      </c>
      <c r="B2" s="511" t="s">
        <v>1178</v>
      </c>
      <c r="C2" s="512">
        <v>437.5</v>
      </c>
      <c r="D2" s="512">
        <v>0</v>
      </c>
      <c r="E2" s="511" t="s">
        <v>1022</v>
      </c>
      <c r="F2" s="511" t="s">
        <v>1179</v>
      </c>
    </row>
    <row r="3" spans="1:9">
      <c r="A3" s="511">
        <v>3</v>
      </c>
      <c r="B3" s="513" t="s">
        <v>1418</v>
      </c>
      <c r="C3" s="514">
        <v>375</v>
      </c>
      <c r="D3" s="514"/>
      <c r="E3" s="513" t="s">
        <v>1417</v>
      </c>
      <c r="F3" s="515" t="s">
        <v>755</v>
      </c>
      <c r="G3" s="516" t="s">
        <v>267</v>
      </c>
    </row>
    <row r="4" spans="1:9">
      <c r="A4" s="511">
        <v>4</v>
      </c>
      <c r="B4" s="511" t="s">
        <v>1377</v>
      </c>
      <c r="C4" s="512">
        <v>575</v>
      </c>
      <c r="D4" s="512">
        <v>0</v>
      </c>
      <c r="E4" s="511" t="s">
        <v>246</v>
      </c>
      <c r="F4" s="515" t="s">
        <v>1179</v>
      </c>
    </row>
    <row r="5" spans="1:9">
      <c r="A5" s="511">
        <v>5</v>
      </c>
      <c r="B5" s="511" t="s">
        <v>21</v>
      </c>
      <c r="C5" s="512">
        <v>375</v>
      </c>
      <c r="D5" s="512">
        <v>400</v>
      </c>
      <c r="E5" s="515" t="s">
        <v>32</v>
      </c>
      <c r="F5" s="515" t="s">
        <v>1179</v>
      </c>
      <c r="G5" s="517" t="s">
        <v>267</v>
      </c>
    </row>
    <row r="6" spans="1:9">
      <c r="A6" s="511">
        <v>6</v>
      </c>
      <c r="B6" s="511" t="s">
        <v>1359</v>
      </c>
      <c r="C6" s="512">
        <v>575</v>
      </c>
      <c r="D6" s="512">
        <v>0</v>
      </c>
      <c r="E6" s="511" t="s">
        <v>1362</v>
      </c>
      <c r="F6" s="515" t="s">
        <v>1179</v>
      </c>
    </row>
    <row r="7" spans="1:9">
      <c r="A7" s="511">
        <v>7</v>
      </c>
      <c r="B7" s="511" t="s">
        <v>1360</v>
      </c>
      <c r="C7" s="512">
        <v>575</v>
      </c>
      <c r="D7" s="512">
        <v>0</v>
      </c>
      <c r="E7" s="511" t="s">
        <v>822</v>
      </c>
      <c r="F7" s="515" t="s">
        <v>755</v>
      </c>
    </row>
    <row r="8" spans="1:9">
      <c r="A8" s="511">
        <v>8</v>
      </c>
      <c r="B8" s="511" t="s">
        <v>1361</v>
      </c>
      <c r="C8" s="512">
        <v>575</v>
      </c>
      <c r="D8" s="512">
        <v>0</v>
      </c>
      <c r="E8" s="515" t="s">
        <v>822</v>
      </c>
      <c r="F8" s="515" t="s">
        <v>755</v>
      </c>
    </row>
    <row r="9" spans="1:9">
      <c r="A9" s="511">
        <v>9</v>
      </c>
      <c r="B9" s="511" t="s">
        <v>1378</v>
      </c>
      <c r="C9" s="512"/>
      <c r="D9" s="512"/>
      <c r="E9" s="515" t="s">
        <v>1364</v>
      </c>
      <c r="F9" s="515" t="s">
        <v>755</v>
      </c>
    </row>
    <row r="10" spans="1:9">
      <c r="A10" s="511">
        <v>10</v>
      </c>
      <c r="B10" s="511" t="s">
        <v>1363</v>
      </c>
      <c r="C10" s="512"/>
      <c r="D10" s="512"/>
      <c r="E10" s="515" t="s">
        <v>1089</v>
      </c>
      <c r="F10" s="511" t="s">
        <v>1179</v>
      </c>
      <c r="H10" s="264"/>
      <c r="I10" s="264"/>
    </row>
    <row r="11" spans="1:9">
      <c r="A11" s="511">
        <v>11</v>
      </c>
      <c r="B11" s="511" t="s">
        <v>1366</v>
      </c>
      <c r="C11" s="512">
        <v>575</v>
      </c>
      <c r="D11" s="512">
        <v>0</v>
      </c>
      <c r="E11" s="515" t="s">
        <v>246</v>
      </c>
      <c r="F11" s="515" t="s">
        <v>1179</v>
      </c>
      <c r="H11" s="264"/>
    </row>
    <row r="12" spans="1:9">
      <c r="A12" s="511">
        <v>12</v>
      </c>
      <c r="B12" s="511" t="s">
        <v>1376</v>
      </c>
      <c r="C12" s="512">
        <f>575/2</f>
        <v>287.5</v>
      </c>
      <c r="D12" s="512">
        <f>575-C12</f>
        <v>287.5</v>
      </c>
      <c r="E12" s="515" t="s">
        <v>1371</v>
      </c>
      <c r="F12" s="515" t="s">
        <v>755</v>
      </c>
      <c r="H12" s="264"/>
    </row>
    <row r="13" spans="1:9">
      <c r="A13" s="511">
        <v>13</v>
      </c>
      <c r="B13" s="511" t="s">
        <v>1372</v>
      </c>
      <c r="C13" s="512">
        <f>575/2</f>
        <v>287.5</v>
      </c>
      <c r="D13" s="512">
        <f>575-C13</f>
        <v>287.5</v>
      </c>
      <c r="E13" s="515" t="s">
        <v>822</v>
      </c>
      <c r="F13" s="515" t="s">
        <v>755</v>
      </c>
      <c r="H13" s="264"/>
    </row>
    <row r="14" spans="1:9">
      <c r="A14" s="511">
        <v>14</v>
      </c>
      <c r="B14" s="511" t="s">
        <v>1426</v>
      </c>
      <c r="C14" s="512">
        <f>850/3</f>
        <v>283.33333333333331</v>
      </c>
      <c r="D14" s="512">
        <f>575-C14</f>
        <v>291.66666666666669</v>
      </c>
      <c r="E14" s="515" t="s">
        <v>1373</v>
      </c>
      <c r="F14" s="515" t="s">
        <v>755</v>
      </c>
      <c r="H14" s="264"/>
    </row>
    <row r="15" spans="1:9">
      <c r="A15" s="511">
        <v>15</v>
      </c>
      <c r="B15" s="511" t="s">
        <v>1374</v>
      </c>
      <c r="C15" s="512">
        <f>850/3</f>
        <v>283.33333333333331</v>
      </c>
      <c r="D15" s="512">
        <f>575-C15</f>
        <v>291.66666666666669</v>
      </c>
      <c r="E15" s="515" t="s">
        <v>1369</v>
      </c>
      <c r="F15" s="515" t="s">
        <v>755</v>
      </c>
      <c r="H15" s="264"/>
    </row>
    <row r="16" spans="1:9">
      <c r="A16" s="511">
        <v>16</v>
      </c>
      <c r="B16" s="511" t="s">
        <v>1375</v>
      </c>
      <c r="C16" s="512">
        <f>(850/3)+275</f>
        <v>558.33333333333326</v>
      </c>
      <c r="D16" s="512">
        <f>575-C16</f>
        <v>16.666666666666742</v>
      </c>
      <c r="E16" s="515" t="s">
        <v>1369</v>
      </c>
      <c r="F16" s="515" t="s">
        <v>755</v>
      </c>
      <c r="H16" s="264"/>
    </row>
    <row r="17" spans="1:11">
      <c r="A17" s="511">
        <v>17</v>
      </c>
      <c r="B17" s="511" t="s">
        <v>206</v>
      </c>
      <c r="C17" s="512">
        <v>500</v>
      </c>
      <c r="D17" s="512">
        <f>(137.5+500)-C17</f>
        <v>137.5</v>
      </c>
      <c r="E17" s="515" t="s">
        <v>451</v>
      </c>
      <c r="F17" s="515" t="s">
        <v>755</v>
      </c>
      <c r="G17" s="517" t="s">
        <v>267</v>
      </c>
      <c r="H17" s="264"/>
    </row>
    <row r="18" spans="1:11">
      <c r="A18" s="511">
        <v>18</v>
      </c>
      <c r="B18" s="511" t="s">
        <v>1416</v>
      </c>
      <c r="C18" s="512">
        <v>375</v>
      </c>
      <c r="D18" s="512"/>
      <c r="E18" s="511" t="s">
        <v>1383</v>
      </c>
      <c r="F18" s="511" t="s">
        <v>755</v>
      </c>
      <c r="G18" s="516" t="s">
        <v>267</v>
      </c>
      <c r="H18" s="264"/>
    </row>
    <row r="19" spans="1:11" s="264" customFormat="1">
      <c r="A19" s="511">
        <v>19</v>
      </c>
      <c r="B19" s="511" t="s">
        <v>1385</v>
      </c>
      <c r="C19" s="512">
        <v>500</v>
      </c>
      <c r="D19" s="512"/>
      <c r="E19" s="511" t="s">
        <v>1384</v>
      </c>
      <c r="F19" s="515" t="s">
        <v>1179</v>
      </c>
      <c r="G19" s="516" t="s">
        <v>267</v>
      </c>
    </row>
    <row r="20" spans="1:11">
      <c r="A20" s="511">
        <v>20</v>
      </c>
      <c r="B20" s="511" t="s">
        <v>1386</v>
      </c>
      <c r="C20" s="512">
        <v>0</v>
      </c>
      <c r="D20" s="512">
        <v>0</v>
      </c>
      <c r="E20" s="511" t="s">
        <v>1369</v>
      </c>
      <c r="F20" s="515" t="s">
        <v>755</v>
      </c>
      <c r="H20" s="264"/>
    </row>
    <row r="21" spans="1:11">
      <c r="A21" s="511">
        <v>21</v>
      </c>
      <c r="B21" s="511" t="s">
        <v>1431</v>
      </c>
      <c r="C21" s="512">
        <v>0</v>
      </c>
      <c r="D21" s="512">
        <v>0</v>
      </c>
      <c r="E21" s="511" t="s">
        <v>211</v>
      </c>
      <c r="F21" s="515" t="s">
        <v>755</v>
      </c>
      <c r="H21" s="264"/>
    </row>
    <row r="22" spans="1:11">
      <c r="A22" s="511">
        <v>22</v>
      </c>
      <c r="B22" s="511" t="s">
        <v>1388</v>
      </c>
      <c r="C22" s="512">
        <v>300</v>
      </c>
      <c r="D22" s="512">
        <v>275</v>
      </c>
      <c r="E22" s="511" t="s">
        <v>1387</v>
      </c>
      <c r="F22" s="515" t="s">
        <v>755</v>
      </c>
      <c r="H22" s="264"/>
    </row>
    <row r="23" spans="1:11">
      <c r="A23" s="511">
        <v>23</v>
      </c>
      <c r="B23" s="511" t="s">
        <v>1389</v>
      </c>
      <c r="C23" s="512">
        <v>300</v>
      </c>
      <c r="D23" s="512">
        <v>275</v>
      </c>
      <c r="E23" s="511" t="s">
        <v>1369</v>
      </c>
      <c r="F23" s="515" t="s">
        <v>755</v>
      </c>
      <c r="H23" s="264"/>
    </row>
    <row r="24" spans="1:11">
      <c r="A24" s="511">
        <v>24</v>
      </c>
      <c r="B24" s="511" t="s">
        <v>1390</v>
      </c>
      <c r="C24" s="512">
        <v>300</v>
      </c>
      <c r="D24" s="512">
        <v>275</v>
      </c>
      <c r="E24" s="511" t="s">
        <v>1369</v>
      </c>
      <c r="F24" s="515" t="s">
        <v>755</v>
      </c>
      <c r="H24" s="264"/>
    </row>
    <row r="25" spans="1:11">
      <c r="A25" s="511">
        <v>25</v>
      </c>
      <c r="B25" s="511" t="s">
        <v>1392</v>
      </c>
      <c r="C25" s="512">
        <v>0</v>
      </c>
      <c r="D25" s="512">
        <v>575</v>
      </c>
      <c r="E25" s="511" t="s">
        <v>1394</v>
      </c>
      <c r="F25" s="515" t="s">
        <v>755</v>
      </c>
      <c r="H25" s="264"/>
    </row>
    <row r="26" spans="1:11">
      <c r="A26" s="511">
        <v>26</v>
      </c>
      <c r="B26" s="511" t="s">
        <v>1393</v>
      </c>
      <c r="C26" s="512">
        <v>0</v>
      </c>
      <c r="D26" s="512">
        <v>575</v>
      </c>
      <c r="E26" s="511" t="s">
        <v>1369</v>
      </c>
      <c r="F26" s="515" t="s">
        <v>755</v>
      </c>
      <c r="H26" s="264"/>
    </row>
    <row r="27" spans="1:11">
      <c r="A27" s="511">
        <v>27</v>
      </c>
      <c r="B27" s="511" t="s">
        <v>1433</v>
      </c>
      <c r="C27" s="512">
        <v>600</v>
      </c>
      <c r="D27" s="512"/>
      <c r="E27" s="511" t="s">
        <v>1398</v>
      </c>
      <c r="F27" s="515" t="s">
        <v>1196</v>
      </c>
      <c r="H27" s="264"/>
    </row>
    <row r="28" spans="1:11">
      <c r="A28" s="511">
        <v>28</v>
      </c>
      <c r="B28" s="511" t="s">
        <v>1432</v>
      </c>
      <c r="C28" s="512">
        <v>0</v>
      </c>
      <c r="D28" s="512">
        <v>712.5</v>
      </c>
      <c r="E28" s="511" t="s">
        <v>1369</v>
      </c>
      <c r="F28" s="515" t="s">
        <v>755</v>
      </c>
    </row>
    <row r="29" spans="1:11">
      <c r="A29" s="511">
        <v>29</v>
      </c>
      <c r="B29" s="511" t="s">
        <v>1400</v>
      </c>
      <c r="C29" s="512">
        <v>275</v>
      </c>
      <c r="D29" s="512">
        <v>300</v>
      </c>
      <c r="E29" s="511" t="s">
        <v>1401</v>
      </c>
      <c r="F29" s="515" t="s">
        <v>755</v>
      </c>
    </row>
    <row r="30" spans="1:11">
      <c r="A30" s="511">
        <v>30</v>
      </c>
      <c r="B30" s="511" t="s">
        <v>1403</v>
      </c>
      <c r="C30" s="512">
        <v>575</v>
      </c>
      <c r="D30" s="512">
        <v>0</v>
      </c>
      <c r="E30" s="511" t="s">
        <v>1402</v>
      </c>
      <c r="F30" s="515" t="s">
        <v>1196</v>
      </c>
    </row>
    <row r="31" spans="1:11">
      <c r="A31" s="511">
        <v>31</v>
      </c>
      <c r="B31" s="511" t="s">
        <v>1404</v>
      </c>
      <c r="C31" s="512">
        <v>0</v>
      </c>
      <c r="D31" s="512">
        <v>575</v>
      </c>
      <c r="E31" s="511" t="s">
        <v>1406</v>
      </c>
      <c r="F31" s="515" t="s">
        <v>755</v>
      </c>
    </row>
    <row r="32" spans="1:11">
      <c r="A32" s="511">
        <v>32</v>
      </c>
      <c r="B32" s="511" t="s">
        <v>1405</v>
      </c>
      <c r="C32" s="512">
        <v>0</v>
      </c>
      <c r="D32" s="512">
        <v>575</v>
      </c>
      <c r="E32" s="511" t="s">
        <v>1369</v>
      </c>
      <c r="F32" s="515" t="s">
        <v>755</v>
      </c>
      <c r="J32">
        <v>2</v>
      </c>
      <c r="K32" s="264" t="s">
        <v>1195</v>
      </c>
    </row>
    <row r="33" spans="1:11">
      <c r="A33" s="511">
        <v>33</v>
      </c>
      <c r="B33" s="511" t="s">
        <v>1407</v>
      </c>
      <c r="C33" s="512">
        <v>275</v>
      </c>
      <c r="D33" s="512">
        <v>500</v>
      </c>
      <c r="E33" s="511" t="s">
        <v>1409</v>
      </c>
      <c r="F33" s="515" t="s">
        <v>755</v>
      </c>
      <c r="G33" s="517" t="s">
        <v>267</v>
      </c>
      <c r="J33">
        <v>35</v>
      </c>
      <c r="K33" s="264" t="s">
        <v>755</v>
      </c>
    </row>
    <row r="34" spans="1:11">
      <c r="A34" s="511">
        <v>34</v>
      </c>
      <c r="B34" s="511" t="s">
        <v>1408</v>
      </c>
      <c r="C34" s="512">
        <v>275</v>
      </c>
      <c r="D34" s="512">
        <v>300</v>
      </c>
      <c r="E34" s="511" t="s">
        <v>1369</v>
      </c>
      <c r="F34" s="515" t="s">
        <v>755</v>
      </c>
      <c r="J34" s="264">
        <v>11</v>
      </c>
      <c r="K34" s="264" t="s">
        <v>1196</v>
      </c>
    </row>
    <row r="35" spans="1:11">
      <c r="A35" s="511">
        <v>35</v>
      </c>
      <c r="B35" s="511" t="s">
        <v>1410</v>
      </c>
      <c r="C35" s="512">
        <v>375</v>
      </c>
      <c r="D35" s="512">
        <v>400</v>
      </c>
      <c r="E35" s="511" t="s">
        <v>1411</v>
      </c>
      <c r="F35" s="515" t="s">
        <v>755</v>
      </c>
      <c r="G35" s="516" t="s">
        <v>267</v>
      </c>
      <c r="J35">
        <f>SUM(J33:J34)</f>
        <v>46</v>
      </c>
    </row>
    <row r="36" spans="1:11">
      <c r="A36" s="511">
        <v>36</v>
      </c>
      <c r="B36" s="511" t="s">
        <v>1413</v>
      </c>
      <c r="C36" s="512">
        <v>750</v>
      </c>
      <c r="D36" s="512">
        <v>0</v>
      </c>
      <c r="E36" s="511" t="s">
        <v>1412</v>
      </c>
      <c r="F36" s="515" t="s">
        <v>755</v>
      </c>
      <c r="G36" s="516" t="s">
        <v>267</v>
      </c>
    </row>
    <row r="37" spans="1:11">
      <c r="A37" s="511">
        <v>37</v>
      </c>
      <c r="B37" s="511" t="s">
        <v>1414</v>
      </c>
      <c r="C37" s="512">
        <v>250</v>
      </c>
      <c r="D37" s="512">
        <f>575-C37</f>
        <v>325</v>
      </c>
      <c r="E37" s="511" t="s">
        <v>1369</v>
      </c>
      <c r="F37" s="515" t="s">
        <v>755</v>
      </c>
    </row>
    <row r="38" spans="1:11">
      <c r="A38" s="511">
        <v>38</v>
      </c>
      <c r="B38" s="511" t="s">
        <v>1415</v>
      </c>
      <c r="C38" s="512">
        <v>0</v>
      </c>
      <c r="D38" s="512">
        <v>575</v>
      </c>
      <c r="E38" s="511" t="s">
        <v>1369</v>
      </c>
      <c r="F38" s="515" t="s">
        <v>755</v>
      </c>
    </row>
    <row r="39" spans="1:11">
      <c r="A39" s="511">
        <v>39</v>
      </c>
      <c r="B39" s="511" t="s">
        <v>1423</v>
      </c>
      <c r="C39" s="512">
        <v>0</v>
      </c>
      <c r="D39" s="512"/>
      <c r="E39" s="511" t="s">
        <v>1369</v>
      </c>
      <c r="F39" s="515" t="s">
        <v>755</v>
      </c>
    </row>
    <row r="40" spans="1:11">
      <c r="A40" s="511">
        <v>40</v>
      </c>
      <c r="B40" s="511" t="s">
        <v>1419</v>
      </c>
      <c r="C40" s="512">
        <v>0</v>
      </c>
      <c r="D40" s="512">
        <v>575</v>
      </c>
      <c r="E40" s="511" t="s">
        <v>1421</v>
      </c>
      <c r="F40" s="515" t="s">
        <v>1179</v>
      </c>
    </row>
    <row r="41" spans="1:11">
      <c r="A41" s="511">
        <v>41</v>
      </c>
      <c r="B41" s="511" t="s">
        <v>1420</v>
      </c>
      <c r="C41" s="512">
        <v>0</v>
      </c>
      <c r="D41" s="512">
        <v>575</v>
      </c>
      <c r="E41" s="511" t="s">
        <v>1369</v>
      </c>
      <c r="F41" s="515" t="s">
        <v>755</v>
      </c>
    </row>
    <row r="42" spans="1:11">
      <c r="A42" s="511">
        <v>42</v>
      </c>
      <c r="B42" s="511" t="s">
        <v>1422</v>
      </c>
      <c r="C42" s="512">
        <v>0</v>
      </c>
      <c r="D42" s="512"/>
      <c r="E42" s="511" t="s">
        <v>1399</v>
      </c>
      <c r="F42" s="511" t="s">
        <v>1179</v>
      </c>
    </row>
    <row r="43" spans="1:11">
      <c r="A43" s="511">
        <v>44</v>
      </c>
      <c r="B43" s="511" t="s">
        <v>1424</v>
      </c>
      <c r="C43" s="512">
        <v>0</v>
      </c>
      <c r="D43" s="512">
        <v>575</v>
      </c>
      <c r="E43" s="511" t="s">
        <v>1425</v>
      </c>
      <c r="F43" s="515" t="s">
        <v>755</v>
      </c>
    </row>
    <row r="44" spans="1:11">
      <c r="A44" s="511">
        <v>45</v>
      </c>
      <c r="B44" s="511" t="s">
        <v>1427</v>
      </c>
      <c r="C44" s="512">
        <v>275</v>
      </c>
      <c r="D44" s="512">
        <v>300</v>
      </c>
      <c r="E44" s="511" t="s">
        <v>1428</v>
      </c>
      <c r="F44" s="515" t="s">
        <v>755</v>
      </c>
    </row>
    <row r="45" spans="1:11" s="264" customFormat="1">
      <c r="A45" s="511">
        <v>46</v>
      </c>
      <c r="B45" s="511" t="s">
        <v>1430</v>
      </c>
      <c r="C45" s="512">
        <v>575</v>
      </c>
      <c r="D45" s="512">
        <v>0</v>
      </c>
      <c r="E45" s="511" t="s">
        <v>1429</v>
      </c>
      <c r="F45" s="515" t="s">
        <v>755</v>
      </c>
      <c r="G45" s="516"/>
    </row>
    <row r="46" spans="1:11">
      <c r="B46" s="264"/>
      <c r="C46" s="62">
        <f>SUM(C1:C45)</f>
        <v>12512.5</v>
      </c>
      <c r="D46" s="62">
        <f>SUM(D1:D45)</f>
        <v>9975</v>
      </c>
    </row>
    <row r="47" spans="1:11">
      <c r="C47" s="636">
        <f>C46+D46</f>
        <v>22487.5</v>
      </c>
      <c r="D47" s="637"/>
    </row>
    <row r="48" spans="1:11" ht="15.75" thickBot="1"/>
    <row r="49" spans="2:5">
      <c r="B49" s="500" t="s">
        <v>262</v>
      </c>
      <c r="C49" s="501">
        <v>6700</v>
      </c>
      <c r="D49" s="502">
        <v>1</v>
      </c>
      <c r="E49" s="503">
        <f>(D49*C49)</f>
        <v>6700</v>
      </c>
    </row>
    <row r="50" spans="2:5">
      <c r="B50" s="504" t="s">
        <v>311</v>
      </c>
      <c r="C50" s="38">
        <v>500</v>
      </c>
      <c r="D50" s="25">
        <v>1</v>
      </c>
      <c r="E50" s="505">
        <f>C50</f>
        <v>500</v>
      </c>
    </row>
    <row r="51" spans="2:5">
      <c r="B51" s="504" t="s">
        <v>263</v>
      </c>
      <c r="C51" s="38">
        <f>300-(300*10%)</f>
        <v>270</v>
      </c>
      <c r="D51" s="25">
        <v>30</v>
      </c>
      <c r="E51" s="505">
        <f>D51*C51</f>
        <v>8100</v>
      </c>
    </row>
    <row r="52" spans="2:5">
      <c r="B52" s="504" t="s">
        <v>264</v>
      </c>
      <c r="C52" s="38">
        <f>500-(500*10%)</f>
        <v>450</v>
      </c>
      <c r="D52" s="25">
        <v>7</v>
      </c>
      <c r="E52" s="505">
        <f>D52*C52</f>
        <v>3150</v>
      </c>
    </row>
    <row r="53" spans="2:5">
      <c r="B53" s="504" t="s">
        <v>266</v>
      </c>
      <c r="C53" s="25"/>
      <c r="D53" s="25">
        <f>D52+D51</f>
        <v>37</v>
      </c>
      <c r="E53" s="505">
        <f>E52+E51</f>
        <v>11250</v>
      </c>
    </row>
    <row r="54" spans="2:5" ht="15.75" thickBot="1">
      <c r="B54" s="504" t="s">
        <v>265</v>
      </c>
      <c r="C54" s="25"/>
      <c r="D54" s="25"/>
      <c r="E54" s="506">
        <f>E49+E50+E53</f>
        <v>18450</v>
      </c>
    </row>
    <row r="55" spans="2:5" ht="15.75" thickBot="1">
      <c r="B55" s="507" t="s">
        <v>7</v>
      </c>
      <c r="C55" s="508"/>
      <c r="D55" s="509"/>
      <c r="E55" s="510">
        <f>C47-E54</f>
        <v>4037.5</v>
      </c>
    </row>
  </sheetData>
  <mergeCells count="1">
    <mergeCell ref="C47:D47"/>
  </mergeCells>
  <pageMargins left="0.39370078740157483" right="0.39370078740157483" top="0.39370078740157483" bottom="0.39370078740157483" header="0.31496062992125984" footer="0.31496062992125984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5"/>
  <sheetViews>
    <sheetView topLeftCell="B1" workbookViewId="0">
      <selection activeCell="C22" sqref="C22"/>
    </sheetView>
  </sheetViews>
  <sheetFormatPr baseColWidth="10" defaultColWidth="22.42578125" defaultRowHeight="15"/>
  <cols>
    <col min="1" max="1" width="3" style="244" bestFit="1" customWidth="1"/>
    <col min="2" max="2" width="27.85546875" style="244" bestFit="1" customWidth="1"/>
    <col min="3" max="6" width="22.42578125" style="244"/>
    <col min="7" max="7" width="4.7109375" style="244" customWidth="1"/>
    <col min="8" max="8" width="3" style="244" bestFit="1" customWidth="1"/>
    <col min="9" max="16384" width="22.42578125" style="244"/>
  </cols>
  <sheetData>
    <row r="1" spans="1:13">
      <c r="A1" s="256"/>
      <c r="B1" s="493" t="s">
        <v>353</v>
      </c>
      <c r="C1" s="493" t="s">
        <v>665</v>
      </c>
      <c r="D1" s="493" t="s">
        <v>666</v>
      </c>
      <c r="E1" s="493" t="s">
        <v>441</v>
      </c>
      <c r="F1" s="493" t="s">
        <v>668</v>
      </c>
      <c r="H1" s="256"/>
      <c r="I1" s="257" t="s">
        <v>353</v>
      </c>
      <c r="J1" s="257" t="s">
        <v>665</v>
      </c>
      <c r="K1" s="257" t="s">
        <v>666</v>
      </c>
      <c r="L1" s="257" t="s">
        <v>441</v>
      </c>
      <c r="M1" s="257" t="s">
        <v>668</v>
      </c>
    </row>
    <row r="2" spans="1:13">
      <c r="A2" s="255">
        <v>1</v>
      </c>
      <c r="B2" s="495" t="s">
        <v>1029</v>
      </c>
      <c r="C2" s="496">
        <v>1570</v>
      </c>
      <c r="D2" s="496">
        <v>0</v>
      </c>
      <c r="E2" s="497" t="s">
        <v>1210</v>
      </c>
      <c r="F2" s="497" t="s">
        <v>1220</v>
      </c>
      <c r="H2" s="255">
        <v>1</v>
      </c>
      <c r="I2" s="379"/>
      <c r="J2" s="379"/>
      <c r="K2" s="380">
        <v>1000</v>
      </c>
      <c r="L2" s="314"/>
      <c r="M2" s="314"/>
    </row>
    <row r="3" spans="1:13">
      <c r="A3" s="255">
        <v>2</v>
      </c>
      <c r="B3" s="489" t="s">
        <v>1379</v>
      </c>
      <c r="C3" s="491">
        <v>500</v>
      </c>
      <c r="D3" s="491"/>
      <c r="E3" s="489" t="s">
        <v>409</v>
      </c>
      <c r="F3" s="489" t="s">
        <v>1282</v>
      </c>
      <c r="H3" s="255">
        <v>2</v>
      </c>
      <c r="I3" s="379"/>
      <c r="J3" s="315"/>
      <c r="K3" s="380">
        <v>1000</v>
      </c>
      <c r="L3" s="314"/>
      <c r="M3" s="314"/>
    </row>
    <row r="4" spans="1:13">
      <c r="A4" s="255">
        <v>3</v>
      </c>
      <c r="B4" s="494" t="s">
        <v>834</v>
      </c>
      <c r="C4" s="491">
        <v>1400</v>
      </c>
      <c r="D4" s="491">
        <v>0</v>
      </c>
      <c r="E4" s="489" t="s">
        <v>238</v>
      </c>
      <c r="F4" s="489" t="s">
        <v>711</v>
      </c>
      <c r="H4" s="255">
        <v>3</v>
      </c>
      <c r="I4" s="348"/>
      <c r="J4" s="379"/>
      <c r="K4" s="380">
        <v>1000</v>
      </c>
      <c r="L4" s="348"/>
      <c r="M4" s="314"/>
    </row>
    <row r="5" spans="1:13">
      <c r="A5" s="255">
        <v>4</v>
      </c>
      <c r="B5" s="494" t="s">
        <v>835</v>
      </c>
      <c r="C5" s="491">
        <v>1400</v>
      </c>
      <c r="D5" s="491">
        <v>0</v>
      </c>
      <c r="E5" s="489" t="s">
        <v>211</v>
      </c>
      <c r="F5" s="489" t="s">
        <v>889</v>
      </c>
      <c r="H5" s="255">
        <v>4</v>
      </c>
      <c r="I5" s="348"/>
      <c r="J5" s="315"/>
      <c r="K5" s="380">
        <v>1000</v>
      </c>
      <c r="L5" s="348"/>
      <c r="M5" s="314"/>
    </row>
    <row r="6" spans="1:13">
      <c r="A6" s="255">
        <v>5</v>
      </c>
      <c r="B6" s="489" t="s">
        <v>1200</v>
      </c>
      <c r="C6" s="491">
        <f>600+590</f>
        <v>1190</v>
      </c>
      <c r="D6" s="491">
        <v>0</v>
      </c>
      <c r="E6" s="489" t="s">
        <v>1201</v>
      </c>
      <c r="F6" s="489" t="s">
        <v>1202</v>
      </c>
      <c r="H6" s="255">
        <v>5</v>
      </c>
      <c r="I6" s="348"/>
      <c r="J6" s="315"/>
      <c r="K6" s="380">
        <v>1000</v>
      </c>
      <c r="L6" s="314"/>
      <c r="M6" s="314"/>
    </row>
    <row r="7" spans="1:13">
      <c r="A7" s="255">
        <v>6</v>
      </c>
      <c r="B7" s="495" t="s">
        <v>1218</v>
      </c>
      <c r="C7" s="496">
        <v>550</v>
      </c>
      <c r="D7" s="496">
        <f>1190-C7</f>
        <v>640</v>
      </c>
      <c r="E7" s="497" t="s">
        <v>1219</v>
      </c>
      <c r="F7" s="497" t="s">
        <v>711</v>
      </c>
      <c r="H7" s="255">
        <v>6</v>
      </c>
      <c r="I7" s="348"/>
      <c r="J7" s="315"/>
      <c r="K7" s="380">
        <v>1000</v>
      </c>
      <c r="L7" s="314"/>
      <c r="M7" s="314"/>
    </row>
    <row r="8" spans="1:13">
      <c r="A8" s="255">
        <v>7</v>
      </c>
      <c r="B8" s="495" t="s">
        <v>1283</v>
      </c>
      <c r="C8" s="496">
        <v>500</v>
      </c>
      <c r="D8" s="496">
        <f>1400-C8</f>
        <v>900</v>
      </c>
      <c r="E8" s="497" t="s">
        <v>1281</v>
      </c>
      <c r="F8" s="497" t="s">
        <v>711</v>
      </c>
      <c r="H8" s="255">
        <v>7</v>
      </c>
      <c r="I8" s="348"/>
      <c r="J8" s="315"/>
      <c r="K8" s="380">
        <v>1000</v>
      </c>
      <c r="L8" s="314"/>
      <c r="M8" s="314"/>
    </row>
    <row r="9" spans="1:13">
      <c r="A9" s="255">
        <v>8</v>
      </c>
      <c r="B9" s="497" t="s">
        <v>1294</v>
      </c>
      <c r="C9" s="496">
        <v>500</v>
      </c>
      <c r="D9" s="496">
        <f>1400-C9</f>
        <v>900</v>
      </c>
      <c r="E9" s="497" t="s">
        <v>1293</v>
      </c>
      <c r="F9" s="497" t="s">
        <v>1292</v>
      </c>
      <c r="H9" s="255">
        <v>8</v>
      </c>
      <c r="I9" s="348"/>
      <c r="J9" s="315"/>
      <c r="K9" s="380">
        <v>1000</v>
      </c>
      <c r="L9" s="348"/>
      <c r="M9" s="314"/>
    </row>
    <row r="10" spans="1:13">
      <c r="A10" s="255">
        <v>9</v>
      </c>
      <c r="B10" s="495" t="s">
        <v>1356</v>
      </c>
      <c r="C10" s="496">
        <v>500</v>
      </c>
      <c r="D10" s="496">
        <f>1400-C10</f>
        <v>900</v>
      </c>
      <c r="E10" s="497" t="s">
        <v>1357</v>
      </c>
      <c r="F10" s="497" t="s">
        <v>711</v>
      </c>
      <c r="H10" s="255">
        <v>9</v>
      </c>
      <c r="I10" s="348"/>
      <c r="J10" s="315"/>
      <c r="K10" s="380">
        <v>1000</v>
      </c>
      <c r="L10" s="348"/>
      <c r="M10" s="314"/>
    </row>
    <row r="11" spans="1:13">
      <c r="A11" s="255">
        <v>10</v>
      </c>
      <c r="B11" s="494" t="s">
        <v>1381</v>
      </c>
      <c r="C11" s="491">
        <v>500</v>
      </c>
      <c r="D11" s="491">
        <v>900</v>
      </c>
      <c r="E11" s="489" t="s">
        <v>1380</v>
      </c>
      <c r="F11" s="489" t="s">
        <v>1370</v>
      </c>
      <c r="H11" s="255">
        <v>10</v>
      </c>
      <c r="I11" s="314"/>
      <c r="J11" s="315"/>
      <c r="K11" s="380">
        <v>1000</v>
      </c>
      <c r="L11" s="314"/>
      <c r="M11" s="314"/>
    </row>
    <row r="12" spans="1:13">
      <c r="A12" s="255">
        <v>11</v>
      </c>
      <c r="B12" s="494" t="s">
        <v>0</v>
      </c>
      <c r="C12" s="491">
        <v>1</v>
      </c>
      <c r="D12" s="491">
        <v>1</v>
      </c>
      <c r="E12" s="489" t="s">
        <v>1284</v>
      </c>
      <c r="F12" s="489" t="s">
        <v>1285</v>
      </c>
      <c r="H12" s="255">
        <v>11</v>
      </c>
      <c r="I12" s="314"/>
      <c r="J12" s="315"/>
      <c r="K12" s="380">
        <v>1000</v>
      </c>
      <c r="L12" s="314"/>
      <c r="M12" s="314"/>
    </row>
    <row r="13" spans="1:13">
      <c r="A13" s="255">
        <v>12</v>
      </c>
      <c r="B13" s="494" t="s">
        <v>334</v>
      </c>
      <c r="C13" s="491">
        <v>1</v>
      </c>
      <c r="D13" s="491">
        <v>1</v>
      </c>
      <c r="E13" s="489" t="s">
        <v>1286</v>
      </c>
      <c r="F13" s="489" t="s">
        <v>1285</v>
      </c>
      <c r="H13" s="255">
        <v>12</v>
      </c>
      <c r="I13" s="314"/>
      <c r="J13" s="315"/>
      <c r="K13" s="380">
        <v>1000</v>
      </c>
      <c r="L13" s="314"/>
      <c r="M13" s="314"/>
    </row>
    <row r="14" spans="1:13">
      <c r="A14" s="255">
        <v>13</v>
      </c>
      <c r="B14" s="489">
        <v>4</v>
      </c>
      <c r="C14" s="489"/>
      <c r="D14" s="489"/>
      <c r="E14" s="489"/>
      <c r="F14" s="489"/>
      <c r="H14" s="255">
        <v>13</v>
      </c>
      <c r="I14" s="314"/>
      <c r="J14" s="315"/>
      <c r="K14" s="380">
        <v>1000</v>
      </c>
      <c r="L14" s="314"/>
      <c r="M14" s="314"/>
    </row>
    <row r="15" spans="1:13">
      <c r="A15" s="255">
        <v>14</v>
      </c>
      <c r="B15" s="488">
        <v>3</v>
      </c>
      <c r="C15" s="488"/>
      <c r="D15" s="488"/>
      <c r="E15" s="488"/>
      <c r="F15" s="488"/>
      <c r="H15" s="255">
        <v>14</v>
      </c>
      <c r="I15" s="353"/>
      <c r="J15" s="354"/>
      <c r="K15" s="380">
        <v>1000</v>
      </c>
      <c r="L15" s="353"/>
      <c r="M15" s="353"/>
    </row>
    <row r="16" spans="1:13">
      <c r="A16" s="255">
        <v>15</v>
      </c>
      <c r="B16" s="488">
        <v>2</v>
      </c>
      <c r="C16" s="488"/>
      <c r="D16" s="488"/>
      <c r="E16" s="488"/>
      <c r="F16" s="488"/>
      <c r="H16" s="255">
        <v>15</v>
      </c>
      <c r="I16" s="370"/>
      <c r="J16" s="354"/>
      <c r="K16" s="380">
        <v>1000</v>
      </c>
      <c r="L16" s="353"/>
      <c r="M16" s="353"/>
    </row>
    <row r="17" spans="1:13">
      <c r="A17" s="255">
        <v>16</v>
      </c>
      <c r="B17" s="489">
        <v>1</v>
      </c>
      <c r="C17" s="490"/>
      <c r="D17" s="491"/>
      <c r="E17" s="492"/>
      <c r="F17" s="492"/>
      <c r="H17" s="255">
        <v>16</v>
      </c>
      <c r="I17" s="370"/>
      <c r="J17" s="354"/>
      <c r="K17" s="315">
        <v>0</v>
      </c>
      <c r="L17" s="353"/>
      <c r="M17" s="353"/>
    </row>
    <row r="18" spans="1:13">
      <c r="C18" s="245">
        <f>SUM(C2:C17)</f>
        <v>8612</v>
      </c>
      <c r="D18" s="245">
        <f>SUM(D2:D17)</f>
        <v>4242</v>
      </c>
      <c r="J18" s="245">
        <f>SUM(J2:J17)</f>
        <v>0</v>
      </c>
      <c r="K18" s="245">
        <f>SUM(K2:K17)</f>
        <v>15000</v>
      </c>
    </row>
    <row r="19" spans="1:13">
      <c r="C19" s="638">
        <f>SUM(C18:D18)</f>
        <v>12854</v>
      </c>
      <c r="D19" s="638"/>
      <c r="J19" s="638">
        <f>SUM(J18:K18)</f>
        <v>15000</v>
      </c>
      <c r="K19" s="638"/>
    </row>
    <row r="22" spans="1:13">
      <c r="B22" s="244" t="s">
        <v>1156</v>
      </c>
      <c r="C22" s="244">
        <v>7500</v>
      </c>
      <c r="D22" s="244">
        <v>1</v>
      </c>
      <c r="E22" s="245">
        <f>D22*C22</f>
        <v>7500</v>
      </c>
      <c r="I22" s="244" t="s">
        <v>1156</v>
      </c>
      <c r="J22" s="244">
        <v>7500</v>
      </c>
      <c r="K22" s="244">
        <v>1</v>
      </c>
      <c r="L22" s="245">
        <f>K22*J22</f>
        <v>7500</v>
      </c>
      <c r="M22" s="252">
        <f>L22/15</f>
        <v>500</v>
      </c>
    </row>
    <row r="23" spans="1:13">
      <c r="B23" s="244" t="s">
        <v>1157</v>
      </c>
      <c r="C23" s="244">
        <f>140*2</f>
        <v>280</v>
      </c>
      <c r="D23" s="244">
        <v>11</v>
      </c>
      <c r="E23" s="245">
        <f>D23*C23</f>
        <v>3080</v>
      </c>
      <c r="I23" s="244" t="s">
        <v>1157</v>
      </c>
      <c r="J23" s="244">
        <f>140*2</f>
        <v>280</v>
      </c>
      <c r="K23" s="244">
        <v>16</v>
      </c>
      <c r="L23" s="245">
        <f>K23*J23</f>
        <v>4480</v>
      </c>
    </row>
    <row r="24" spans="1:13">
      <c r="B24" s="244" t="s">
        <v>1158</v>
      </c>
      <c r="C24" s="244">
        <v>950</v>
      </c>
      <c r="D24" s="244">
        <v>4</v>
      </c>
      <c r="E24" s="245">
        <f>D24*C24</f>
        <v>3800</v>
      </c>
      <c r="F24" s="252">
        <f>E24+E23</f>
        <v>6880</v>
      </c>
      <c r="I24" s="244" t="s">
        <v>1159</v>
      </c>
      <c r="J24" s="244">
        <v>0</v>
      </c>
      <c r="K24" s="244">
        <v>0</v>
      </c>
      <c r="L24" s="245">
        <f>K24*J24</f>
        <v>0</v>
      </c>
    </row>
    <row r="25" spans="1:13">
      <c r="E25" s="245">
        <f>SUM(E22:E24)</f>
        <v>14380</v>
      </c>
      <c r="F25" s="252">
        <f>F24-D18</f>
        <v>2638</v>
      </c>
      <c r="L25" s="245">
        <f>SUM(L22:L24)</f>
        <v>11980</v>
      </c>
    </row>
    <row r="26" spans="1:13">
      <c r="B26" s="439" t="s">
        <v>1365</v>
      </c>
    </row>
    <row r="27" spans="1:13">
      <c r="D27" s="244" t="s">
        <v>272</v>
      </c>
      <c r="E27" s="252">
        <f>C19-E25</f>
        <v>-1526</v>
      </c>
      <c r="K27" s="244" t="s">
        <v>272</v>
      </c>
      <c r="L27" s="252">
        <f>J19-L25</f>
        <v>3020</v>
      </c>
    </row>
    <row r="29" spans="1:13">
      <c r="D29" s="244" t="s">
        <v>1203</v>
      </c>
    </row>
    <row r="30" spans="1:13">
      <c r="D30" s="244" t="s">
        <v>1204</v>
      </c>
    </row>
    <row r="33" spans="9:10">
      <c r="I33" s="244">
        <v>3400</v>
      </c>
      <c r="J33" s="244">
        <v>6900</v>
      </c>
    </row>
    <row r="34" spans="9:10">
      <c r="I34" s="244">
        <v>1725</v>
      </c>
    </row>
    <row r="35" spans="9:10">
      <c r="I35" s="244">
        <v>1200</v>
      </c>
    </row>
  </sheetData>
  <mergeCells count="2">
    <mergeCell ref="C19:D19"/>
    <mergeCell ref="J19:K19"/>
  </mergeCells>
  <pageMargins left="0.70866141732283472" right="0.70866141732283472" top="0.74803149606299213" bottom="0.74803149606299213" header="0.31496062992125984" footer="0.31496062992125984"/>
  <pageSetup orientation="landscape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6"/>
  <sheetViews>
    <sheetView topLeftCell="A4" workbookViewId="0">
      <selection activeCell="C31" sqref="C31:D31"/>
    </sheetView>
  </sheetViews>
  <sheetFormatPr baseColWidth="10" defaultRowHeight="15"/>
  <cols>
    <col min="1" max="1" width="14.140625" style="264" bestFit="1" customWidth="1"/>
    <col min="2" max="2" width="28.7109375" style="264" bestFit="1" customWidth="1"/>
    <col min="3" max="4" width="11.5703125" style="264" bestFit="1" customWidth="1"/>
    <col min="5" max="5" width="17.42578125" style="264" bestFit="1" customWidth="1"/>
    <col min="6" max="6" width="17.42578125" style="37" customWidth="1"/>
    <col min="7" max="7" width="14.140625" style="101" customWidth="1"/>
    <col min="8" max="8" width="11.5703125" style="264" bestFit="1" customWidth="1"/>
    <col min="9" max="16384" width="11.42578125" style="264"/>
  </cols>
  <sheetData>
    <row r="1" spans="1:9">
      <c r="A1" s="122" t="s">
        <v>358</v>
      </c>
      <c r="B1" s="123" t="s">
        <v>357</v>
      </c>
      <c r="C1" s="123" t="s">
        <v>8</v>
      </c>
      <c r="D1" s="125" t="s">
        <v>350</v>
      </c>
      <c r="E1" s="218"/>
      <c r="F1" s="218"/>
      <c r="G1" s="218"/>
    </row>
    <row r="2" spans="1:9">
      <c r="A2" s="223">
        <v>1</v>
      </c>
      <c r="B2" s="111" t="s">
        <v>344</v>
      </c>
      <c r="C2" s="112"/>
      <c r="D2" s="425">
        <f>C2/4</f>
        <v>0</v>
      </c>
      <c r="E2" s="102"/>
      <c r="F2" s="216"/>
      <c r="G2" s="216"/>
      <c r="H2" s="62"/>
    </row>
    <row r="3" spans="1:9">
      <c r="A3" s="224">
        <v>1</v>
      </c>
      <c r="B3" s="115" t="s">
        <v>344</v>
      </c>
      <c r="C3" s="116"/>
      <c r="D3" s="426">
        <f>C3/4</f>
        <v>0</v>
      </c>
      <c r="E3" s="102"/>
      <c r="F3" s="216"/>
      <c r="G3" s="216"/>
      <c r="H3" s="37"/>
    </row>
    <row r="4" spans="1:9">
      <c r="A4" s="201">
        <v>1</v>
      </c>
      <c r="B4" s="81" t="s">
        <v>344</v>
      </c>
      <c r="C4" s="82"/>
      <c r="D4" s="427">
        <f>C4/4</f>
        <v>0</v>
      </c>
      <c r="E4" s="102"/>
      <c r="F4" s="216"/>
      <c r="G4" s="216"/>
      <c r="H4" s="37"/>
    </row>
    <row r="5" spans="1:9">
      <c r="A5" s="225">
        <v>1</v>
      </c>
      <c r="B5" s="206" t="s">
        <v>344</v>
      </c>
      <c r="C5" s="208"/>
      <c r="D5" s="428">
        <f>C5/2</f>
        <v>0</v>
      </c>
      <c r="E5" s="102"/>
      <c r="F5" s="216"/>
      <c r="G5" s="216"/>
    </row>
    <row r="6" spans="1:9" ht="15.75" thickBot="1">
      <c r="A6" s="226">
        <v>4</v>
      </c>
      <c r="B6" s="227" t="s">
        <v>571</v>
      </c>
      <c r="C6" s="228">
        <v>20510</v>
      </c>
      <c r="D6" s="429" t="s">
        <v>572</v>
      </c>
      <c r="E6" s="218"/>
      <c r="F6" s="218"/>
      <c r="G6" s="102"/>
    </row>
    <row r="7" spans="1:9" ht="15.75" customHeight="1" thickBot="1">
      <c r="A7" s="101"/>
      <c r="B7" s="101"/>
      <c r="C7" s="102"/>
      <c r="D7" s="101"/>
      <c r="E7" s="78"/>
      <c r="F7" s="147"/>
      <c r="G7" s="217"/>
    </row>
    <row r="8" spans="1:9">
      <c r="A8" s="122" t="s">
        <v>354</v>
      </c>
      <c r="B8" s="123" t="s">
        <v>353</v>
      </c>
      <c r="C8" s="123" t="s">
        <v>328</v>
      </c>
      <c r="D8" s="123" t="s">
        <v>341</v>
      </c>
      <c r="E8" s="229" t="s">
        <v>441</v>
      </c>
      <c r="F8" s="230" t="s">
        <v>442</v>
      </c>
      <c r="G8" s="219"/>
      <c r="H8" s="192"/>
    </row>
    <row r="9" spans="1:9">
      <c r="A9" s="389" t="s">
        <v>1221</v>
      </c>
      <c r="B9" s="97" t="s">
        <v>0</v>
      </c>
      <c r="C9" s="98">
        <v>0</v>
      </c>
      <c r="D9" s="98">
        <v>0</v>
      </c>
      <c r="E9" s="390"/>
      <c r="F9" s="98">
        <v>0</v>
      </c>
      <c r="G9" s="216"/>
    </row>
    <row r="10" spans="1:9">
      <c r="A10" s="391"/>
      <c r="B10" s="97" t="s">
        <v>1256</v>
      </c>
      <c r="C10" s="98"/>
      <c r="D10" s="98">
        <v>3200</v>
      </c>
      <c r="E10" s="390" t="s">
        <v>1257</v>
      </c>
      <c r="F10" s="98">
        <v>0</v>
      </c>
      <c r="G10" s="216"/>
    </row>
    <row r="11" spans="1:9">
      <c r="A11" s="389"/>
      <c r="B11" s="97">
        <v>2</v>
      </c>
      <c r="C11" s="98"/>
      <c r="D11" s="98">
        <v>3200</v>
      </c>
      <c r="E11" s="390"/>
      <c r="F11" s="98"/>
      <c r="G11" s="216"/>
    </row>
    <row r="12" spans="1:9">
      <c r="A12" s="389"/>
      <c r="B12" s="389">
        <v>2</v>
      </c>
      <c r="C12" s="389"/>
      <c r="D12" s="389">
        <v>3200</v>
      </c>
      <c r="E12" s="389"/>
      <c r="F12" s="389">
        <v>0</v>
      </c>
      <c r="G12" s="216"/>
    </row>
    <row r="13" spans="1:9">
      <c r="A13" s="401" t="s">
        <v>1221</v>
      </c>
      <c r="B13" s="402" t="s">
        <v>1048</v>
      </c>
      <c r="C13" s="403">
        <v>5000</v>
      </c>
      <c r="D13" s="403">
        <f>4900-C13</f>
        <v>-100</v>
      </c>
      <c r="E13" s="404" t="s">
        <v>1049</v>
      </c>
      <c r="F13" s="403">
        <v>0</v>
      </c>
      <c r="G13" s="216"/>
    </row>
    <row r="14" spans="1:9">
      <c r="A14" s="401" t="s">
        <v>1221</v>
      </c>
      <c r="B14" s="402" t="s">
        <v>235</v>
      </c>
      <c r="C14" s="403">
        <v>5000</v>
      </c>
      <c r="D14" s="403">
        <f>4900-C14</f>
        <v>-100</v>
      </c>
      <c r="E14" s="404" t="s">
        <v>979</v>
      </c>
      <c r="F14" s="403">
        <v>0</v>
      </c>
      <c r="G14" s="216"/>
    </row>
    <row r="15" spans="1:9">
      <c r="A15" s="401" t="s">
        <v>1221</v>
      </c>
      <c r="B15" s="402" t="s">
        <v>838</v>
      </c>
      <c r="C15" s="403">
        <v>5000</v>
      </c>
      <c r="D15" s="403">
        <f>4900-C15</f>
        <v>-100</v>
      </c>
      <c r="E15" s="404" t="s">
        <v>836</v>
      </c>
      <c r="F15" s="403">
        <v>0</v>
      </c>
      <c r="G15" s="216"/>
    </row>
    <row r="16" spans="1:9">
      <c r="A16" s="401" t="s">
        <v>1221</v>
      </c>
      <c r="B16" s="430" t="s">
        <v>1237</v>
      </c>
      <c r="C16" s="403">
        <v>5000</v>
      </c>
      <c r="D16" s="431"/>
      <c r="E16" s="430" t="s">
        <v>1236</v>
      </c>
      <c r="F16" s="403">
        <v>0</v>
      </c>
      <c r="G16" s="216"/>
      <c r="H16" s="62"/>
      <c r="I16" s="69"/>
    </row>
    <row r="17" spans="1:8">
      <c r="A17" s="387" t="s">
        <v>1221</v>
      </c>
      <c r="B17" s="184" t="s">
        <v>837</v>
      </c>
      <c r="C17" s="403">
        <v>5000</v>
      </c>
      <c r="D17" s="172"/>
      <c r="E17" s="381" t="s">
        <v>742</v>
      </c>
      <c r="F17" s="172"/>
      <c r="G17" s="216"/>
      <c r="H17" s="62"/>
    </row>
    <row r="18" spans="1:8">
      <c r="A18" s="410" t="s">
        <v>1221</v>
      </c>
      <c r="B18" s="381" t="s">
        <v>1193</v>
      </c>
      <c r="C18" s="403">
        <v>5000</v>
      </c>
      <c r="D18" s="172"/>
      <c r="E18" s="381" t="s">
        <v>1194</v>
      </c>
      <c r="F18" s="172" t="s">
        <v>1258</v>
      </c>
      <c r="G18" s="216"/>
    </row>
    <row r="19" spans="1:8">
      <c r="A19" s="386" t="s">
        <v>1221</v>
      </c>
      <c r="B19" s="184" t="s">
        <v>1222</v>
      </c>
      <c r="C19" s="403">
        <v>5000</v>
      </c>
      <c r="D19" s="172"/>
      <c r="E19" s="381" t="s">
        <v>48</v>
      </c>
      <c r="F19" s="172">
        <v>0</v>
      </c>
      <c r="G19" s="216"/>
    </row>
    <row r="20" spans="1:8">
      <c r="A20" s="381"/>
      <c r="B20" s="212" t="s">
        <v>869</v>
      </c>
      <c r="C20" s="403">
        <v>5000</v>
      </c>
      <c r="D20" s="432"/>
      <c r="E20" s="433" t="s">
        <v>870</v>
      </c>
      <c r="F20" s="381"/>
      <c r="G20" s="216"/>
      <c r="H20" s="62"/>
    </row>
    <row r="21" spans="1:8">
      <c r="A21" s="420" t="s">
        <v>1221</v>
      </c>
      <c r="B21" s="88" t="s">
        <v>1224</v>
      </c>
      <c r="C21" s="403">
        <v>5000</v>
      </c>
      <c r="D21" s="89"/>
      <c r="E21" s="87" t="s">
        <v>997</v>
      </c>
      <c r="F21" s="421"/>
      <c r="G21" s="216"/>
    </row>
    <row r="22" spans="1:8">
      <c r="A22" s="420" t="s">
        <v>1221</v>
      </c>
      <c r="B22" s="88" t="s">
        <v>1189</v>
      </c>
      <c r="C22" s="403">
        <v>5000</v>
      </c>
      <c r="D22" s="89"/>
      <c r="E22" s="87" t="s">
        <v>1190</v>
      </c>
      <c r="F22" s="421" t="s">
        <v>1223</v>
      </c>
      <c r="G22" s="216"/>
    </row>
    <row r="23" spans="1:8" ht="15.75" thickBot="1">
      <c r="A23" s="422" t="s">
        <v>1235</v>
      </c>
      <c r="B23" s="423" t="s">
        <v>1234</v>
      </c>
      <c r="C23" s="403">
        <v>5000</v>
      </c>
      <c r="D23" s="424"/>
      <c r="E23" s="423" t="s">
        <v>1233</v>
      </c>
      <c r="F23" s="424">
        <v>0</v>
      </c>
      <c r="G23" s="216"/>
    </row>
    <row r="24" spans="1:8" ht="15.75" thickBot="1">
      <c r="A24" s="422"/>
      <c r="B24" s="88" t="s">
        <v>1255</v>
      </c>
      <c r="C24" s="403">
        <v>0</v>
      </c>
      <c r="D24" s="89"/>
      <c r="E24" s="87" t="s">
        <v>1254</v>
      </c>
      <c r="F24" s="424"/>
      <c r="G24" s="216"/>
    </row>
    <row r="25" spans="1:8">
      <c r="B25" s="118"/>
      <c r="C25" s="77">
        <f>SUM(C9:C24)</f>
        <v>55000</v>
      </c>
      <c r="D25" s="77">
        <f>SUM(D9:D24)</f>
        <v>9300</v>
      </c>
      <c r="G25" s="220"/>
    </row>
    <row r="26" spans="1:8">
      <c r="B26" s="118"/>
      <c r="C26" s="632">
        <f>C25+D25</f>
        <v>64300</v>
      </c>
      <c r="D26" s="633"/>
      <c r="F26" s="37" t="s">
        <v>1276</v>
      </c>
      <c r="H26" s="62"/>
    </row>
    <row r="28" spans="1:8">
      <c r="A28" s="628" t="s">
        <v>348</v>
      </c>
      <c r="B28" s="629"/>
      <c r="C28" s="630">
        <f>C6</f>
        <v>20510</v>
      </c>
      <c r="D28" s="631"/>
      <c r="E28" s="37"/>
    </row>
    <row r="29" spans="1:8">
      <c r="A29" s="628" t="s">
        <v>262</v>
      </c>
      <c r="B29" s="629"/>
      <c r="C29" s="634">
        <v>25000</v>
      </c>
      <c r="D29" s="635"/>
      <c r="E29" s="37" t="s">
        <v>201</v>
      </c>
      <c r="G29" s="216"/>
    </row>
    <row r="30" spans="1:8">
      <c r="A30" s="628" t="s">
        <v>355</v>
      </c>
      <c r="B30" s="629"/>
      <c r="C30" s="630">
        <f>(13*250)+2000</f>
        <v>5250</v>
      </c>
      <c r="D30" s="631"/>
      <c r="E30" s="37"/>
      <c r="G30" s="216"/>
    </row>
    <row r="31" spans="1:8">
      <c r="A31" s="628" t="s">
        <v>7</v>
      </c>
      <c r="B31" s="629"/>
      <c r="C31" s="630">
        <f>C26-C28-C29-C30</f>
        <v>13540</v>
      </c>
      <c r="D31" s="631"/>
      <c r="E31" s="37"/>
      <c r="G31" s="216"/>
    </row>
    <row r="32" spans="1:8">
      <c r="D32" s="62"/>
      <c r="G32" s="216"/>
      <c r="H32" s="62"/>
    </row>
    <row r="33" spans="1:7">
      <c r="G33" s="216"/>
    </row>
    <row r="34" spans="1:7">
      <c r="D34" s="62"/>
      <c r="G34" s="216"/>
    </row>
    <row r="35" spans="1:7">
      <c r="A35" s="37"/>
    </row>
    <row r="36" spans="1:7">
      <c r="A36" s="37"/>
    </row>
  </sheetData>
  <mergeCells count="9">
    <mergeCell ref="A31:B31"/>
    <mergeCell ref="C31:D31"/>
    <mergeCell ref="C26:D26"/>
    <mergeCell ref="A28:B28"/>
    <mergeCell ref="C28:D28"/>
    <mergeCell ref="A29:B29"/>
    <mergeCell ref="C29:D29"/>
    <mergeCell ref="A30:B30"/>
    <mergeCell ref="C30:D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96"/>
  <sheetViews>
    <sheetView topLeftCell="A43" workbookViewId="0">
      <selection activeCell="E50" sqref="E50"/>
    </sheetView>
  </sheetViews>
  <sheetFormatPr baseColWidth="10" defaultRowHeight="15"/>
  <cols>
    <col min="1" max="1" width="14.140625" bestFit="1" customWidth="1"/>
    <col min="2" max="2" width="28.7109375" bestFit="1" customWidth="1"/>
    <col min="3" max="4" width="11.5703125" bestFit="1" customWidth="1"/>
    <col min="5" max="5" width="17.42578125" bestFit="1" customWidth="1"/>
    <col min="6" max="6" width="17.42578125" style="37" customWidth="1"/>
    <col min="7" max="7" width="12.7109375" bestFit="1" customWidth="1"/>
    <col min="8" max="8" width="15.5703125" bestFit="1" customWidth="1"/>
    <col min="9" max="9" width="16.140625" bestFit="1" customWidth="1"/>
    <col min="10" max="10" width="11.5703125" bestFit="1" customWidth="1"/>
  </cols>
  <sheetData>
    <row r="1" spans="1:13">
      <c r="A1" s="122" t="s">
        <v>358</v>
      </c>
      <c r="B1" s="123" t="s">
        <v>357</v>
      </c>
      <c r="C1" s="123" t="s">
        <v>8</v>
      </c>
      <c r="D1" s="124" t="s">
        <v>350</v>
      </c>
      <c r="E1" s="125" t="s">
        <v>356</v>
      </c>
      <c r="F1" s="183" t="s">
        <v>539</v>
      </c>
      <c r="G1" s="183" t="s">
        <v>8</v>
      </c>
    </row>
    <row r="2" spans="1:13">
      <c r="A2" s="211" t="s">
        <v>337</v>
      </c>
      <c r="B2" s="212" t="s">
        <v>349</v>
      </c>
      <c r="C2" s="172">
        <v>7839.72</v>
      </c>
      <c r="D2" s="204">
        <f>C2/8</f>
        <v>979.96500000000003</v>
      </c>
      <c r="E2" s="213">
        <f>D2+A14</f>
        <v>1516.5503658536586</v>
      </c>
      <c r="F2" s="172">
        <f>A15-2500</f>
        <v>250</v>
      </c>
      <c r="G2" s="388">
        <f>F2*8</f>
        <v>2000</v>
      </c>
      <c r="J2" s="62"/>
    </row>
    <row r="3" spans="1:13">
      <c r="A3" s="201" t="s">
        <v>338</v>
      </c>
      <c r="B3" s="81" t="s">
        <v>339</v>
      </c>
      <c r="C3" s="82">
        <v>6778.15</v>
      </c>
      <c r="D3" s="202">
        <f>C3/8</f>
        <v>847.26874999999995</v>
      </c>
      <c r="E3" s="214">
        <f>D3+A14</f>
        <v>1383.8541158536586</v>
      </c>
      <c r="F3" s="82">
        <f>2550-E3</f>
        <v>1166.1458841463414</v>
      </c>
      <c r="G3" s="221">
        <f>F3*8</f>
        <v>9329.1670731707309</v>
      </c>
      <c r="J3" s="37"/>
    </row>
    <row r="4" spans="1:13">
      <c r="A4" s="203" t="s">
        <v>337</v>
      </c>
      <c r="B4" s="184" t="s">
        <v>339</v>
      </c>
      <c r="C4" s="172">
        <v>7839.72</v>
      </c>
      <c r="D4" s="204">
        <f>C4/8</f>
        <v>979.96500000000003</v>
      </c>
      <c r="E4" s="213">
        <f>D4+A14</f>
        <v>1516.5503658536586</v>
      </c>
      <c r="F4" s="172">
        <f>2750-E4</f>
        <v>1233.4496341463414</v>
      </c>
      <c r="G4" s="388">
        <f>F4*8</f>
        <v>9867.5970731707312</v>
      </c>
      <c r="J4" s="37"/>
    </row>
    <row r="5" spans="1:13">
      <c r="A5" s="201" t="s">
        <v>343</v>
      </c>
      <c r="B5" s="81" t="s">
        <v>344</v>
      </c>
      <c r="C5" s="82">
        <f>C4/2</f>
        <v>3919.86</v>
      </c>
      <c r="D5" s="202">
        <f>C5/4</f>
        <v>979.96500000000003</v>
      </c>
      <c r="E5" s="214">
        <f>D5+A14</f>
        <v>1516.5503658536586</v>
      </c>
      <c r="F5" s="82">
        <f>A15-E5</f>
        <v>1233.4496341463414</v>
      </c>
      <c r="G5" s="221">
        <f>F5*4</f>
        <v>4933.7985365853656</v>
      </c>
      <c r="I5" s="62"/>
    </row>
    <row r="6" spans="1:13">
      <c r="A6" s="193" t="s">
        <v>343</v>
      </c>
      <c r="B6" s="194" t="s">
        <v>344</v>
      </c>
      <c r="C6" s="195">
        <v>3919.87</v>
      </c>
      <c r="D6" s="196">
        <f>C6/4</f>
        <v>979.96749999999997</v>
      </c>
      <c r="E6" s="215">
        <f>D6+A14</f>
        <v>1516.5528658536587</v>
      </c>
      <c r="F6" s="172">
        <f>A15-E6</f>
        <v>1233.4471341463413</v>
      </c>
      <c r="G6" s="388">
        <f>F6*4</f>
        <v>4933.7885365853654</v>
      </c>
    </row>
    <row r="7" spans="1:13">
      <c r="A7" s="197" t="s">
        <v>343</v>
      </c>
      <c r="B7" s="198" t="s">
        <v>531</v>
      </c>
      <c r="C7" s="199">
        <v>3919.87</v>
      </c>
      <c r="D7" s="200">
        <f>C7/2</f>
        <v>1959.9349999999999</v>
      </c>
      <c r="E7" s="200">
        <f>D7+A14</f>
        <v>2496.5203658536584</v>
      </c>
      <c r="F7" s="82">
        <f>3350-E7</f>
        <v>853.4796341463416</v>
      </c>
      <c r="G7" s="221">
        <f>F7*2</f>
        <v>1706.9592682926832</v>
      </c>
      <c r="H7" s="178"/>
      <c r="I7" s="178"/>
      <c r="J7" s="178"/>
      <c r="K7" s="178"/>
      <c r="L7" s="178"/>
      <c r="M7" s="178"/>
    </row>
    <row r="8" spans="1:13">
      <c r="A8" s="201" t="s">
        <v>567</v>
      </c>
      <c r="B8" s="81" t="s">
        <v>344</v>
      </c>
      <c r="C8" s="82">
        <f>3294+626</f>
        <v>3920</v>
      </c>
      <c r="D8" s="205">
        <f>C8/2</f>
        <v>1960</v>
      </c>
      <c r="E8" s="205">
        <f>D8+A14</f>
        <v>2496.5853658536585</v>
      </c>
      <c r="F8" s="82">
        <f>2750-E8</f>
        <v>253.41463414634154</v>
      </c>
      <c r="G8" s="221">
        <f>F8*2</f>
        <v>506.82926829268308</v>
      </c>
      <c r="H8" s="178"/>
      <c r="I8" s="178"/>
      <c r="J8" s="178"/>
      <c r="K8" s="178"/>
      <c r="L8" s="178"/>
      <c r="M8" s="178"/>
    </row>
    <row r="9" spans="1:13">
      <c r="A9" s="201" t="s">
        <v>40</v>
      </c>
      <c r="B9" s="81" t="s">
        <v>575</v>
      </c>
      <c r="C9" s="82">
        <v>999</v>
      </c>
      <c r="D9" s="205">
        <f>333</f>
        <v>333</v>
      </c>
      <c r="E9" s="205">
        <f>C9+A14</f>
        <v>1535.5853658536585</v>
      </c>
      <c r="F9" s="82">
        <f>2750-E9</f>
        <v>1214.4146341463415</v>
      </c>
      <c r="G9" s="221">
        <f>F9</f>
        <v>1214.4146341463415</v>
      </c>
      <c r="H9" s="178"/>
      <c r="I9" s="178"/>
      <c r="J9" s="178"/>
      <c r="K9" s="178"/>
      <c r="L9" s="178"/>
      <c r="M9" s="178"/>
    </row>
    <row r="10" spans="1:13">
      <c r="A10" s="201" t="s">
        <v>343</v>
      </c>
      <c r="B10" s="81" t="s">
        <v>344</v>
      </c>
      <c r="C10" s="82">
        <f>3920</f>
        <v>3920</v>
      </c>
      <c r="D10" s="205">
        <f>C10/4</f>
        <v>980</v>
      </c>
      <c r="E10" s="205">
        <f>A14+D10</f>
        <v>1516.5853658536585</v>
      </c>
      <c r="F10" s="82">
        <f>2950-E10</f>
        <v>1433.4146341463415</v>
      </c>
      <c r="G10" s="221">
        <f>F10*4</f>
        <v>5733.6585365853662</v>
      </c>
      <c r="H10" s="178"/>
      <c r="I10" s="178"/>
      <c r="J10" s="178"/>
      <c r="K10" s="178"/>
      <c r="L10" s="178"/>
      <c r="M10" s="178"/>
    </row>
    <row r="11" spans="1:13" ht="15.75" thickBot="1">
      <c r="A11" s="397" t="s">
        <v>568</v>
      </c>
      <c r="B11" s="398" t="s">
        <v>595</v>
      </c>
      <c r="C11" s="399">
        <f>SUM(C2:C10)</f>
        <v>43056.19</v>
      </c>
      <c r="D11" s="398"/>
      <c r="E11" s="398"/>
      <c r="F11" s="398"/>
      <c r="G11" s="400">
        <f>SUM(G2:G10)</f>
        <v>40226.21292682927</v>
      </c>
      <c r="H11" s="178"/>
      <c r="I11" s="178"/>
      <c r="J11" s="178"/>
      <c r="K11" s="178"/>
      <c r="L11" s="178"/>
      <c r="M11" s="178"/>
    </row>
    <row r="12" spans="1:13" ht="15.75" thickBot="1">
      <c r="A12" s="101"/>
      <c r="B12" s="101"/>
      <c r="C12" s="102"/>
      <c r="D12" s="101"/>
      <c r="E12" s="78"/>
      <c r="F12" s="147"/>
      <c r="G12" s="79"/>
      <c r="H12" s="178"/>
      <c r="I12" s="178"/>
      <c r="J12" s="178"/>
      <c r="K12" s="178"/>
      <c r="L12" s="178"/>
      <c r="M12" s="178"/>
    </row>
    <row r="13" spans="1:13" s="78" customFormat="1">
      <c r="A13" s="103">
        <v>22000</v>
      </c>
      <c r="B13" s="104" t="s">
        <v>1</v>
      </c>
      <c r="C13" s="80"/>
      <c r="E13" s="80"/>
      <c r="F13" s="147"/>
      <c r="G13" s="79"/>
      <c r="H13" s="101"/>
      <c r="I13" s="101"/>
      <c r="J13" s="101"/>
      <c r="K13" s="101"/>
      <c r="L13" s="101"/>
      <c r="M13" s="101"/>
    </row>
    <row r="14" spans="1:13">
      <c r="A14" s="126">
        <f>A13/41</f>
        <v>536.58536585365857</v>
      </c>
      <c r="B14" s="127" t="s">
        <v>340</v>
      </c>
      <c r="E14" s="62"/>
      <c r="F14" s="173"/>
      <c r="G14" s="75"/>
      <c r="H14" s="178"/>
      <c r="I14" s="178"/>
      <c r="J14" s="178"/>
      <c r="K14" s="178"/>
      <c r="L14" s="178"/>
      <c r="M14" s="178"/>
    </row>
    <row r="15" spans="1:13">
      <c r="A15" s="179">
        <v>2750</v>
      </c>
      <c r="B15" s="180" t="s">
        <v>351</v>
      </c>
      <c r="C15" s="139"/>
      <c r="D15" s="178"/>
      <c r="H15" s="178"/>
      <c r="I15" s="178"/>
      <c r="J15" s="178"/>
      <c r="K15" s="178"/>
      <c r="L15" s="178"/>
      <c r="M15" s="178"/>
    </row>
    <row r="16" spans="1:13">
      <c r="A16" s="126" t="s">
        <v>537</v>
      </c>
      <c r="B16" s="127" t="s">
        <v>538</v>
      </c>
      <c r="C16" s="139"/>
      <c r="D16" s="178"/>
      <c r="H16" s="178"/>
      <c r="I16" s="178"/>
      <c r="J16" s="178"/>
      <c r="K16" s="178"/>
      <c r="L16" s="178"/>
      <c r="M16" s="178"/>
    </row>
    <row r="17" spans="1:13" ht="15.75" thickBot="1">
      <c r="A17" s="181">
        <v>2600</v>
      </c>
      <c r="B17" s="182" t="s">
        <v>352</v>
      </c>
      <c r="C17" s="139"/>
      <c r="D17" s="178"/>
      <c r="G17" s="62"/>
      <c r="H17" s="178"/>
      <c r="I17" s="178"/>
      <c r="J17" s="178"/>
      <c r="K17" s="178"/>
      <c r="L17" s="178"/>
      <c r="M17" s="178"/>
    </row>
    <row r="18" spans="1:13" ht="18.75">
      <c r="H18" s="395"/>
      <c r="I18" s="396"/>
      <c r="J18" s="178"/>
      <c r="K18" s="178"/>
      <c r="L18" s="178"/>
      <c r="M18" s="178"/>
    </row>
    <row r="19" spans="1:13">
      <c r="A19" s="100" t="s">
        <v>354</v>
      </c>
      <c r="B19" s="100" t="s">
        <v>353</v>
      </c>
      <c r="C19" s="100" t="s">
        <v>328</v>
      </c>
      <c r="D19" s="100" t="s">
        <v>341</v>
      </c>
      <c r="E19" s="162" t="s">
        <v>441</v>
      </c>
      <c r="F19" s="163" t="s">
        <v>442</v>
      </c>
      <c r="G19" s="163" t="s">
        <v>540</v>
      </c>
      <c r="J19" s="192"/>
    </row>
    <row r="20" spans="1:13">
      <c r="A20" s="271"/>
      <c r="B20" s="272" t="s">
        <v>559</v>
      </c>
      <c r="C20" s="273">
        <v>2160</v>
      </c>
      <c r="D20" s="273">
        <v>0</v>
      </c>
      <c r="E20" s="271" t="s">
        <v>409</v>
      </c>
      <c r="F20" s="273">
        <v>0</v>
      </c>
      <c r="G20" s="273">
        <f>2160-E2</f>
        <v>643.4496341463414</v>
      </c>
    </row>
    <row r="21" spans="1:13">
      <c r="A21" s="271"/>
      <c r="B21" s="272" t="s">
        <v>364</v>
      </c>
      <c r="C21" s="273">
        <f>200+200+550+550+550+450</f>
        <v>2500</v>
      </c>
      <c r="D21" s="273">
        <f>2500-C21</f>
        <v>0</v>
      </c>
      <c r="E21" s="271" t="s">
        <v>715</v>
      </c>
      <c r="F21" s="273">
        <v>0</v>
      </c>
      <c r="G21" s="273">
        <f>2500-E2</f>
        <v>983.4496341463414</v>
      </c>
    </row>
    <row r="22" spans="1:13">
      <c r="A22" s="113"/>
      <c r="B22" s="111" t="s">
        <v>415</v>
      </c>
      <c r="C22" s="112">
        <f>555+500+400+270+2995</f>
        <v>4720</v>
      </c>
      <c r="D22" s="112">
        <f>(2500+F22)-C22</f>
        <v>0</v>
      </c>
      <c r="E22" s="110" t="s">
        <v>416</v>
      </c>
      <c r="F22" s="112">
        <v>2220</v>
      </c>
      <c r="G22" s="112">
        <f>2500-E2</f>
        <v>983.4496341463414</v>
      </c>
    </row>
    <row r="23" spans="1:13">
      <c r="A23" s="274"/>
      <c r="B23" s="272" t="s">
        <v>397</v>
      </c>
      <c r="C23" s="273">
        <f>600+600+600+700</f>
        <v>2500</v>
      </c>
      <c r="D23" s="273">
        <f>2500-C23</f>
        <v>0</v>
      </c>
      <c r="E23" s="271" t="s">
        <v>417</v>
      </c>
      <c r="F23" s="273">
        <v>0</v>
      </c>
      <c r="G23" s="273">
        <f>2500-E2</f>
        <v>983.4496341463414</v>
      </c>
    </row>
    <row r="24" spans="1:13">
      <c r="A24" s="114"/>
      <c r="B24" s="115" t="s">
        <v>509</v>
      </c>
      <c r="C24" s="116">
        <v>500</v>
      </c>
      <c r="D24" s="116">
        <f>2700-C24</f>
        <v>2200</v>
      </c>
      <c r="E24" s="114" t="s">
        <v>510</v>
      </c>
      <c r="F24" s="116">
        <v>0</v>
      </c>
      <c r="G24" s="116">
        <f>2700-E2</f>
        <v>1183.4496341463414</v>
      </c>
    </row>
    <row r="25" spans="1:13">
      <c r="A25" s="114"/>
      <c r="B25" s="115" t="s">
        <v>1217</v>
      </c>
      <c r="C25" s="116">
        <v>2500</v>
      </c>
      <c r="D25" s="116">
        <f>2700-C25</f>
        <v>200</v>
      </c>
      <c r="E25" s="114"/>
      <c r="F25" s="116">
        <v>1</v>
      </c>
      <c r="G25" s="116">
        <f>2700-E2</f>
        <v>1183.4496341463414</v>
      </c>
    </row>
    <row r="26" spans="1:13">
      <c r="A26" s="117"/>
      <c r="B26" s="115" t="s">
        <v>1208</v>
      </c>
      <c r="C26" s="116">
        <v>500</v>
      </c>
      <c r="D26" s="116">
        <f>2700-C26</f>
        <v>2200</v>
      </c>
      <c r="E26" s="115" t="s">
        <v>1209</v>
      </c>
      <c r="F26" s="116" t="s">
        <v>1240</v>
      </c>
      <c r="G26" s="116">
        <f>2700-E2</f>
        <v>1183.4496341463414</v>
      </c>
    </row>
    <row r="27" spans="1:13">
      <c r="A27" s="117"/>
      <c r="B27" s="115" t="s">
        <v>593</v>
      </c>
      <c r="C27" s="116">
        <v>500</v>
      </c>
      <c r="D27" s="116">
        <f>2722-C27</f>
        <v>2222</v>
      </c>
      <c r="E27" s="114" t="s">
        <v>594</v>
      </c>
      <c r="F27" s="116">
        <v>0</v>
      </c>
      <c r="G27" s="116">
        <f>2750-E2</f>
        <v>1233.4496341463414</v>
      </c>
      <c r="I27" s="37"/>
      <c r="J27" s="62"/>
    </row>
    <row r="28" spans="1:13">
      <c r="A28" s="85"/>
      <c r="B28" s="81" t="s">
        <v>439</v>
      </c>
      <c r="C28" s="82">
        <f>600+1900</f>
        <v>2500</v>
      </c>
      <c r="D28" s="82">
        <f>(2500-C28)</f>
        <v>0</v>
      </c>
      <c r="E28" s="85" t="s">
        <v>429</v>
      </c>
      <c r="F28" s="82"/>
      <c r="G28" s="82">
        <f>2500-E4</f>
        <v>983.4496341463414</v>
      </c>
      <c r="I28" s="37"/>
      <c r="J28" s="62"/>
    </row>
    <row r="29" spans="1:13">
      <c r="A29" s="85"/>
      <c r="B29" s="81" t="s">
        <v>440</v>
      </c>
      <c r="C29" s="82">
        <f>600+1900</f>
        <v>2500</v>
      </c>
      <c r="D29" s="82">
        <f>(2500-C29)</f>
        <v>0</v>
      </c>
      <c r="E29" s="85" t="s">
        <v>578</v>
      </c>
      <c r="F29" s="82"/>
      <c r="G29" s="82">
        <f>2500-E4</f>
        <v>983.4496341463414</v>
      </c>
      <c r="I29" s="37"/>
    </row>
    <row r="30" spans="1:13">
      <c r="A30" s="86"/>
      <c r="B30" s="81" t="s">
        <v>1107</v>
      </c>
      <c r="C30" s="82"/>
      <c r="D30" s="82"/>
      <c r="E30" s="85"/>
      <c r="F30" s="82"/>
      <c r="G30" s="82"/>
      <c r="I30" s="37"/>
    </row>
    <row r="31" spans="1:13">
      <c r="A31" s="86"/>
      <c r="B31" s="81" t="s">
        <v>21</v>
      </c>
      <c r="C31" s="82">
        <f>500+500+500+500+500</f>
        <v>2500</v>
      </c>
      <c r="D31" s="82">
        <f>(2550-C31)</f>
        <v>50</v>
      </c>
      <c r="E31" s="85" t="s">
        <v>32</v>
      </c>
      <c r="F31" s="82">
        <v>2190</v>
      </c>
      <c r="G31" s="82">
        <f>2550-E4</f>
        <v>1033.4496341463414</v>
      </c>
      <c r="I31" s="62"/>
      <c r="J31" s="62"/>
    </row>
    <row r="32" spans="1:13">
      <c r="A32" s="93"/>
      <c r="B32" s="94" t="s">
        <v>449</v>
      </c>
      <c r="C32" s="95">
        <f>555</f>
        <v>555</v>
      </c>
      <c r="D32" s="95">
        <f>2700-C32</f>
        <v>2145</v>
      </c>
      <c r="E32" s="93" t="s">
        <v>447</v>
      </c>
      <c r="F32" s="95">
        <v>0</v>
      </c>
      <c r="G32" s="95">
        <f>2500-E4</f>
        <v>983.4496341463414</v>
      </c>
      <c r="H32" s="62"/>
    </row>
    <row r="33" spans="1:12">
      <c r="A33" s="93"/>
      <c r="B33" s="368" t="s">
        <v>191</v>
      </c>
      <c r="C33" s="369">
        <v>500</v>
      </c>
      <c r="D33" s="369">
        <f>2700-C33</f>
        <v>2200</v>
      </c>
      <c r="E33" s="369" t="s">
        <v>1135</v>
      </c>
      <c r="F33" s="95">
        <v>0</v>
      </c>
      <c r="G33" s="95">
        <f>2500-E4</f>
        <v>983.4496341463414</v>
      </c>
    </row>
    <row r="34" spans="1:12">
      <c r="A34" s="96"/>
      <c r="B34" s="94" t="s">
        <v>448</v>
      </c>
      <c r="C34" s="95">
        <f>550</f>
        <v>550</v>
      </c>
      <c r="D34" s="95">
        <f>2550-C34</f>
        <v>2000</v>
      </c>
      <c r="E34" s="93" t="s">
        <v>386</v>
      </c>
      <c r="F34" s="95">
        <v>0</v>
      </c>
      <c r="G34" s="95">
        <f>2550-E4</f>
        <v>1033.4496341463414</v>
      </c>
    </row>
    <row r="35" spans="1:12">
      <c r="A35" s="268"/>
      <c r="B35" s="269" t="s">
        <v>482</v>
      </c>
      <c r="C35" s="270">
        <f>1500+1200</f>
        <v>2700</v>
      </c>
      <c r="D35" s="270">
        <f>(2700-C35)</f>
        <v>0</v>
      </c>
      <c r="E35" s="366" t="s">
        <v>481</v>
      </c>
      <c r="F35" s="270">
        <v>0</v>
      </c>
      <c r="G35" s="270">
        <f>2700-E4</f>
        <v>1183.4496341463414</v>
      </c>
    </row>
    <row r="36" spans="1:12">
      <c r="A36" s="91"/>
      <c r="B36" s="83" t="s">
        <v>173</v>
      </c>
      <c r="C36" s="84">
        <v>500</v>
      </c>
      <c r="D36" s="84">
        <f>2700-C36</f>
        <v>2200</v>
      </c>
      <c r="E36" s="91" t="s">
        <v>1197</v>
      </c>
      <c r="F36" s="84">
        <v>0</v>
      </c>
      <c r="G36" s="84">
        <v>0</v>
      </c>
    </row>
    <row r="37" spans="1:12">
      <c r="A37" s="91"/>
      <c r="B37" s="393" t="s">
        <v>0</v>
      </c>
      <c r="C37" s="394">
        <v>0</v>
      </c>
      <c r="D37" s="394">
        <v>0</v>
      </c>
      <c r="E37" s="394"/>
      <c r="F37" s="394">
        <v>1</v>
      </c>
      <c r="G37" s="394">
        <v>0</v>
      </c>
      <c r="K37" s="264"/>
    </row>
    <row r="38" spans="1:12">
      <c r="A38" s="92"/>
      <c r="B38" s="83"/>
      <c r="C38" s="84"/>
      <c r="D38" s="84"/>
      <c r="E38" s="91"/>
      <c r="F38" s="84"/>
      <c r="G38" s="84">
        <f>2600-E3</f>
        <v>1216.1458841463414</v>
      </c>
      <c r="K38" s="70"/>
    </row>
    <row r="39" spans="1:12">
      <c r="A39" s="92"/>
      <c r="B39" s="83" t="s">
        <v>478</v>
      </c>
      <c r="C39" s="84">
        <f>500+500+900</f>
        <v>1900</v>
      </c>
      <c r="D39" s="84">
        <f>(2550-C39)</f>
        <v>650</v>
      </c>
      <c r="E39" s="84" t="s">
        <v>518</v>
      </c>
      <c r="F39" s="84">
        <v>2190</v>
      </c>
      <c r="G39" s="84">
        <f>2550-E3</f>
        <v>1166.1458841463414</v>
      </c>
      <c r="H39" s="78"/>
      <c r="I39" s="78"/>
      <c r="J39" s="78"/>
      <c r="K39" s="78"/>
      <c r="L39" s="78"/>
    </row>
    <row r="40" spans="1:12">
      <c r="A40" s="91"/>
      <c r="B40" s="83" t="s">
        <v>522</v>
      </c>
      <c r="C40" s="84">
        <f>400+500+1000+650</f>
        <v>2550</v>
      </c>
      <c r="D40" s="84">
        <f>2550-C40</f>
        <v>0</v>
      </c>
      <c r="E40" s="84" t="s">
        <v>516</v>
      </c>
      <c r="F40" s="84">
        <v>0</v>
      </c>
      <c r="G40" s="84">
        <f>2550-E3</f>
        <v>1166.1458841463414</v>
      </c>
      <c r="H40" s="78"/>
      <c r="I40" s="78"/>
      <c r="J40" s="78"/>
      <c r="K40" s="78"/>
      <c r="L40" s="78"/>
    </row>
    <row r="41" spans="1:12">
      <c r="A41" s="91"/>
      <c r="B41" s="83" t="s">
        <v>517</v>
      </c>
      <c r="C41" s="84">
        <f>400+1700+150</f>
        <v>2250</v>
      </c>
      <c r="D41" s="84">
        <f>2250-C41</f>
        <v>0</v>
      </c>
      <c r="E41" s="84" t="s">
        <v>1113</v>
      </c>
      <c r="F41" s="84">
        <v>0</v>
      </c>
      <c r="G41" s="84">
        <f>2550-E3</f>
        <v>1166.1458841463414</v>
      </c>
      <c r="H41" s="78"/>
      <c r="I41" s="78"/>
      <c r="J41" s="78"/>
      <c r="K41" s="78"/>
      <c r="L41" s="78"/>
    </row>
    <row r="42" spans="1:12">
      <c r="A42" s="92"/>
      <c r="B42" s="83" t="s">
        <v>580</v>
      </c>
      <c r="C42" s="84">
        <f>500+1000+1000+100</f>
        <v>2600</v>
      </c>
      <c r="D42" s="84">
        <f>2600-C42</f>
        <v>0</v>
      </c>
      <c r="E42" s="84" t="s">
        <v>579</v>
      </c>
      <c r="F42" s="84">
        <v>0</v>
      </c>
      <c r="G42" s="84">
        <f>2600-E3</f>
        <v>1216.1458841463414</v>
      </c>
      <c r="H42" s="78"/>
      <c r="I42" s="78"/>
      <c r="J42" s="78"/>
      <c r="K42" s="78"/>
      <c r="L42" s="78"/>
    </row>
    <row r="43" spans="1:12">
      <c r="A43" s="92"/>
      <c r="B43" s="235" t="s">
        <v>581</v>
      </c>
      <c r="C43" s="84">
        <f>500+1830+270</f>
        <v>2600</v>
      </c>
      <c r="D43" s="84">
        <f>2600-C43</f>
        <v>0</v>
      </c>
      <c r="E43" s="84" t="s">
        <v>386</v>
      </c>
      <c r="F43" s="84">
        <v>0</v>
      </c>
      <c r="G43" s="84">
        <f>2600-E3</f>
        <v>1216.1458841463414</v>
      </c>
      <c r="H43" s="78"/>
      <c r="I43" s="78"/>
      <c r="J43" s="78"/>
      <c r="K43" s="78"/>
      <c r="L43" s="78"/>
    </row>
    <row r="44" spans="1:12">
      <c r="A44" s="87"/>
      <c r="B44" s="88" t="s">
        <v>502</v>
      </c>
      <c r="C44" s="89">
        <f>(2500/4)+1000+1000+100+2175</f>
        <v>4900</v>
      </c>
      <c r="D44" s="89">
        <f>(2700+2200)-C44</f>
        <v>0</v>
      </c>
      <c r="E44" s="87" t="s">
        <v>506</v>
      </c>
      <c r="F44" s="89">
        <v>2200</v>
      </c>
      <c r="G44" s="89">
        <f>2700-E5</f>
        <v>1183.4496341463414</v>
      </c>
      <c r="H44" s="78"/>
      <c r="I44" s="78"/>
      <c r="J44" s="78"/>
      <c r="K44" s="78"/>
      <c r="L44" s="78"/>
    </row>
    <row r="45" spans="1:12">
      <c r="A45" s="87"/>
      <c r="B45" s="88" t="s">
        <v>503</v>
      </c>
      <c r="C45" s="89">
        <f>625+2150</f>
        <v>2775</v>
      </c>
      <c r="D45" s="89">
        <f>2700-C45</f>
        <v>-75</v>
      </c>
      <c r="E45" s="89" t="s">
        <v>729</v>
      </c>
      <c r="F45" s="89">
        <v>0</v>
      </c>
      <c r="G45" s="89">
        <v>1108.92</v>
      </c>
      <c r="H45" s="78"/>
      <c r="I45" s="78"/>
      <c r="J45" s="78"/>
      <c r="K45" s="78"/>
      <c r="L45" s="78"/>
    </row>
    <row r="46" spans="1:12">
      <c r="A46" s="90"/>
      <c r="B46" s="88" t="s">
        <v>504</v>
      </c>
      <c r="C46" s="89">
        <v>625</v>
      </c>
      <c r="D46" s="89">
        <f>2700-C46</f>
        <v>2075</v>
      </c>
      <c r="E46" s="89" t="s">
        <v>386</v>
      </c>
      <c r="F46" s="89">
        <v>0</v>
      </c>
      <c r="G46" s="89">
        <v>1108.92</v>
      </c>
      <c r="H46" s="392"/>
      <c r="I46" s="78"/>
      <c r="J46" s="78"/>
      <c r="K46" s="78"/>
      <c r="L46" s="78"/>
    </row>
    <row r="47" spans="1:12">
      <c r="A47" s="90"/>
      <c r="B47" s="88" t="s">
        <v>505</v>
      </c>
      <c r="C47" s="89">
        <v>625</v>
      </c>
      <c r="D47" s="89">
        <f>2700-C47</f>
        <v>2075</v>
      </c>
      <c r="E47" s="89" t="s">
        <v>386</v>
      </c>
      <c r="F47" s="89">
        <v>0</v>
      </c>
      <c r="G47" s="89">
        <v>1108.92</v>
      </c>
      <c r="H47" s="80"/>
      <c r="I47" s="80"/>
      <c r="J47" s="78"/>
      <c r="K47" s="78"/>
      <c r="L47" s="78"/>
    </row>
    <row r="48" spans="1:12">
      <c r="A48" s="99"/>
      <c r="B48" s="97" t="s">
        <v>542</v>
      </c>
      <c r="C48" s="98">
        <f>1100+1000+500+150</f>
        <v>2750</v>
      </c>
      <c r="D48" s="98">
        <f>2750-C48</f>
        <v>0</v>
      </c>
      <c r="E48" s="98" t="s">
        <v>544</v>
      </c>
      <c r="F48" s="98">
        <f>0</f>
        <v>0</v>
      </c>
      <c r="G48" s="98">
        <f>2750-E6</f>
        <v>1233.4471341463413</v>
      </c>
      <c r="H48" s="78"/>
      <c r="I48" s="78"/>
      <c r="J48" s="78"/>
      <c r="K48" s="78"/>
      <c r="L48" s="78"/>
    </row>
    <row r="49" spans="1:10">
      <c r="A49" s="99"/>
      <c r="B49" s="97" t="s">
        <v>543</v>
      </c>
      <c r="C49" s="98">
        <f>750+500+500+500+500</f>
        <v>2750</v>
      </c>
      <c r="D49" s="98">
        <f>2750-C49</f>
        <v>0</v>
      </c>
      <c r="E49" s="98" t="s">
        <v>854</v>
      </c>
      <c r="F49" s="98">
        <f>0</f>
        <v>0</v>
      </c>
      <c r="G49" s="98">
        <v>1158.9213888888889</v>
      </c>
    </row>
    <row r="50" spans="1:10">
      <c r="A50" s="99"/>
      <c r="B50" s="310" t="s">
        <v>541</v>
      </c>
      <c r="C50" s="311">
        <f>550+500+500+1000</f>
        <v>2550</v>
      </c>
      <c r="D50" s="311">
        <f>2650-C50</f>
        <v>100</v>
      </c>
      <c r="E50" s="311" t="s">
        <v>546</v>
      </c>
      <c r="F50" s="98">
        <v>0</v>
      </c>
      <c r="G50" s="98">
        <v>1158.9213888888889</v>
      </c>
      <c r="H50" s="170"/>
      <c r="I50" s="37"/>
      <c r="J50" s="37"/>
    </row>
    <row r="51" spans="1:10">
      <c r="A51" s="99"/>
      <c r="B51" s="310" t="s">
        <v>545</v>
      </c>
      <c r="C51" s="311">
        <f>550+500+1000</f>
        <v>2050</v>
      </c>
      <c r="D51" s="311">
        <f>2750-C51</f>
        <v>700</v>
      </c>
      <c r="E51" s="311"/>
      <c r="F51" s="98">
        <v>0</v>
      </c>
      <c r="G51" s="98">
        <v>1158.9213888888889</v>
      </c>
      <c r="I51" s="37"/>
    </row>
    <row r="52" spans="1:10">
      <c r="A52" s="86"/>
      <c r="B52" s="81" t="s">
        <v>566</v>
      </c>
      <c r="C52" s="82">
        <v>250</v>
      </c>
      <c r="D52" s="82">
        <f>3350-C52</f>
        <v>3100</v>
      </c>
      <c r="E52" s="82" t="s">
        <v>565</v>
      </c>
      <c r="F52" s="82">
        <v>0</v>
      </c>
      <c r="G52" s="82">
        <f>3350-E7</f>
        <v>853.4796341463416</v>
      </c>
      <c r="I52" s="37"/>
    </row>
    <row r="53" spans="1:10">
      <c r="A53" s="86"/>
      <c r="B53" s="81" t="s">
        <v>566</v>
      </c>
      <c r="C53" s="82">
        <v>250</v>
      </c>
      <c r="D53" s="82">
        <f>(3350-470)-C53</f>
        <v>2630</v>
      </c>
      <c r="E53" s="82" t="s">
        <v>386</v>
      </c>
      <c r="F53" s="82">
        <v>0</v>
      </c>
      <c r="G53" s="82">
        <v>778.95</v>
      </c>
      <c r="H53" s="264"/>
      <c r="I53" s="37"/>
      <c r="J53" s="37"/>
    </row>
    <row r="54" spans="1:10">
      <c r="A54" s="92"/>
      <c r="B54" s="83" t="s">
        <v>855</v>
      </c>
      <c r="C54" s="84">
        <f>500+250</f>
        <v>750</v>
      </c>
      <c r="D54" s="84">
        <f>2750-C54</f>
        <v>2000</v>
      </c>
      <c r="E54" s="84" t="s">
        <v>856</v>
      </c>
      <c r="F54" s="84">
        <v>0</v>
      </c>
      <c r="G54" s="84">
        <f>2950-E8</f>
        <v>453.41463414634154</v>
      </c>
      <c r="H54" s="264"/>
      <c r="I54" s="37"/>
      <c r="J54" s="37"/>
    </row>
    <row r="55" spans="1:10">
      <c r="A55" s="92"/>
      <c r="B55" s="83" t="s">
        <v>1106</v>
      </c>
      <c r="C55" s="84">
        <v>1000</v>
      </c>
      <c r="D55" s="84">
        <f>2750-C55</f>
        <v>1750</v>
      </c>
      <c r="E55" s="84" t="s">
        <v>632</v>
      </c>
      <c r="F55" s="84">
        <v>0</v>
      </c>
      <c r="G55" s="84">
        <f>2950-E8</f>
        <v>453.41463414634154</v>
      </c>
      <c r="I55" s="37"/>
      <c r="J55" s="37"/>
    </row>
    <row r="56" spans="1:10">
      <c r="A56" s="275"/>
      <c r="B56" s="276"/>
      <c r="C56" s="277"/>
      <c r="D56" s="277"/>
      <c r="E56" s="277"/>
      <c r="F56" s="277">
        <v>0</v>
      </c>
      <c r="G56" s="277">
        <v>0</v>
      </c>
      <c r="I56" s="37"/>
      <c r="J56" s="37"/>
    </row>
    <row r="57" spans="1:10">
      <c r="A57" s="275"/>
      <c r="B57" s="276" t="s">
        <v>1226</v>
      </c>
      <c r="C57" s="277">
        <v>2700</v>
      </c>
      <c r="D57" s="277">
        <v>0</v>
      </c>
      <c r="E57" s="277" t="s">
        <v>1225</v>
      </c>
      <c r="F57" s="277">
        <v>0</v>
      </c>
      <c r="G57" s="277">
        <v>0</v>
      </c>
      <c r="I57" s="37"/>
      <c r="J57" s="37"/>
    </row>
    <row r="58" spans="1:10">
      <c r="A58" s="231"/>
      <c r="B58" s="232" t="s">
        <v>576</v>
      </c>
      <c r="C58" s="233">
        <v>500</v>
      </c>
      <c r="D58" s="233">
        <f>2750-C58</f>
        <v>2250</v>
      </c>
      <c r="E58" s="233" t="s">
        <v>386</v>
      </c>
      <c r="F58" s="233">
        <v>0</v>
      </c>
      <c r="G58" s="233">
        <f>D58-E9</f>
        <v>714.41463414634154</v>
      </c>
      <c r="H58" t="s">
        <v>582</v>
      </c>
      <c r="I58" s="37"/>
      <c r="J58" s="37"/>
    </row>
    <row r="59" spans="1:10">
      <c r="A59" s="268"/>
      <c r="B59" s="269" t="s">
        <v>643</v>
      </c>
      <c r="C59" s="270">
        <f>550+100+550+550+550+450</f>
        <v>2750</v>
      </c>
      <c r="D59" s="270">
        <f>2750-C59</f>
        <v>0</v>
      </c>
      <c r="E59" s="270" t="s">
        <v>386</v>
      </c>
      <c r="F59" s="270">
        <v>0</v>
      </c>
      <c r="G59" s="270">
        <f>2750-E10</f>
        <v>1233.4146341463415</v>
      </c>
      <c r="I59" s="37"/>
      <c r="J59" s="37"/>
    </row>
    <row r="60" spans="1:10">
      <c r="A60" s="96"/>
      <c r="B60" s="94" t="s">
        <v>585</v>
      </c>
      <c r="C60" s="95">
        <f>250+1000+1000+700</f>
        <v>2950</v>
      </c>
      <c r="D60" s="95">
        <f>2950-C60</f>
        <v>0</v>
      </c>
      <c r="E60" s="95" t="s">
        <v>596</v>
      </c>
      <c r="F60" s="95">
        <v>2200</v>
      </c>
      <c r="G60" s="95">
        <f>2950-E10</f>
        <v>1433.4146341463415</v>
      </c>
      <c r="I60" s="37"/>
    </row>
    <row r="61" spans="1:10">
      <c r="A61" s="96"/>
      <c r="B61" s="94" t="s">
        <v>1261</v>
      </c>
      <c r="C61" s="95">
        <f>250+2700</f>
        <v>2950</v>
      </c>
      <c r="D61" s="95">
        <f>2950-C61</f>
        <v>0</v>
      </c>
      <c r="E61" s="95" t="s">
        <v>386</v>
      </c>
      <c r="F61" s="95">
        <v>0</v>
      </c>
      <c r="G61" s="95">
        <f>2950-E10</f>
        <v>1433.4146341463415</v>
      </c>
      <c r="I61" s="37"/>
      <c r="J61" s="62"/>
    </row>
    <row r="62" spans="1:10">
      <c r="A62" s="96"/>
      <c r="B62" s="94" t="s">
        <v>597</v>
      </c>
      <c r="C62" s="95">
        <f>250+1000</f>
        <v>1250</v>
      </c>
      <c r="D62" s="95">
        <f>2750-C62</f>
        <v>1500</v>
      </c>
      <c r="E62" s="95" t="s">
        <v>598</v>
      </c>
      <c r="F62" s="95">
        <v>0</v>
      </c>
      <c r="G62" s="95">
        <f>2950-E10</f>
        <v>1433.4146341463415</v>
      </c>
      <c r="I62" s="37"/>
    </row>
    <row r="63" spans="1:10" s="264" customFormat="1">
      <c r="A63" s="383"/>
      <c r="B63" s="384"/>
      <c r="C63" s="384"/>
      <c r="D63" s="384"/>
      <c r="E63" s="384"/>
      <c r="F63" s="385">
        <v>0</v>
      </c>
      <c r="G63" s="385">
        <v>0</v>
      </c>
      <c r="I63" s="37"/>
    </row>
    <row r="64" spans="1:10">
      <c r="A64" s="264"/>
      <c r="B64" s="118"/>
      <c r="C64" s="77">
        <f>SUM(C20:C62)</f>
        <v>74460</v>
      </c>
      <c r="D64" s="77">
        <f>SUM(D20:D62)</f>
        <v>34172</v>
      </c>
      <c r="F64" s="37">
        <f>SUM(F20:F63)</f>
        <v>11002</v>
      </c>
      <c r="G64" s="77">
        <f>SUM(G20:G57)</f>
        <v>34468.29965447155</v>
      </c>
      <c r="I64" s="70"/>
    </row>
    <row r="65" spans="1:10">
      <c r="A65" s="264"/>
      <c r="B65" s="118"/>
      <c r="C65" s="632">
        <f>C64+D64</f>
        <v>108632</v>
      </c>
      <c r="D65" s="633"/>
      <c r="I65" s="62"/>
      <c r="J65" s="62"/>
    </row>
    <row r="67" spans="1:10">
      <c r="A67" s="628" t="s">
        <v>348</v>
      </c>
      <c r="B67" s="629"/>
      <c r="C67" s="630">
        <f>C11</f>
        <v>43056.19</v>
      </c>
      <c r="D67" s="631"/>
      <c r="E67" s="37">
        <f>C67-10000</f>
        <v>33056.19</v>
      </c>
      <c r="F67" s="264"/>
      <c r="I67" s="62"/>
      <c r="J67" s="62"/>
    </row>
    <row r="68" spans="1:10">
      <c r="A68" s="628" t="s">
        <v>262</v>
      </c>
      <c r="B68" s="629"/>
      <c r="C68" s="634">
        <v>22000</v>
      </c>
      <c r="D68" s="635"/>
      <c r="E68" s="37"/>
      <c r="F68" s="264"/>
      <c r="G68" s="37"/>
      <c r="H68" s="264"/>
      <c r="I68" s="264"/>
      <c r="J68" s="62"/>
    </row>
    <row r="69" spans="1:10">
      <c r="A69" s="628" t="s">
        <v>355</v>
      </c>
      <c r="B69" s="629"/>
      <c r="C69" s="630">
        <v>3500</v>
      </c>
      <c r="D69" s="631"/>
      <c r="F69" s="264"/>
      <c r="G69" s="264"/>
      <c r="H69" s="264"/>
      <c r="I69" s="264"/>
    </row>
    <row r="70" spans="1:10">
      <c r="A70" s="628" t="s">
        <v>7</v>
      </c>
      <c r="B70" s="629"/>
      <c r="C70" s="630">
        <f>C65-C67-C68-C69</f>
        <v>40075.81</v>
      </c>
      <c r="D70" s="631"/>
      <c r="E70" s="37"/>
      <c r="F70" s="264"/>
      <c r="G70" s="264"/>
      <c r="H70" s="264"/>
      <c r="I70" s="264"/>
    </row>
    <row r="71" spans="1:10">
      <c r="D71" s="62"/>
      <c r="E71" s="62"/>
      <c r="F71" s="264"/>
      <c r="G71" s="264"/>
      <c r="H71" s="264"/>
      <c r="I71" s="264"/>
      <c r="J71" s="62"/>
    </row>
    <row r="72" spans="1:10">
      <c r="F72" s="264"/>
      <c r="G72" s="264"/>
      <c r="H72" s="264"/>
      <c r="I72" s="264"/>
    </row>
    <row r="73" spans="1:10">
      <c r="D73" s="62"/>
      <c r="F73" s="264"/>
      <c r="G73" s="264"/>
      <c r="H73" s="264"/>
      <c r="I73" s="264"/>
    </row>
    <row r="74" spans="1:10">
      <c r="A74" s="37">
        <v>21000</v>
      </c>
      <c r="B74" t="s">
        <v>529</v>
      </c>
    </row>
    <row r="75" spans="1:10">
      <c r="A75" s="37">
        <v>22000</v>
      </c>
      <c r="B75" s="264" t="s">
        <v>530</v>
      </c>
      <c r="E75" s="62"/>
    </row>
    <row r="76" spans="1:10">
      <c r="B76" s="264" t="s">
        <v>1212</v>
      </c>
      <c r="F76" s="278"/>
    </row>
    <row r="77" spans="1:10">
      <c r="F77" s="279"/>
    </row>
    <row r="80" spans="1:10">
      <c r="E80" s="264"/>
    </row>
    <row r="81" spans="1:5">
      <c r="E81" s="62"/>
    </row>
    <row r="82" spans="1:5">
      <c r="A82" s="62"/>
    </row>
    <row r="83" spans="1:5">
      <c r="B83" s="264"/>
    </row>
    <row r="87" spans="1:5">
      <c r="B87" s="37"/>
      <c r="D87" s="62"/>
    </row>
    <row r="91" spans="1:5">
      <c r="A91" s="62"/>
    </row>
    <row r="92" spans="1:5">
      <c r="E92" s="264"/>
    </row>
    <row r="93" spans="1:5">
      <c r="E93" s="264"/>
    </row>
    <row r="96" spans="1:5">
      <c r="B96" s="62"/>
    </row>
  </sheetData>
  <mergeCells count="9">
    <mergeCell ref="A67:B67"/>
    <mergeCell ref="A68:B68"/>
    <mergeCell ref="A69:B69"/>
    <mergeCell ref="A70:B70"/>
    <mergeCell ref="C65:D65"/>
    <mergeCell ref="C67:D67"/>
    <mergeCell ref="C68:D68"/>
    <mergeCell ref="C69:D69"/>
    <mergeCell ref="C70:D70"/>
  </mergeCells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8"/>
  <sheetViews>
    <sheetView topLeftCell="A32" workbookViewId="0">
      <selection activeCell="D47" sqref="D47"/>
    </sheetView>
  </sheetViews>
  <sheetFormatPr baseColWidth="10" defaultRowHeight="15"/>
  <cols>
    <col min="1" max="1" width="6.7109375" style="264" customWidth="1"/>
    <col min="2" max="2" width="32.7109375" bestFit="1" customWidth="1"/>
    <col min="3" max="3" width="8" style="442" bestFit="1" customWidth="1"/>
    <col min="4" max="4" width="12.28515625" bestFit="1" customWidth="1"/>
  </cols>
  <sheetData>
    <row r="1" spans="2:9" ht="15.75" thickBot="1">
      <c r="B1" s="467" t="s">
        <v>1301</v>
      </c>
      <c r="C1" s="468" t="s">
        <v>1300</v>
      </c>
      <c r="D1" s="469" t="s">
        <v>441</v>
      </c>
    </row>
    <row r="2" spans="2:9">
      <c r="B2" s="443"/>
      <c r="C2" s="444"/>
      <c r="D2" s="445"/>
    </row>
    <row r="3" spans="2:9">
      <c r="B3" s="446" t="s">
        <v>397</v>
      </c>
      <c r="C3" s="447">
        <v>0</v>
      </c>
      <c r="D3" s="448" t="s">
        <v>417</v>
      </c>
    </row>
    <row r="4" spans="2:9">
      <c r="B4" s="446" t="s">
        <v>851</v>
      </c>
      <c r="C4" s="447">
        <v>0</v>
      </c>
      <c r="D4" s="448" t="s">
        <v>852</v>
      </c>
    </row>
    <row r="5" spans="2:9" ht="15.75" thickBot="1">
      <c r="B5" s="446" t="s">
        <v>1226</v>
      </c>
      <c r="C5" s="447">
        <v>0</v>
      </c>
      <c r="D5" s="448" t="s">
        <v>1225</v>
      </c>
    </row>
    <row r="6" spans="2:9">
      <c r="B6" s="449" t="s">
        <v>1299</v>
      </c>
      <c r="C6" s="450">
        <v>0</v>
      </c>
      <c r="D6" s="451" t="s">
        <v>864</v>
      </c>
    </row>
    <row r="7" spans="2:9">
      <c r="B7" s="452" t="s">
        <v>643</v>
      </c>
      <c r="C7" s="453">
        <v>0</v>
      </c>
      <c r="D7" s="454" t="s">
        <v>386</v>
      </c>
    </row>
    <row r="8" spans="2:9">
      <c r="B8" s="452" t="s">
        <v>541</v>
      </c>
      <c r="C8" s="453">
        <v>0</v>
      </c>
      <c r="D8" s="454" t="s">
        <v>546</v>
      </c>
    </row>
    <row r="9" spans="2:9" ht="15.75" thickBot="1">
      <c r="B9" s="455" t="s">
        <v>545</v>
      </c>
      <c r="C9" s="456">
        <v>0</v>
      </c>
      <c r="D9" s="457" t="s">
        <v>386</v>
      </c>
    </row>
    <row r="10" spans="2:9">
      <c r="B10" s="446" t="s">
        <v>482</v>
      </c>
      <c r="C10" s="447">
        <v>0</v>
      </c>
      <c r="D10" s="448" t="s">
        <v>481</v>
      </c>
    </row>
    <row r="11" spans="2:9">
      <c r="B11" s="446" t="s">
        <v>542</v>
      </c>
      <c r="C11" s="447">
        <v>0</v>
      </c>
      <c r="D11" s="448" t="s">
        <v>544</v>
      </c>
    </row>
    <row r="12" spans="2:9">
      <c r="B12" s="446" t="s">
        <v>543</v>
      </c>
      <c r="C12" s="447">
        <v>0</v>
      </c>
      <c r="D12" s="448" t="s">
        <v>854</v>
      </c>
    </row>
    <row r="13" spans="2:9" ht="15.75" thickBot="1">
      <c r="B13" s="446" t="s">
        <v>448</v>
      </c>
      <c r="C13" s="447">
        <v>2100</v>
      </c>
      <c r="D13" s="448" t="s">
        <v>447</v>
      </c>
      <c r="E13" s="178"/>
      <c r="F13" s="178"/>
      <c r="G13" s="178"/>
      <c r="H13" s="178"/>
      <c r="I13" s="178"/>
    </row>
    <row r="14" spans="2:9">
      <c r="B14" s="449" t="s">
        <v>1317</v>
      </c>
      <c r="C14" s="450">
        <v>0</v>
      </c>
      <c r="D14" s="451" t="s">
        <v>1318</v>
      </c>
      <c r="E14" s="178"/>
      <c r="F14" s="178"/>
      <c r="G14" s="441"/>
      <c r="H14" s="178"/>
      <c r="I14" s="178"/>
    </row>
    <row r="15" spans="2:9">
      <c r="B15" s="452" t="s">
        <v>1277</v>
      </c>
      <c r="C15" s="453">
        <v>0</v>
      </c>
      <c r="D15" s="454" t="s">
        <v>1278</v>
      </c>
      <c r="E15" s="178"/>
      <c r="F15" s="178"/>
      <c r="G15" s="178"/>
      <c r="H15" s="178"/>
      <c r="I15" s="178"/>
    </row>
    <row r="16" spans="2:9">
      <c r="B16" s="452" t="s">
        <v>1253</v>
      </c>
      <c r="C16" s="453">
        <v>0</v>
      </c>
      <c r="D16" s="454" t="s">
        <v>1197</v>
      </c>
      <c r="E16" s="178"/>
      <c r="F16" s="178"/>
      <c r="G16" s="178"/>
      <c r="H16" s="178"/>
      <c r="I16" s="178"/>
    </row>
    <row r="17" spans="2:4" ht="15.75" thickBot="1">
      <c r="B17" s="455" t="s">
        <v>191</v>
      </c>
      <c r="C17" s="456">
        <v>0</v>
      </c>
      <c r="D17" s="457" t="s">
        <v>1135</v>
      </c>
    </row>
    <row r="18" spans="2:4">
      <c r="B18" s="446" t="s">
        <v>0</v>
      </c>
      <c r="C18" s="447">
        <v>0</v>
      </c>
      <c r="D18" s="448" t="s">
        <v>37</v>
      </c>
    </row>
    <row r="19" spans="2:4">
      <c r="B19" s="446" t="s">
        <v>1295</v>
      </c>
      <c r="C19" s="447">
        <v>0</v>
      </c>
      <c r="D19" s="448" t="s">
        <v>1296</v>
      </c>
    </row>
    <row r="20" spans="2:4">
      <c r="B20" s="446" t="s">
        <v>1269</v>
      </c>
      <c r="C20" s="447">
        <v>200</v>
      </c>
      <c r="D20" s="448" t="s">
        <v>1268</v>
      </c>
    </row>
    <row r="21" spans="2:4">
      <c r="B21" s="446" t="s">
        <v>1308</v>
      </c>
      <c r="C21" s="447">
        <v>0</v>
      </c>
      <c r="D21" s="448" t="s">
        <v>1311</v>
      </c>
    </row>
    <row r="22" spans="2:4">
      <c r="B22" s="446" t="s">
        <v>1309</v>
      </c>
      <c r="C22" s="447">
        <v>0</v>
      </c>
      <c r="D22" s="448" t="s">
        <v>211</v>
      </c>
    </row>
    <row r="23" spans="2:4">
      <c r="B23" s="446" t="s">
        <v>1310</v>
      </c>
      <c r="C23" s="447">
        <v>0</v>
      </c>
      <c r="D23" s="448" t="s">
        <v>211</v>
      </c>
    </row>
    <row r="24" spans="2:4">
      <c r="B24" s="446" t="s">
        <v>1316</v>
      </c>
      <c r="C24" s="447">
        <v>0</v>
      </c>
      <c r="D24" s="448" t="s">
        <v>1314</v>
      </c>
    </row>
    <row r="25" spans="2:4" ht="15.75" thickBot="1">
      <c r="B25" s="446"/>
      <c r="C25" s="447"/>
      <c r="D25" s="448"/>
    </row>
    <row r="26" spans="2:4">
      <c r="B26" s="449" t="s">
        <v>1106</v>
      </c>
      <c r="C26" s="450">
        <v>0</v>
      </c>
      <c r="D26" s="451" t="s">
        <v>632</v>
      </c>
    </row>
    <row r="27" spans="2:4">
      <c r="B27" s="458" t="s">
        <v>439</v>
      </c>
      <c r="C27" s="459">
        <v>0</v>
      </c>
      <c r="D27" s="460" t="s">
        <v>429</v>
      </c>
    </row>
    <row r="28" spans="2:4">
      <c r="B28" s="452" t="s">
        <v>1313</v>
      </c>
      <c r="C28" s="453">
        <v>0</v>
      </c>
      <c r="D28" s="454" t="s">
        <v>1312</v>
      </c>
    </row>
    <row r="29" spans="2:4" ht="15.75" thickBot="1">
      <c r="B29" s="455" t="s">
        <v>1315</v>
      </c>
      <c r="C29" s="456">
        <v>0</v>
      </c>
      <c r="D29" s="457" t="s">
        <v>1272</v>
      </c>
    </row>
    <row r="30" spans="2:4">
      <c r="B30" s="446" t="s">
        <v>503</v>
      </c>
      <c r="C30" s="447">
        <v>0</v>
      </c>
      <c r="D30" s="448" t="s">
        <v>1263</v>
      </c>
    </row>
    <row r="31" spans="2:4">
      <c r="B31" s="446" t="s">
        <v>1265</v>
      </c>
      <c r="C31" s="447">
        <v>700</v>
      </c>
      <c r="D31" s="448" t="s">
        <v>1264</v>
      </c>
    </row>
    <row r="32" spans="2:4">
      <c r="B32" s="446" t="s">
        <v>502</v>
      </c>
      <c r="C32" s="447">
        <v>0</v>
      </c>
      <c r="D32" s="448" t="s">
        <v>506</v>
      </c>
    </row>
    <row r="33" spans="2:11" ht="15.75" thickBot="1">
      <c r="B33" s="461" t="s">
        <v>415</v>
      </c>
      <c r="C33" s="462">
        <v>0</v>
      </c>
      <c r="D33" s="463" t="s">
        <v>416</v>
      </c>
    </row>
    <row r="34" spans="2:11">
      <c r="B34" s="458" t="s">
        <v>440</v>
      </c>
      <c r="C34" s="459">
        <v>0</v>
      </c>
      <c r="D34" s="460" t="s">
        <v>578</v>
      </c>
    </row>
    <row r="35" spans="2:11">
      <c r="B35" s="458" t="s">
        <v>559</v>
      </c>
      <c r="C35" s="459">
        <v>0</v>
      </c>
      <c r="D35" s="460" t="s">
        <v>409</v>
      </c>
      <c r="F35" s="264"/>
      <c r="G35" s="264"/>
      <c r="H35" s="264"/>
      <c r="I35" s="264"/>
      <c r="J35" s="264"/>
      <c r="K35" s="264"/>
    </row>
    <row r="36" spans="2:11">
      <c r="B36" s="458" t="s">
        <v>1305</v>
      </c>
      <c r="C36" s="459">
        <v>0</v>
      </c>
      <c r="D36" s="460" t="s">
        <v>579</v>
      </c>
      <c r="F36" s="264"/>
    </row>
    <row r="37" spans="2:11" ht="15.75" thickBot="1">
      <c r="B37" s="464" t="s">
        <v>1306</v>
      </c>
      <c r="C37" s="465">
        <v>0</v>
      </c>
      <c r="D37" s="466" t="s">
        <v>386</v>
      </c>
      <c r="F37" s="264"/>
      <c r="G37" s="264"/>
      <c r="H37" s="264"/>
      <c r="I37" s="264"/>
    </row>
    <row r="38" spans="2:11">
      <c r="B38" s="443" t="s">
        <v>1302</v>
      </c>
      <c r="C38" s="444">
        <v>0</v>
      </c>
      <c r="D38" s="445" t="s">
        <v>596</v>
      </c>
      <c r="F38" s="264"/>
      <c r="G38" s="264"/>
      <c r="H38" s="264"/>
      <c r="I38" s="264"/>
    </row>
    <row r="39" spans="2:11">
      <c r="B39" s="446" t="s">
        <v>1261</v>
      </c>
      <c r="C39" s="447">
        <v>0</v>
      </c>
      <c r="D39" s="448" t="s">
        <v>386</v>
      </c>
      <c r="F39" s="264"/>
      <c r="G39" s="264"/>
      <c r="H39" s="264"/>
      <c r="I39" s="264"/>
    </row>
    <row r="40" spans="2:11">
      <c r="B40" s="446" t="s">
        <v>1307</v>
      </c>
      <c r="C40" s="447">
        <v>0</v>
      </c>
      <c r="D40" s="448" t="s">
        <v>516</v>
      </c>
      <c r="F40" s="264"/>
      <c r="G40" s="264"/>
      <c r="H40" s="264"/>
      <c r="I40" s="264"/>
    </row>
    <row r="41" spans="2:11" ht="15.75" thickBot="1">
      <c r="B41" s="461" t="s">
        <v>1304</v>
      </c>
      <c r="C41" s="462">
        <v>0</v>
      </c>
      <c r="D41" s="463" t="s">
        <v>1113</v>
      </c>
      <c r="F41" s="264"/>
      <c r="G41" s="264"/>
      <c r="H41" s="264"/>
      <c r="I41" s="264"/>
    </row>
    <row r="42" spans="2:11">
      <c r="B42" s="449" t="s">
        <v>566</v>
      </c>
      <c r="C42" s="450">
        <v>3100</v>
      </c>
      <c r="D42" s="451" t="s">
        <v>565</v>
      </c>
      <c r="F42" s="264"/>
      <c r="G42" s="264"/>
      <c r="H42" s="264"/>
      <c r="I42" s="264"/>
    </row>
    <row r="43" spans="2:11" ht="15.75" thickBot="1">
      <c r="B43" s="455" t="s">
        <v>1303</v>
      </c>
      <c r="C43" s="456">
        <v>2630</v>
      </c>
      <c r="D43" s="457" t="s">
        <v>386</v>
      </c>
    </row>
    <row r="44" spans="2:11">
      <c r="B44" s="639" t="s">
        <v>706</v>
      </c>
      <c r="C44" s="640"/>
      <c r="D44" s="641"/>
    </row>
    <row r="45" spans="2:11">
      <c r="B45" s="452" t="s">
        <v>415</v>
      </c>
      <c r="C45" s="453">
        <v>0</v>
      </c>
      <c r="D45" s="454" t="s">
        <v>416</v>
      </c>
    </row>
    <row r="46" spans="2:11">
      <c r="B46" s="452" t="s">
        <v>502</v>
      </c>
      <c r="C46" s="453">
        <v>0</v>
      </c>
      <c r="D46" s="454" t="s">
        <v>506</v>
      </c>
    </row>
    <row r="47" spans="2:11">
      <c r="B47" s="452" t="s">
        <v>439</v>
      </c>
      <c r="C47" s="453">
        <v>0</v>
      </c>
      <c r="D47" s="454" t="s">
        <v>429</v>
      </c>
    </row>
    <row r="48" spans="2:11" ht="15.75" thickBot="1">
      <c r="B48" s="455" t="s">
        <v>440</v>
      </c>
      <c r="C48" s="456">
        <v>0</v>
      </c>
      <c r="D48" s="457" t="s">
        <v>578</v>
      </c>
    </row>
  </sheetData>
  <mergeCells count="1">
    <mergeCell ref="B44:D44"/>
  </mergeCells>
  <pageMargins left="0.23622047244094491" right="0.23622047244094491" top="0.74803149606299213" bottom="0.74803149606299213" header="0.31496062992125984" footer="0.31496062992125984"/>
  <pageSetup scale="95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76"/>
  <sheetViews>
    <sheetView topLeftCell="A25" workbookViewId="0">
      <selection activeCell="E40" sqref="E40"/>
    </sheetView>
  </sheetViews>
  <sheetFormatPr baseColWidth="10" defaultRowHeight="15"/>
  <cols>
    <col min="1" max="1" width="14.140625" style="264" bestFit="1" customWidth="1"/>
    <col min="2" max="2" width="28.7109375" style="264" bestFit="1" customWidth="1"/>
    <col min="3" max="4" width="11.5703125" style="264" bestFit="1" customWidth="1"/>
    <col min="5" max="5" width="17.85546875" style="264" bestFit="1" customWidth="1"/>
    <col min="6" max="6" width="17.42578125" style="37" customWidth="1"/>
    <col min="7" max="7" width="15.5703125" style="78" bestFit="1" customWidth="1"/>
    <col min="8" max="8" width="16.140625" style="264" bestFit="1" customWidth="1"/>
    <col min="9" max="9" width="28.7109375" style="264" bestFit="1" customWidth="1"/>
    <col min="10" max="16384" width="11.42578125" style="264"/>
  </cols>
  <sheetData>
    <row r="1" spans="1:13">
      <c r="A1" s="100" t="s">
        <v>354</v>
      </c>
      <c r="B1" s="100" t="s">
        <v>353</v>
      </c>
      <c r="C1" s="100" t="s">
        <v>328</v>
      </c>
      <c r="D1" s="100" t="s">
        <v>341</v>
      </c>
      <c r="E1" s="162" t="s">
        <v>441</v>
      </c>
      <c r="F1" s="163" t="s">
        <v>442</v>
      </c>
      <c r="H1" s="264" t="s">
        <v>875</v>
      </c>
      <c r="I1" s="192"/>
    </row>
    <row r="2" spans="1:13">
      <c r="A2" s="271" t="s">
        <v>1238</v>
      </c>
      <c r="B2" s="272" t="s">
        <v>559</v>
      </c>
      <c r="C2" s="273">
        <v>2160</v>
      </c>
      <c r="D2" s="273">
        <v>0</v>
      </c>
      <c r="E2" s="271" t="s">
        <v>409</v>
      </c>
      <c r="F2" s="273">
        <v>0</v>
      </c>
      <c r="G2" s="414"/>
      <c r="H2" s="416">
        <v>1</v>
      </c>
      <c r="I2" s="239" t="s">
        <v>415</v>
      </c>
      <c r="J2" s="417">
        <f>555+500+400+270+2995</f>
        <v>4720</v>
      </c>
      <c r="K2" s="417">
        <f>(2500+M2)-J2</f>
        <v>0</v>
      </c>
      <c r="L2" s="418" t="s">
        <v>416</v>
      </c>
      <c r="M2" s="417">
        <v>2220</v>
      </c>
    </row>
    <row r="3" spans="1:13">
      <c r="A3" s="113" t="s">
        <v>1239</v>
      </c>
      <c r="B3" s="272" t="s">
        <v>397</v>
      </c>
      <c r="C3" s="273">
        <f>600+600+600+700</f>
        <v>2500</v>
      </c>
      <c r="D3" s="273">
        <f>2500-C3</f>
        <v>0</v>
      </c>
      <c r="E3" s="271" t="s">
        <v>417</v>
      </c>
      <c r="F3" s="273">
        <v>0</v>
      </c>
      <c r="G3" s="415"/>
      <c r="H3" s="419">
        <v>2</v>
      </c>
      <c r="I3" s="239" t="s">
        <v>502</v>
      </c>
      <c r="J3" s="417">
        <f>(2500/4)+1000+1000+100+2175</f>
        <v>4900</v>
      </c>
      <c r="K3" s="417">
        <v>0</v>
      </c>
      <c r="L3" s="418" t="s">
        <v>506</v>
      </c>
      <c r="M3" s="417">
        <v>2200</v>
      </c>
    </row>
    <row r="4" spans="1:13">
      <c r="A4" s="113" t="s">
        <v>1239</v>
      </c>
      <c r="B4" s="112" t="s">
        <v>851</v>
      </c>
      <c r="C4" s="112">
        <f>500+2200</f>
        <v>2700</v>
      </c>
      <c r="D4" s="112">
        <f>2700-C4</f>
        <v>0</v>
      </c>
      <c r="E4" s="112" t="s">
        <v>852</v>
      </c>
      <c r="F4" s="112"/>
      <c r="G4" s="415"/>
      <c r="H4" s="419">
        <v>3</v>
      </c>
      <c r="I4" s="115" t="s">
        <v>439</v>
      </c>
      <c r="J4" s="116">
        <v>2500</v>
      </c>
      <c r="K4" s="116">
        <f>(2500-J4)</f>
        <v>0</v>
      </c>
      <c r="L4" s="114" t="s">
        <v>429</v>
      </c>
      <c r="M4" s="116">
        <v>2220</v>
      </c>
    </row>
    <row r="5" spans="1:13">
      <c r="A5" s="113" t="s">
        <v>1239</v>
      </c>
      <c r="B5" s="272" t="s">
        <v>1226</v>
      </c>
      <c r="C5" s="273">
        <v>2700</v>
      </c>
      <c r="D5" s="273">
        <v>0</v>
      </c>
      <c r="E5" s="271" t="s">
        <v>1225</v>
      </c>
      <c r="F5" s="273">
        <v>0</v>
      </c>
      <c r="G5" s="413"/>
      <c r="H5" s="419">
        <v>4</v>
      </c>
      <c r="I5" s="115" t="s">
        <v>440</v>
      </c>
      <c r="J5" s="116">
        <v>2500</v>
      </c>
      <c r="K5" s="116">
        <f>(2500-J5)</f>
        <v>0</v>
      </c>
      <c r="L5" s="114" t="s">
        <v>578</v>
      </c>
      <c r="M5" s="116">
        <v>2220</v>
      </c>
    </row>
    <row r="6" spans="1:13">
      <c r="A6" s="312" t="s">
        <v>1241</v>
      </c>
      <c r="B6" s="312" t="s">
        <v>364</v>
      </c>
      <c r="C6" s="411">
        <f>200+200+550+550+550+450</f>
        <v>2500</v>
      </c>
      <c r="D6" s="411">
        <f>2500-C6</f>
        <v>0</v>
      </c>
      <c r="E6" s="412" t="s">
        <v>715</v>
      </c>
      <c r="F6" s="411">
        <v>4680</v>
      </c>
      <c r="G6" s="413"/>
      <c r="H6" s="405"/>
      <c r="I6" s="115"/>
      <c r="J6" s="116"/>
      <c r="K6" s="116"/>
      <c r="L6" s="114"/>
      <c r="M6" s="116"/>
    </row>
    <row r="7" spans="1:13">
      <c r="A7" s="114" t="s">
        <v>386</v>
      </c>
      <c r="B7" s="312" t="s">
        <v>643</v>
      </c>
      <c r="C7" s="411">
        <f>550+100+550+550+550+450</f>
        <v>2750</v>
      </c>
      <c r="D7" s="411">
        <f>2750-C7</f>
        <v>0</v>
      </c>
      <c r="E7" s="411" t="s">
        <v>386</v>
      </c>
      <c r="F7" s="411">
        <v>0</v>
      </c>
      <c r="G7" s="413"/>
    </row>
    <row r="8" spans="1:13">
      <c r="A8" s="117"/>
      <c r="B8" s="115" t="s">
        <v>1269</v>
      </c>
      <c r="C8" s="116">
        <v>2500</v>
      </c>
      <c r="D8" s="116">
        <v>200</v>
      </c>
      <c r="E8" s="114" t="s">
        <v>1268</v>
      </c>
      <c r="F8" s="116">
        <v>0</v>
      </c>
      <c r="G8" s="413"/>
    </row>
    <row r="9" spans="1:13">
      <c r="A9" s="117"/>
      <c r="B9" s="115" t="s">
        <v>1277</v>
      </c>
      <c r="C9" s="116">
        <v>2700</v>
      </c>
      <c r="D9" s="116">
        <v>0</v>
      </c>
      <c r="E9" s="114" t="s">
        <v>1278</v>
      </c>
      <c r="F9" s="116">
        <v>0</v>
      </c>
      <c r="G9" s="413"/>
    </row>
    <row r="10" spans="1:13">
      <c r="A10" s="85" t="s">
        <v>1242</v>
      </c>
      <c r="B10" s="81" t="s">
        <v>482</v>
      </c>
      <c r="C10" s="82">
        <f>1500+1200</f>
        <v>2700</v>
      </c>
      <c r="D10" s="82">
        <f>(2700-C10)</f>
        <v>0</v>
      </c>
      <c r="E10" s="85" t="s">
        <v>481</v>
      </c>
      <c r="F10" s="82">
        <v>0</v>
      </c>
    </row>
    <row r="11" spans="1:13">
      <c r="A11" s="85" t="s">
        <v>1242</v>
      </c>
      <c r="B11" s="81" t="s">
        <v>542</v>
      </c>
      <c r="C11" s="82">
        <f>1100+1000+500+150</f>
        <v>2750</v>
      </c>
      <c r="D11" s="82">
        <f>2750-C11</f>
        <v>0</v>
      </c>
      <c r="E11" s="85" t="s">
        <v>544</v>
      </c>
      <c r="F11" s="82"/>
      <c r="H11" s="37"/>
    </row>
    <row r="12" spans="1:13">
      <c r="A12" s="85" t="s">
        <v>386</v>
      </c>
      <c r="B12" s="81" t="s">
        <v>543</v>
      </c>
      <c r="C12" s="82">
        <f>750+500+500+500+500</f>
        <v>2750</v>
      </c>
      <c r="D12" s="82">
        <f>2750-C12</f>
        <v>0</v>
      </c>
      <c r="E12" s="85" t="s">
        <v>854</v>
      </c>
      <c r="F12" s="82"/>
      <c r="H12" s="37"/>
    </row>
    <row r="13" spans="1:13">
      <c r="A13" s="85"/>
      <c r="B13" s="81" t="s">
        <v>448</v>
      </c>
      <c r="C13" s="82">
        <f>555</f>
        <v>555</v>
      </c>
      <c r="D13" s="82">
        <v>2100</v>
      </c>
      <c r="E13" s="85" t="s">
        <v>447</v>
      </c>
      <c r="F13" s="85">
        <v>0</v>
      </c>
      <c r="H13" s="62"/>
      <c r="I13" s="62"/>
    </row>
    <row r="14" spans="1:13">
      <c r="A14" s="87" t="s">
        <v>1241</v>
      </c>
      <c r="B14" s="88" t="s">
        <v>541</v>
      </c>
      <c r="C14" s="89">
        <f>550+500+500+1000+100</f>
        <v>2650</v>
      </c>
      <c r="D14" s="89">
        <f>2650-C14</f>
        <v>0</v>
      </c>
      <c r="E14" s="89" t="s">
        <v>546</v>
      </c>
      <c r="F14" s="87"/>
      <c r="G14" s="80"/>
    </row>
    <row r="15" spans="1:13">
      <c r="A15" s="87" t="s">
        <v>822</v>
      </c>
      <c r="B15" s="88" t="s">
        <v>545</v>
      </c>
      <c r="C15" s="89">
        <f>550+500+1000+700</f>
        <v>2750</v>
      </c>
      <c r="D15" s="89">
        <f>2750-C15</f>
        <v>0</v>
      </c>
      <c r="E15" s="89" t="s">
        <v>386</v>
      </c>
      <c r="F15" s="89"/>
    </row>
    <row r="16" spans="1:13">
      <c r="A16" s="90"/>
      <c r="B16" s="90" t="s">
        <v>1253</v>
      </c>
      <c r="C16" s="89">
        <f>500+2200</f>
        <v>2700</v>
      </c>
      <c r="D16" s="89">
        <f>2700-C16</f>
        <v>0</v>
      </c>
      <c r="E16" s="90" t="s">
        <v>1197</v>
      </c>
      <c r="F16" s="90">
        <v>0</v>
      </c>
    </row>
    <row r="17" spans="1:13">
      <c r="A17" s="90"/>
      <c r="B17" s="90" t="s">
        <v>191</v>
      </c>
      <c r="C17" s="89">
        <f>500+2200</f>
        <v>2700</v>
      </c>
      <c r="D17" s="89">
        <f>2700-C17</f>
        <v>0</v>
      </c>
      <c r="E17" s="90" t="s">
        <v>1135</v>
      </c>
      <c r="F17" s="89"/>
    </row>
    <row r="18" spans="1:13">
      <c r="A18" s="91"/>
      <c r="B18" s="393"/>
      <c r="C18" s="394"/>
      <c r="D18" s="394"/>
      <c r="E18" s="394"/>
      <c r="F18" s="394"/>
    </row>
    <row r="19" spans="1:13">
      <c r="A19" s="91"/>
      <c r="B19" s="393"/>
      <c r="C19" s="394"/>
      <c r="D19" s="394"/>
      <c r="E19" s="394"/>
      <c r="F19" s="394"/>
    </row>
    <row r="20" spans="1:13">
      <c r="A20" s="92"/>
      <c r="B20" s="83"/>
      <c r="C20" s="84"/>
      <c r="D20" s="84"/>
      <c r="E20" s="91"/>
      <c r="F20" s="84"/>
      <c r="J20" s="70"/>
    </row>
    <row r="21" spans="1:13">
      <c r="A21" s="92"/>
      <c r="B21" s="83"/>
      <c r="C21" s="84"/>
      <c r="D21" s="84"/>
      <c r="E21" s="91"/>
      <c r="F21" s="84">
        <v>0</v>
      </c>
      <c r="M21" s="78"/>
    </row>
    <row r="22" spans="1:13">
      <c r="A22" s="91" t="s">
        <v>1221</v>
      </c>
      <c r="B22" s="83" t="s">
        <v>522</v>
      </c>
      <c r="C22" s="84">
        <f>400+500+1000+650</f>
        <v>2550</v>
      </c>
      <c r="D22" s="84">
        <f>2550-C22</f>
        <v>0</v>
      </c>
      <c r="E22" s="84" t="s">
        <v>1113</v>
      </c>
      <c r="F22" s="84">
        <v>0</v>
      </c>
    </row>
    <row r="23" spans="1:13">
      <c r="A23" s="91" t="s">
        <v>1221</v>
      </c>
      <c r="B23" s="83" t="s">
        <v>517</v>
      </c>
      <c r="C23" s="84">
        <f>400+1700+150</f>
        <v>2250</v>
      </c>
      <c r="D23" s="84">
        <f>2250-C23</f>
        <v>0</v>
      </c>
      <c r="E23" s="84" t="s">
        <v>516</v>
      </c>
      <c r="F23" s="84">
        <v>0</v>
      </c>
    </row>
    <row r="24" spans="1:13">
      <c r="A24" s="92" t="s">
        <v>1221</v>
      </c>
      <c r="B24" s="83" t="s">
        <v>580</v>
      </c>
      <c r="C24" s="84">
        <f>500+1000+1000+100</f>
        <v>2600</v>
      </c>
      <c r="D24" s="84">
        <f>2600-C24</f>
        <v>0</v>
      </c>
      <c r="E24" s="84" t="s">
        <v>579</v>
      </c>
      <c r="F24" s="84">
        <v>0</v>
      </c>
    </row>
    <row r="25" spans="1:13">
      <c r="A25" s="92" t="s">
        <v>211</v>
      </c>
      <c r="B25" s="235" t="s">
        <v>581</v>
      </c>
      <c r="C25" s="84">
        <f>500+1830+270</f>
        <v>2600</v>
      </c>
      <c r="D25" s="84">
        <f>2600-C25</f>
        <v>0</v>
      </c>
      <c r="E25" s="84" t="s">
        <v>386</v>
      </c>
      <c r="F25" s="84">
        <v>0</v>
      </c>
    </row>
    <row r="26" spans="1:13">
      <c r="A26" s="87"/>
      <c r="B26" s="88" t="s">
        <v>1106</v>
      </c>
      <c r="C26" s="89">
        <f>1000+1750</f>
        <v>2750</v>
      </c>
      <c r="D26" s="89">
        <f>2750-C26</f>
        <v>0</v>
      </c>
      <c r="E26" s="89" t="s">
        <v>632</v>
      </c>
      <c r="F26" s="87"/>
    </row>
    <row r="27" spans="1:13">
      <c r="A27" s="87"/>
      <c r="B27" s="88" t="s">
        <v>851</v>
      </c>
      <c r="C27" s="89">
        <f>500+2200</f>
        <v>2700</v>
      </c>
      <c r="D27" s="89">
        <f>2700-C27</f>
        <v>0</v>
      </c>
      <c r="E27" s="89" t="s">
        <v>852</v>
      </c>
      <c r="F27" s="89"/>
    </row>
    <row r="28" spans="1:13">
      <c r="A28" s="90"/>
      <c r="B28" s="88" t="s">
        <v>1243</v>
      </c>
      <c r="C28" s="89">
        <f>1000+1650</f>
        <v>2650</v>
      </c>
      <c r="D28" s="89">
        <f>2650-C28</f>
        <v>0</v>
      </c>
      <c r="E28" s="89" t="s">
        <v>1266</v>
      </c>
      <c r="F28" s="89"/>
    </row>
    <row r="29" spans="1:13">
      <c r="A29" s="90"/>
      <c r="B29" s="88"/>
      <c r="C29" s="89"/>
      <c r="D29" s="89"/>
      <c r="E29" s="89"/>
      <c r="F29" s="89">
        <v>1</v>
      </c>
      <c r="G29" s="115"/>
      <c r="H29" s="116"/>
      <c r="I29" s="116"/>
      <c r="J29" s="114"/>
      <c r="K29" s="116"/>
    </row>
    <row r="30" spans="1:13">
      <c r="A30" s="99"/>
      <c r="B30" s="390" t="s">
        <v>503</v>
      </c>
      <c r="C30" s="98">
        <f>625+2150</f>
        <v>2775</v>
      </c>
      <c r="D30" s="98">
        <f>2775-C30</f>
        <v>0</v>
      </c>
      <c r="E30" s="98" t="s">
        <v>1263</v>
      </c>
      <c r="F30" s="98" t="s">
        <v>1267</v>
      </c>
      <c r="G30" s="115" t="s">
        <v>1217</v>
      </c>
      <c r="H30" s="116">
        <v>2500</v>
      </c>
      <c r="I30" s="116">
        <f>2700-H30</f>
        <v>200</v>
      </c>
      <c r="J30" s="114"/>
      <c r="K30" s="116">
        <v>1</v>
      </c>
    </row>
    <row r="31" spans="1:13">
      <c r="A31" s="99"/>
      <c r="B31" s="390" t="s">
        <v>1265</v>
      </c>
      <c r="C31" s="98">
        <v>2000</v>
      </c>
      <c r="D31" s="98">
        <v>700</v>
      </c>
      <c r="E31" s="98" t="s">
        <v>1264</v>
      </c>
      <c r="F31" s="98"/>
      <c r="G31" s="115" t="s">
        <v>593</v>
      </c>
      <c r="H31" s="116">
        <v>500</v>
      </c>
      <c r="I31" s="116">
        <f>2722-H31</f>
        <v>2222</v>
      </c>
      <c r="J31" s="114" t="s">
        <v>594</v>
      </c>
      <c r="K31" s="116">
        <v>0</v>
      </c>
    </row>
    <row r="32" spans="1:13">
      <c r="A32" s="99"/>
      <c r="B32" s="390" t="s">
        <v>502</v>
      </c>
      <c r="C32" s="98">
        <f>(2500/4)+1000+1000+100+2175</f>
        <v>4900</v>
      </c>
      <c r="D32" s="98">
        <v>0</v>
      </c>
      <c r="E32" s="98" t="s">
        <v>506</v>
      </c>
      <c r="F32" s="98">
        <v>2200</v>
      </c>
      <c r="G32" s="78" t="s">
        <v>597</v>
      </c>
      <c r="H32" s="37">
        <f>250+1000</f>
        <v>1250</v>
      </c>
      <c r="I32" s="37">
        <f>2750-H32</f>
        <v>1500</v>
      </c>
      <c r="J32" s="264" t="s">
        <v>598</v>
      </c>
      <c r="K32" s="264">
        <v>0</v>
      </c>
    </row>
    <row r="33" spans="1:9">
      <c r="A33" s="99"/>
      <c r="B33" s="390" t="s">
        <v>415</v>
      </c>
      <c r="C33" s="98">
        <f>555+500+400+270+2995</f>
        <v>4720</v>
      </c>
      <c r="D33" s="98">
        <f>(2500+F33)-C33</f>
        <v>0</v>
      </c>
      <c r="E33" s="98" t="s">
        <v>416</v>
      </c>
      <c r="F33" s="98">
        <v>2220</v>
      </c>
      <c r="H33" s="37"/>
      <c r="I33" s="37"/>
    </row>
    <row r="34" spans="1:9">
      <c r="A34" s="405"/>
      <c r="B34" s="206" t="s">
        <v>0</v>
      </c>
      <c r="C34" s="208">
        <v>0</v>
      </c>
      <c r="D34" s="208">
        <v>0</v>
      </c>
      <c r="E34" s="405" t="s">
        <v>37</v>
      </c>
      <c r="F34" s="208">
        <v>1</v>
      </c>
      <c r="H34" s="37"/>
      <c r="I34" s="37"/>
    </row>
    <row r="35" spans="1:9">
      <c r="A35" s="405"/>
      <c r="B35" s="206" t="s">
        <v>1295</v>
      </c>
      <c r="C35" s="208">
        <v>0</v>
      </c>
      <c r="D35" s="208">
        <v>0</v>
      </c>
      <c r="E35" s="405" t="s">
        <v>1296</v>
      </c>
      <c r="F35" s="208">
        <v>0</v>
      </c>
      <c r="H35" s="37"/>
      <c r="I35" s="37"/>
    </row>
    <row r="36" spans="1:9">
      <c r="A36" s="405"/>
      <c r="B36" s="206"/>
      <c r="C36" s="208"/>
      <c r="D36" s="208"/>
      <c r="E36" s="382"/>
      <c r="F36" s="208"/>
      <c r="H36" s="37"/>
      <c r="I36" s="37"/>
    </row>
    <row r="37" spans="1:9">
      <c r="A37" s="405"/>
      <c r="B37" s="206"/>
      <c r="C37" s="208"/>
      <c r="D37" s="208"/>
      <c r="E37" s="382"/>
      <c r="F37" s="208"/>
      <c r="H37" s="37"/>
      <c r="I37" s="37"/>
    </row>
    <row r="38" spans="1:9">
      <c r="A38" s="434"/>
      <c r="B38" s="435" t="s">
        <v>585</v>
      </c>
      <c r="C38" s="436">
        <f>250+1000+1000+700</f>
        <v>2950</v>
      </c>
      <c r="D38" s="436">
        <f>2950-C38</f>
        <v>0</v>
      </c>
      <c r="E38" s="436" t="s">
        <v>596</v>
      </c>
      <c r="F38" s="440">
        <f>1000+1200</f>
        <v>2200</v>
      </c>
    </row>
    <row r="39" spans="1:9">
      <c r="A39" s="437"/>
      <c r="B39" s="435" t="s">
        <v>1262</v>
      </c>
      <c r="C39" s="436">
        <f>250+2700</f>
        <v>2950</v>
      </c>
      <c r="D39" s="436">
        <f>2950-C39</f>
        <v>0</v>
      </c>
      <c r="E39" s="436" t="s">
        <v>386</v>
      </c>
      <c r="F39" s="436">
        <v>0</v>
      </c>
      <c r="H39" s="37">
        <v>3350</v>
      </c>
      <c r="I39" s="37"/>
    </row>
    <row r="40" spans="1:9">
      <c r="A40" s="437"/>
      <c r="B40" s="435" t="s">
        <v>439</v>
      </c>
      <c r="C40" s="436">
        <v>2500</v>
      </c>
      <c r="D40" s="436">
        <f>(2500-C40)</f>
        <v>0</v>
      </c>
      <c r="E40" s="438" t="s">
        <v>429</v>
      </c>
      <c r="F40" s="436">
        <v>2220</v>
      </c>
      <c r="H40" s="37">
        <v>3350</v>
      </c>
      <c r="I40" s="37"/>
    </row>
    <row r="41" spans="1:9">
      <c r="A41" s="437"/>
      <c r="B41" s="435" t="s">
        <v>440</v>
      </c>
      <c r="C41" s="436">
        <v>2500</v>
      </c>
      <c r="D41" s="436">
        <f>(2500-C41)</f>
        <v>0</v>
      </c>
      <c r="E41" s="438" t="s">
        <v>578</v>
      </c>
      <c r="F41" s="436">
        <v>2220</v>
      </c>
      <c r="H41" s="37">
        <f>H40+H39</f>
        <v>6700</v>
      </c>
      <c r="I41" s="37"/>
    </row>
    <row r="42" spans="1:9">
      <c r="A42" s="86"/>
      <c r="B42" s="81" t="s">
        <v>566</v>
      </c>
      <c r="C42" s="82">
        <v>250</v>
      </c>
      <c r="D42" s="82">
        <f>3350-C42</f>
        <v>3100</v>
      </c>
      <c r="E42" s="82" t="s">
        <v>565</v>
      </c>
      <c r="F42" s="82">
        <v>0</v>
      </c>
      <c r="H42" s="37">
        <f>H41-500</f>
        <v>6200</v>
      </c>
    </row>
    <row r="43" spans="1:9">
      <c r="A43" s="86"/>
      <c r="B43" s="81" t="s">
        <v>566</v>
      </c>
      <c r="C43" s="82">
        <v>250</v>
      </c>
      <c r="D43" s="82">
        <f>(3350-470)-C43</f>
        <v>2630</v>
      </c>
      <c r="E43" s="86" t="s">
        <v>386</v>
      </c>
      <c r="F43" s="82">
        <v>0</v>
      </c>
      <c r="H43" s="37">
        <f>H42-500</f>
        <v>5700</v>
      </c>
      <c r="I43" s="62"/>
    </row>
    <row r="44" spans="1:9">
      <c r="B44" s="118"/>
      <c r="C44" s="77">
        <f>SUM(C2:C43)</f>
        <v>83960</v>
      </c>
      <c r="D44" s="77">
        <f>SUM(D2:D43)</f>
        <v>8730</v>
      </c>
      <c r="H44" s="70"/>
    </row>
    <row r="45" spans="1:9">
      <c r="B45" s="118"/>
      <c r="C45" s="632">
        <f>C44+D44</f>
        <v>92690</v>
      </c>
      <c r="D45" s="633"/>
      <c r="H45" s="62"/>
      <c r="I45" s="62"/>
    </row>
    <row r="47" spans="1:9">
      <c r="A47" s="628" t="s">
        <v>348</v>
      </c>
      <c r="B47" s="629"/>
      <c r="C47" s="630">
        <v>41271</v>
      </c>
      <c r="D47" s="631"/>
      <c r="E47" s="37"/>
      <c r="F47" s="264"/>
      <c r="H47" s="62"/>
      <c r="I47" s="62"/>
    </row>
    <row r="48" spans="1:9">
      <c r="A48" s="628" t="s">
        <v>262</v>
      </c>
      <c r="B48" s="629"/>
      <c r="C48" s="634">
        <v>22000</v>
      </c>
      <c r="D48" s="635"/>
      <c r="E48" s="37"/>
      <c r="F48" s="264"/>
      <c r="I48" s="62"/>
    </row>
    <row r="49" spans="1:9">
      <c r="A49" s="628" t="s">
        <v>355</v>
      </c>
      <c r="B49" s="629"/>
      <c r="C49" s="630">
        <v>3500</v>
      </c>
      <c r="D49" s="631"/>
      <c r="F49" s="264"/>
    </row>
    <row r="50" spans="1:9">
      <c r="A50" s="628" t="s">
        <v>7</v>
      </c>
      <c r="B50" s="629"/>
      <c r="C50" s="630">
        <f>C45-C47-C48-C49</f>
        <v>25919</v>
      </c>
      <c r="D50" s="631"/>
      <c r="E50" s="37"/>
      <c r="F50" s="264"/>
    </row>
    <row r="51" spans="1:9">
      <c r="D51" s="62"/>
      <c r="E51" s="62"/>
      <c r="F51" s="264"/>
      <c r="I51" s="62"/>
    </row>
    <row r="52" spans="1:9">
      <c r="F52" s="264"/>
    </row>
    <row r="53" spans="1:9">
      <c r="D53" s="62"/>
      <c r="F53" s="264"/>
    </row>
    <row r="54" spans="1:9">
      <c r="A54" s="37">
        <v>21000</v>
      </c>
      <c r="B54" s="264" t="s">
        <v>529</v>
      </c>
    </row>
    <row r="55" spans="1:9">
      <c r="A55" s="37">
        <v>22000</v>
      </c>
      <c r="B55" s="264" t="s">
        <v>530</v>
      </c>
      <c r="E55" s="62"/>
    </row>
    <row r="56" spans="1:9">
      <c r="B56" s="264" t="s">
        <v>1212</v>
      </c>
      <c r="F56" s="278"/>
    </row>
    <row r="57" spans="1:9">
      <c r="F57" s="279"/>
    </row>
    <row r="61" spans="1:9">
      <c r="E61" s="62"/>
    </row>
    <row r="62" spans="1:9">
      <c r="A62" s="62"/>
    </row>
    <row r="67" spans="1:4">
      <c r="B67" s="37"/>
      <c r="D67" s="62"/>
    </row>
    <row r="71" spans="1:4">
      <c r="A71" s="62"/>
    </row>
    <row r="76" spans="1:4">
      <c r="B76" s="62"/>
    </row>
  </sheetData>
  <mergeCells count="9">
    <mergeCell ref="A50:B50"/>
    <mergeCell ref="C50:D50"/>
    <mergeCell ref="C45:D45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6"/>
  <sheetViews>
    <sheetView topLeftCell="A25" workbookViewId="0">
      <selection activeCell="D39" sqref="D39:D41"/>
    </sheetView>
  </sheetViews>
  <sheetFormatPr baseColWidth="10" defaultRowHeight="12.75"/>
  <cols>
    <col min="1" max="1" width="3" style="2" bestFit="1" customWidth="1"/>
    <col min="2" max="2" width="30.7109375" style="2" bestFit="1" customWidth="1"/>
    <col min="3" max="4" width="11.42578125" style="2"/>
    <col min="5" max="5" width="19.5703125" style="2" bestFit="1" customWidth="1"/>
    <col min="6" max="6" width="3" style="2" bestFit="1" customWidth="1"/>
    <col min="7" max="7" width="22.28515625" style="2" bestFit="1" customWidth="1"/>
    <col min="8" max="9" width="10" style="2" bestFit="1" customWidth="1"/>
    <col min="10" max="10" width="15.28515625" style="2" bestFit="1" customWidth="1"/>
    <col min="11" max="16384" width="11.42578125" style="2"/>
  </cols>
  <sheetData>
    <row r="1" spans="1:11" ht="15">
      <c r="A1" s="9">
        <v>1</v>
      </c>
      <c r="B1" s="14" t="s">
        <v>0</v>
      </c>
      <c r="C1" s="15">
        <v>0</v>
      </c>
      <c r="D1" s="15">
        <v>0</v>
      </c>
      <c r="E1" s="24" t="s">
        <v>37</v>
      </c>
      <c r="F1" s="2">
        <v>1</v>
      </c>
    </row>
    <row r="2" spans="1:11" ht="15">
      <c r="A2" s="9">
        <v>2</v>
      </c>
      <c r="B2" s="14" t="s">
        <v>15</v>
      </c>
      <c r="C2" s="15">
        <v>0</v>
      </c>
      <c r="D2" s="15">
        <v>0</v>
      </c>
      <c r="E2" s="24" t="s">
        <v>41</v>
      </c>
    </row>
    <row r="3" spans="1:11" ht="15">
      <c r="A3" s="9">
        <v>3</v>
      </c>
      <c r="B3" s="9" t="s">
        <v>144</v>
      </c>
      <c r="C3" s="10">
        <v>555</v>
      </c>
      <c r="D3" s="38">
        <v>0</v>
      </c>
      <c r="E3" s="39" t="s">
        <v>145</v>
      </c>
    </row>
    <row r="4" spans="1:11" ht="15">
      <c r="A4" s="9">
        <v>4</v>
      </c>
      <c r="B4" s="9" t="s">
        <v>17</v>
      </c>
      <c r="C4" s="10">
        <v>255</v>
      </c>
      <c r="D4" s="10"/>
      <c r="E4" s="13" t="s">
        <v>31</v>
      </c>
    </row>
    <row r="5" spans="1:11" ht="15">
      <c r="A5" s="9">
        <v>5</v>
      </c>
      <c r="B5" s="9" t="s">
        <v>75</v>
      </c>
      <c r="C5" s="10">
        <v>250</v>
      </c>
      <c r="D5" s="10">
        <v>305</v>
      </c>
      <c r="E5" s="40" t="s">
        <v>76</v>
      </c>
      <c r="F5" s="27"/>
    </row>
    <row r="6" spans="1:11" ht="15">
      <c r="A6" s="9">
        <v>6</v>
      </c>
      <c r="B6" s="9" t="s">
        <v>183</v>
      </c>
      <c r="C6" s="10">
        <v>250</v>
      </c>
      <c r="D6" s="10">
        <v>305</v>
      </c>
      <c r="E6" s="13" t="s">
        <v>31</v>
      </c>
      <c r="F6" s="27"/>
    </row>
    <row r="7" spans="1:11" ht="15">
      <c r="A7" s="9">
        <v>7</v>
      </c>
      <c r="B7" s="9" t="s">
        <v>73</v>
      </c>
      <c r="C7" s="10">
        <v>250</v>
      </c>
      <c r="D7" s="10"/>
      <c r="E7" s="13" t="s">
        <v>72</v>
      </c>
      <c r="F7" s="27"/>
    </row>
    <row r="8" spans="1:11" ht="15">
      <c r="A8" s="9">
        <v>8</v>
      </c>
      <c r="B8" s="9" t="s">
        <v>74</v>
      </c>
      <c r="C8" s="10">
        <v>250</v>
      </c>
      <c r="D8" s="10"/>
      <c r="E8" s="13" t="s">
        <v>31</v>
      </c>
      <c r="F8" s="23"/>
    </row>
    <row r="9" spans="1:11" ht="15">
      <c r="A9" s="9">
        <v>9</v>
      </c>
      <c r="B9" s="9" t="s">
        <v>139</v>
      </c>
      <c r="C9" s="49">
        <v>280</v>
      </c>
      <c r="D9" s="49">
        <v>0</v>
      </c>
      <c r="E9" s="48" t="s">
        <v>141</v>
      </c>
    </row>
    <row r="10" spans="1:11" ht="15">
      <c r="A10" s="9">
        <v>10</v>
      </c>
      <c r="B10" s="9" t="s">
        <v>178</v>
      </c>
      <c r="C10" s="10">
        <v>255</v>
      </c>
      <c r="D10" s="10">
        <v>300</v>
      </c>
      <c r="E10" s="39" t="s">
        <v>62</v>
      </c>
      <c r="H10" s="53"/>
    </row>
    <row r="11" spans="1:11" ht="15">
      <c r="A11" s="9">
        <v>11</v>
      </c>
      <c r="B11" s="9" t="s">
        <v>58</v>
      </c>
      <c r="C11" s="10">
        <v>255</v>
      </c>
      <c r="D11" s="10">
        <v>300</v>
      </c>
      <c r="E11" s="39" t="s">
        <v>59</v>
      </c>
    </row>
    <row r="12" spans="1:11" ht="15">
      <c r="A12" s="9">
        <v>12</v>
      </c>
      <c r="B12" s="9" t="s">
        <v>55</v>
      </c>
      <c r="C12" s="10">
        <v>255</v>
      </c>
      <c r="D12" s="10">
        <v>300</v>
      </c>
      <c r="E12" s="26" t="s">
        <v>184</v>
      </c>
    </row>
    <row r="13" spans="1:11" ht="15">
      <c r="A13" s="9">
        <v>13</v>
      </c>
      <c r="B13" s="9" t="s">
        <v>179</v>
      </c>
      <c r="C13" s="10">
        <v>255</v>
      </c>
      <c r="D13" s="10"/>
      <c r="E13" s="39" t="s">
        <v>54</v>
      </c>
      <c r="H13" s="53"/>
      <c r="I13" s="2">
        <v>13</v>
      </c>
      <c r="J13" s="2">
        <v>450</v>
      </c>
      <c r="K13" s="2">
        <f>J13*I13</f>
        <v>5850</v>
      </c>
    </row>
    <row r="14" spans="1:11" ht="15">
      <c r="A14" s="9">
        <v>14</v>
      </c>
      <c r="B14" s="11" t="s">
        <v>53</v>
      </c>
      <c r="C14" s="12">
        <v>255</v>
      </c>
      <c r="D14" s="12">
        <f>755-C14</f>
        <v>500</v>
      </c>
      <c r="E14" s="26" t="s">
        <v>31</v>
      </c>
      <c r="F14" s="2">
        <v>2</v>
      </c>
      <c r="I14" s="2">
        <v>73</v>
      </c>
      <c r="J14" s="2">
        <v>270</v>
      </c>
      <c r="K14" s="2">
        <f>J14*I14</f>
        <v>19710</v>
      </c>
    </row>
    <row r="15" spans="1:11" ht="15">
      <c r="A15" s="9">
        <v>15</v>
      </c>
      <c r="B15" s="11" t="s">
        <v>52</v>
      </c>
      <c r="C15" s="12">
        <v>255</v>
      </c>
      <c r="D15" s="12">
        <f>755-C15</f>
        <v>500</v>
      </c>
      <c r="E15" s="26" t="s">
        <v>31</v>
      </c>
      <c r="F15" s="2">
        <v>3</v>
      </c>
      <c r="I15" s="2">
        <f>I14+I13</f>
        <v>86</v>
      </c>
      <c r="J15" s="2" t="s">
        <v>201</v>
      </c>
      <c r="K15" s="2">
        <f>K14+K13</f>
        <v>25560</v>
      </c>
    </row>
    <row r="16" spans="1:11" ht="15">
      <c r="A16" s="9">
        <v>16</v>
      </c>
      <c r="B16" s="11" t="s">
        <v>51</v>
      </c>
      <c r="C16" s="12">
        <v>270</v>
      </c>
      <c r="D16" s="12">
        <f>755-C16</f>
        <v>485</v>
      </c>
      <c r="E16" s="26" t="s">
        <v>31</v>
      </c>
      <c r="F16" s="2">
        <v>4</v>
      </c>
    </row>
    <row r="17" spans="1:12" ht="15">
      <c r="A17" s="9">
        <v>17</v>
      </c>
      <c r="B17" s="9" t="s">
        <v>49</v>
      </c>
      <c r="C17" s="10">
        <v>555</v>
      </c>
      <c r="D17" s="10">
        <v>0</v>
      </c>
      <c r="E17" s="26" t="s">
        <v>185</v>
      </c>
      <c r="H17" s="22"/>
    </row>
    <row r="18" spans="1:12" ht="15">
      <c r="A18" s="9">
        <v>18</v>
      </c>
      <c r="B18" s="9" t="s">
        <v>47</v>
      </c>
      <c r="C18" s="10">
        <v>555</v>
      </c>
      <c r="D18" s="10">
        <v>0</v>
      </c>
      <c r="E18" s="39" t="s">
        <v>48</v>
      </c>
    </row>
    <row r="19" spans="1:12" ht="15">
      <c r="A19" s="9">
        <v>19</v>
      </c>
      <c r="B19" s="9" t="s">
        <v>45</v>
      </c>
      <c r="C19" s="10">
        <v>250</v>
      </c>
      <c r="D19" s="10">
        <f>400-C19</f>
        <v>150</v>
      </c>
      <c r="E19" s="39" t="s">
        <v>46</v>
      </c>
      <c r="L19" s="3"/>
    </row>
    <row r="20" spans="1:12" ht="15">
      <c r="A20" s="9">
        <v>20</v>
      </c>
      <c r="B20" s="9" t="s">
        <v>69</v>
      </c>
      <c r="C20" s="38">
        <v>255</v>
      </c>
      <c r="D20" s="38">
        <v>300</v>
      </c>
      <c r="E20" s="39" t="s">
        <v>68</v>
      </c>
      <c r="L20" s="3"/>
    </row>
    <row r="21" spans="1:12" ht="15">
      <c r="A21" s="9">
        <v>21</v>
      </c>
      <c r="B21" s="9" t="s">
        <v>42</v>
      </c>
      <c r="C21" s="10">
        <v>255</v>
      </c>
      <c r="D21" s="10">
        <v>300</v>
      </c>
      <c r="E21" s="26" t="s">
        <v>186</v>
      </c>
    </row>
    <row r="22" spans="1:12" ht="15">
      <c r="A22" s="9">
        <v>22</v>
      </c>
      <c r="B22" s="9" t="s">
        <v>29</v>
      </c>
      <c r="C22" s="10">
        <v>255</v>
      </c>
      <c r="D22" s="10"/>
      <c r="E22" s="21" t="s">
        <v>39</v>
      </c>
    </row>
    <row r="23" spans="1:12" ht="15">
      <c r="A23" s="9">
        <v>23</v>
      </c>
      <c r="B23" s="9" t="s">
        <v>28</v>
      </c>
      <c r="C23" s="10">
        <v>400</v>
      </c>
      <c r="D23" s="10">
        <f>755-C23</f>
        <v>355</v>
      </c>
      <c r="E23" s="21" t="s">
        <v>38</v>
      </c>
      <c r="F23" s="2">
        <v>5</v>
      </c>
    </row>
    <row r="24" spans="1:12" ht="15">
      <c r="A24" s="9">
        <v>24</v>
      </c>
      <c r="B24" s="11" t="s">
        <v>27</v>
      </c>
      <c r="C24" s="12">
        <v>400</v>
      </c>
      <c r="D24" s="12">
        <f>555-C24</f>
        <v>155</v>
      </c>
      <c r="E24" s="13" t="s">
        <v>31</v>
      </c>
      <c r="F24" s="2">
        <v>6</v>
      </c>
    </row>
    <row r="25" spans="1:12" ht="15">
      <c r="A25" s="9">
        <v>25</v>
      </c>
      <c r="B25" s="9" t="s">
        <v>26</v>
      </c>
      <c r="C25" s="10">
        <v>255</v>
      </c>
      <c r="D25" s="10">
        <v>300</v>
      </c>
      <c r="E25" s="21" t="s">
        <v>36</v>
      </c>
    </row>
    <row r="26" spans="1:12" ht="15">
      <c r="A26" s="9">
        <v>26</v>
      </c>
      <c r="B26" s="9" t="s">
        <v>25</v>
      </c>
      <c r="C26" s="10">
        <v>555</v>
      </c>
      <c r="D26" s="10">
        <v>0</v>
      </c>
      <c r="E26" s="21" t="s">
        <v>35</v>
      </c>
    </row>
    <row r="27" spans="1:12" ht="15">
      <c r="A27" s="9">
        <v>27</v>
      </c>
      <c r="B27" s="9" t="s">
        <v>23</v>
      </c>
      <c r="C27" s="10">
        <v>300</v>
      </c>
      <c r="D27" s="10">
        <v>255</v>
      </c>
      <c r="E27" s="21" t="s">
        <v>34</v>
      </c>
    </row>
    <row r="28" spans="1:12" ht="15">
      <c r="A28" s="9">
        <v>28</v>
      </c>
      <c r="B28" s="11" t="s">
        <v>22</v>
      </c>
      <c r="C28" s="12">
        <f>400+350</f>
        <v>750</v>
      </c>
      <c r="D28" s="12">
        <f>755-C28</f>
        <v>5</v>
      </c>
      <c r="E28" s="21" t="s">
        <v>33</v>
      </c>
      <c r="F28" s="2">
        <v>7</v>
      </c>
    </row>
    <row r="29" spans="1:12" ht="15">
      <c r="A29" s="9">
        <v>29</v>
      </c>
      <c r="B29" s="9" t="s">
        <v>21</v>
      </c>
      <c r="C29" s="10">
        <v>255</v>
      </c>
      <c r="D29" s="10">
        <v>500</v>
      </c>
      <c r="E29" s="21" t="s">
        <v>32</v>
      </c>
      <c r="F29" s="59" t="s">
        <v>187</v>
      </c>
    </row>
    <row r="30" spans="1:12" ht="15">
      <c r="A30" s="9">
        <v>30</v>
      </c>
      <c r="B30" s="11" t="s">
        <v>18</v>
      </c>
      <c r="C30" s="12">
        <v>355</v>
      </c>
      <c r="D30" s="12">
        <f>755-C30</f>
        <v>400</v>
      </c>
      <c r="E30" s="21" t="s">
        <v>30</v>
      </c>
      <c r="F30" s="2">
        <v>8</v>
      </c>
    </row>
    <row r="31" spans="1:12" ht="15">
      <c r="A31" s="9">
        <v>31</v>
      </c>
      <c r="B31" s="9" t="s">
        <v>19</v>
      </c>
      <c r="C31" s="10">
        <v>255</v>
      </c>
      <c r="D31" s="10">
        <f>555-C31</f>
        <v>300</v>
      </c>
      <c r="E31" s="13" t="s">
        <v>31</v>
      </c>
    </row>
    <row r="32" spans="1:12" ht="15">
      <c r="A32" s="9">
        <v>32</v>
      </c>
      <c r="B32" s="9" t="s">
        <v>20</v>
      </c>
      <c r="C32" s="10">
        <v>255</v>
      </c>
      <c r="D32" s="10">
        <v>300</v>
      </c>
      <c r="E32" s="13" t="s">
        <v>31</v>
      </c>
    </row>
    <row r="33" spans="1:9" ht="15">
      <c r="A33" s="9">
        <v>33</v>
      </c>
      <c r="B33" s="11" t="s">
        <v>84</v>
      </c>
      <c r="C33" s="12">
        <v>250</v>
      </c>
      <c r="D33" s="12"/>
      <c r="E33" s="39" t="s">
        <v>83</v>
      </c>
      <c r="F33" s="2">
        <v>9</v>
      </c>
    </row>
    <row r="34" spans="1:9" ht="15">
      <c r="A34" s="9">
        <v>34</v>
      </c>
      <c r="B34" s="11" t="s">
        <v>50</v>
      </c>
      <c r="C34" s="12">
        <v>250</v>
      </c>
      <c r="D34" s="12"/>
      <c r="E34" s="26" t="s">
        <v>31</v>
      </c>
      <c r="F34" s="2">
        <v>10</v>
      </c>
    </row>
    <row r="35" spans="1:9" ht="15">
      <c r="A35" s="9">
        <v>35</v>
      </c>
      <c r="B35" s="9" t="s">
        <v>90</v>
      </c>
      <c r="C35" s="41">
        <v>255</v>
      </c>
      <c r="D35" s="41">
        <v>300</v>
      </c>
      <c r="E35" s="13" t="s">
        <v>31</v>
      </c>
    </row>
    <row r="36" spans="1:9" ht="15">
      <c r="A36" s="11">
        <v>36</v>
      </c>
      <c r="B36" s="9" t="s">
        <v>147</v>
      </c>
      <c r="C36" s="10">
        <v>755</v>
      </c>
      <c r="D36" s="10">
        <v>0</v>
      </c>
      <c r="E36" s="40" t="s">
        <v>138</v>
      </c>
      <c r="F36" s="2">
        <v>11</v>
      </c>
    </row>
    <row r="37" spans="1:9" ht="15">
      <c r="A37" s="9">
        <v>37</v>
      </c>
      <c r="B37" s="9" t="s">
        <v>148</v>
      </c>
      <c r="C37" s="10">
        <v>0</v>
      </c>
      <c r="D37" s="38">
        <v>555</v>
      </c>
      <c r="E37" s="40" t="s">
        <v>138</v>
      </c>
      <c r="G37" s="2" t="s">
        <v>188</v>
      </c>
    </row>
    <row r="38" spans="1:9" ht="15">
      <c r="A38" s="9">
        <v>38</v>
      </c>
      <c r="B38" s="9" t="s">
        <v>100</v>
      </c>
      <c r="C38" s="41">
        <v>555</v>
      </c>
      <c r="D38" s="41">
        <v>0</v>
      </c>
      <c r="E38" s="13" t="s">
        <v>31</v>
      </c>
    </row>
    <row r="39" spans="1:9" ht="15">
      <c r="A39" s="9">
        <v>39</v>
      </c>
      <c r="B39" s="9" t="s">
        <v>95</v>
      </c>
      <c r="C39" s="41">
        <f>739/3</f>
        <v>246.33333333333334</v>
      </c>
      <c r="D39" s="41"/>
      <c r="E39" s="40" t="s">
        <v>92</v>
      </c>
    </row>
    <row r="40" spans="1:9" ht="15">
      <c r="A40" s="9">
        <v>40</v>
      </c>
      <c r="B40" s="9" t="s">
        <v>93</v>
      </c>
      <c r="C40" s="41">
        <f>739/3</f>
        <v>246.33333333333334</v>
      </c>
      <c r="D40" s="41"/>
      <c r="E40" s="13" t="s">
        <v>31</v>
      </c>
    </row>
    <row r="41" spans="1:9" ht="15">
      <c r="A41" s="9">
        <v>41</v>
      </c>
      <c r="B41" s="9" t="s">
        <v>94</v>
      </c>
      <c r="C41" s="41">
        <f>739/3</f>
        <v>246.33333333333334</v>
      </c>
      <c r="D41" s="41"/>
      <c r="E41" s="13" t="s">
        <v>31</v>
      </c>
    </row>
    <row r="42" spans="1:9" ht="15">
      <c r="A42" s="9">
        <v>42</v>
      </c>
      <c r="B42" s="1" t="s">
        <v>142</v>
      </c>
      <c r="C42" s="41">
        <v>755</v>
      </c>
      <c r="D42" s="41">
        <v>0</v>
      </c>
      <c r="E42" s="40" t="s">
        <v>149</v>
      </c>
      <c r="F42" s="2">
        <v>12</v>
      </c>
    </row>
    <row r="43" spans="1:9" ht="15">
      <c r="A43" s="9">
        <v>43</v>
      </c>
      <c r="B43" s="1" t="s">
        <v>146</v>
      </c>
      <c r="C43" s="41">
        <v>255</v>
      </c>
      <c r="D43" s="41">
        <v>300</v>
      </c>
      <c r="E43" s="40" t="s">
        <v>150</v>
      </c>
    </row>
    <row r="44" spans="1:9" ht="15">
      <c r="A44" s="9">
        <v>44</v>
      </c>
      <c r="B44" s="1" t="s">
        <v>190</v>
      </c>
      <c r="C44" s="41">
        <v>255</v>
      </c>
      <c r="D44" s="10">
        <v>300</v>
      </c>
      <c r="E44" s="40" t="s">
        <v>129</v>
      </c>
    </row>
    <row r="45" spans="1:9" ht="15">
      <c r="A45" s="9">
        <v>45</v>
      </c>
      <c r="B45" s="1" t="s">
        <v>189</v>
      </c>
      <c r="C45" s="41">
        <v>355</v>
      </c>
      <c r="D45" s="10">
        <v>400</v>
      </c>
      <c r="E45" s="13" t="s">
        <v>31</v>
      </c>
      <c r="F45" s="2">
        <v>13</v>
      </c>
    </row>
    <row r="46" spans="1:9" ht="15">
      <c r="A46" s="9">
        <v>46</v>
      </c>
      <c r="B46" s="54" t="s">
        <v>110</v>
      </c>
      <c r="C46" s="55">
        <v>755</v>
      </c>
      <c r="D46" s="55">
        <v>0</v>
      </c>
      <c r="E46" s="40" t="s">
        <v>111</v>
      </c>
      <c r="F46" s="2">
        <v>14</v>
      </c>
    </row>
    <row r="47" spans="1:9">
      <c r="C47" s="4">
        <f>SUM(C1:C46)</f>
        <v>14974.000000000002</v>
      </c>
      <c r="D47" s="4">
        <f>SUM(D1:D46)</f>
        <v>8170</v>
      </c>
    </row>
    <row r="48" spans="1:9">
      <c r="C48" s="50">
        <f>C47-D57</f>
        <v>13006.000000000002</v>
      </c>
      <c r="D48" s="5"/>
      <c r="G48" s="29"/>
      <c r="H48" s="29"/>
      <c r="I48" s="29"/>
    </row>
    <row r="49" spans="2:10">
      <c r="G49" s="29"/>
      <c r="H49" s="29"/>
      <c r="I49" s="29"/>
    </row>
    <row r="50" spans="2:10">
      <c r="B50" s="16" t="s">
        <v>1</v>
      </c>
      <c r="C50" s="18">
        <v>1</v>
      </c>
      <c r="D50" s="7">
        <v>5700</v>
      </c>
      <c r="E50" s="6"/>
      <c r="G50" s="30"/>
      <c r="H50" s="31"/>
      <c r="I50" s="32"/>
    </row>
    <row r="51" spans="2:10">
      <c r="B51" s="16" t="s">
        <v>2</v>
      </c>
      <c r="C51" s="20">
        <f>C53-C52</f>
        <v>34</v>
      </c>
      <c r="D51" s="7">
        <f>270*C51</f>
        <v>9180</v>
      </c>
      <c r="E51" s="51"/>
      <c r="G51" s="30"/>
      <c r="H51" s="33"/>
      <c r="I51" s="32"/>
    </row>
    <row r="52" spans="2:10">
      <c r="B52" s="16" t="s">
        <v>3</v>
      </c>
      <c r="C52" s="20">
        <v>12</v>
      </c>
      <c r="D52" s="7">
        <f>450*C52</f>
        <v>5400</v>
      </c>
      <c r="E52" s="52"/>
      <c r="F52" s="6"/>
      <c r="G52" s="30"/>
      <c r="H52" s="33"/>
      <c r="I52" s="32"/>
    </row>
    <row r="53" spans="2:10">
      <c r="B53" s="16" t="s">
        <v>4</v>
      </c>
      <c r="C53" s="18">
        <v>46</v>
      </c>
      <c r="D53" s="7">
        <f>D52+D51</f>
        <v>14580</v>
      </c>
      <c r="E53" s="52"/>
      <c r="G53" s="42"/>
      <c r="H53" s="42"/>
      <c r="I53" s="42"/>
      <c r="J53" s="42"/>
    </row>
    <row r="54" spans="2:10">
      <c r="B54" s="17" t="s">
        <v>9</v>
      </c>
      <c r="C54" s="19" t="s">
        <v>40</v>
      </c>
      <c r="D54" s="7">
        <f>20+25+80+135+136+500</f>
        <v>896</v>
      </c>
      <c r="E54" s="52"/>
      <c r="G54" s="42"/>
      <c r="H54" s="42"/>
      <c r="I54" s="42"/>
      <c r="J54" s="42"/>
    </row>
    <row r="55" spans="2:10">
      <c r="B55" s="612" t="s">
        <v>5</v>
      </c>
      <c r="C55" s="613"/>
      <c r="D55" s="7">
        <f>D53+D50+D54</f>
        <v>21176</v>
      </c>
      <c r="E55" s="51"/>
      <c r="F55" s="6"/>
      <c r="G55" s="42"/>
      <c r="H55" s="42"/>
      <c r="I55" s="42"/>
      <c r="J55" s="42"/>
    </row>
    <row r="56" spans="2:10">
      <c r="B56" s="612" t="s">
        <v>6</v>
      </c>
      <c r="C56" s="613"/>
      <c r="D56" s="7">
        <f>D47+C47</f>
        <v>23144</v>
      </c>
      <c r="F56" s="6"/>
      <c r="G56" s="42"/>
      <c r="H56" s="42"/>
      <c r="I56" s="42"/>
      <c r="J56" s="42"/>
    </row>
    <row r="57" spans="2:10">
      <c r="B57" s="612" t="s">
        <v>7</v>
      </c>
      <c r="C57" s="613"/>
      <c r="D57" s="61">
        <f>D56-D55</f>
        <v>1968</v>
      </c>
      <c r="E57" s="36"/>
      <c r="F57" s="6"/>
      <c r="G57" s="42"/>
      <c r="H57" s="42"/>
      <c r="I57" s="42"/>
      <c r="J57" s="42"/>
    </row>
    <row r="58" spans="2:10">
      <c r="D58" s="6">
        <f>D57+'16Sep2'!D72</f>
        <v>12593</v>
      </c>
      <c r="G58" s="42"/>
      <c r="H58" s="42"/>
      <c r="I58" s="42"/>
      <c r="J58" s="42"/>
    </row>
    <row r="59" spans="2:10">
      <c r="D59" s="6"/>
      <c r="E59" s="6"/>
      <c r="G59" s="42"/>
      <c r="H59" s="42"/>
      <c r="I59" s="42"/>
      <c r="J59" s="42"/>
    </row>
    <row r="60" spans="2:10">
      <c r="G60" s="42"/>
      <c r="H60" s="42"/>
      <c r="I60" s="42"/>
      <c r="J60" s="42"/>
    </row>
    <row r="61" spans="2:10">
      <c r="G61" s="42"/>
      <c r="H61" s="42"/>
      <c r="I61" s="42"/>
      <c r="J61" s="42"/>
    </row>
    <row r="62" spans="2:10">
      <c r="C62" s="6"/>
      <c r="G62" s="42"/>
      <c r="H62" s="42"/>
      <c r="I62" s="42"/>
      <c r="J62" s="42"/>
    </row>
    <row r="63" spans="2:10">
      <c r="C63" s="6"/>
    </row>
    <row r="64" spans="2:10">
      <c r="C64" s="6"/>
    </row>
    <row r="65" spans="3:3">
      <c r="C65" s="6"/>
    </row>
    <row r="66" spans="3:3">
      <c r="C66" s="6"/>
    </row>
  </sheetData>
  <mergeCells count="3">
    <mergeCell ref="B55:C55"/>
    <mergeCell ref="B56:C56"/>
    <mergeCell ref="B57:C57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94"/>
  <sheetViews>
    <sheetView topLeftCell="A37" workbookViewId="0">
      <selection activeCell="F4" sqref="F4"/>
    </sheetView>
  </sheetViews>
  <sheetFormatPr baseColWidth="10" defaultRowHeight="15"/>
  <cols>
    <col min="1" max="1" width="14.140625" style="264" bestFit="1" customWidth="1"/>
    <col min="2" max="2" width="28.7109375" style="264" bestFit="1" customWidth="1"/>
    <col min="3" max="3" width="12.5703125" style="264" bestFit="1" customWidth="1"/>
    <col min="4" max="4" width="11.5703125" style="264" bestFit="1" customWidth="1"/>
    <col min="5" max="5" width="17.42578125" style="264" bestFit="1" customWidth="1"/>
    <col min="6" max="6" width="17.42578125" style="37" customWidth="1"/>
    <col min="7" max="7" width="12.7109375" style="264" bestFit="1" customWidth="1"/>
    <col min="8" max="8" width="15.5703125" style="264" bestFit="1" customWidth="1"/>
    <col min="9" max="9" width="16.140625" style="264" bestFit="1" customWidth="1"/>
    <col min="10" max="10" width="11.5703125" style="264" bestFit="1" customWidth="1"/>
    <col min="11" max="16384" width="11.42578125" style="264"/>
  </cols>
  <sheetData>
    <row r="1" spans="1:11">
      <c r="A1" s="122" t="s">
        <v>358</v>
      </c>
      <c r="B1" s="123" t="s">
        <v>357</v>
      </c>
      <c r="C1" s="123" t="s">
        <v>8</v>
      </c>
      <c r="D1" s="124" t="s">
        <v>350</v>
      </c>
      <c r="E1" s="125" t="s">
        <v>356</v>
      </c>
      <c r="F1" s="183" t="s">
        <v>539</v>
      </c>
      <c r="G1" s="183" t="s">
        <v>8</v>
      </c>
    </row>
    <row r="2" spans="1:11">
      <c r="A2" s="203" t="s">
        <v>740</v>
      </c>
      <c r="B2" s="184">
        <v>8</v>
      </c>
      <c r="C2" s="172">
        <v>24245</v>
      </c>
      <c r="D2" s="204">
        <f>C2/8</f>
        <v>3030.625</v>
      </c>
      <c r="E2" s="213">
        <f>D2+A14</f>
        <v>3899.0460526315792</v>
      </c>
      <c r="F2" s="172">
        <f>4500-E2</f>
        <v>600.95394736842081</v>
      </c>
      <c r="G2" s="172">
        <f>F2*8</f>
        <v>4807.6315789473665</v>
      </c>
      <c r="J2" s="62"/>
    </row>
    <row r="3" spans="1:11">
      <c r="A3" s="203" t="s">
        <v>740</v>
      </c>
      <c r="B3" s="81">
        <v>8</v>
      </c>
      <c r="C3" s="82">
        <v>24245</v>
      </c>
      <c r="D3" s="202">
        <f>C3/8</f>
        <v>3030.625</v>
      </c>
      <c r="E3" s="214">
        <f>A14+D3</f>
        <v>3899.0460526315792</v>
      </c>
      <c r="F3" s="82">
        <f>4500-E3</f>
        <v>600.95394736842081</v>
      </c>
      <c r="G3" s="82">
        <f>F3*8</f>
        <v>4807.6315789473665</v>
      </c>
      <c r="I3" s="264" t="s">
        <v>573</v>
      </c>
      <c r="J3" s="37"/>
    </row>
    <row r="4" spans="1:11">
      <c r="A4" s="203" t="s">
        <v>740</v>
      </c>
      <c r="B4" s="81">
        <v>8</v>
      </c>
      <c r="C4" s="82">
        <v>24245</v>
      </c>
      <c r="D4" s="204">
        <f>C4/8</f>
        <v>3030.625</v>
      </c>
      <c r="E4" s="213">
        <f>D4+A14</f>
        <v>3899.0460526315792</v>
      </c>
      <c r="F4" s="172">
        <f>4500-E4</f>
        <v>600.95394736842081</v>
      </c>
      <c r="G4" s="172">
        <f>F4*8</f>
        <v>4807.6315789473665</v>
      </c>
      <c r="I4" s="264">
        <f>333*3</f>
        <v>999</v>
      </c>
      <c r="J4" s="37" t="s">
        <v>574</v>
      </c>
    </row>
    <row r="5" spans="1:11">
      <c r="A5" s="203" t="s">
        <v>740</v>
      </c>
      <c r="B5" s="81">
        <v>8</v>
      </c>
      <c r="C5" s="82">
        <v>24245</v>
      </c>
      <c r="D5" s="202">
        <f>C5/8</f>
        <v>3030.625</v>
      </c>
      <c r="E5" s="213">
        <f>D5+A14</f>
        <v>3899.0460526315792</v>
      </c>
      <c r="F5" s="82">
        <f>4500-E5</f>
        <v>600.95394736842081</v>
      </c>
      <c r="G5" s="82">
        <f>F5*8</f>
        <v>4807.6315789473665</v>
      </c>
      <c r="I5" s="62">
        <f>I4+A14</f>
        <v>1867.421052631579</v>
      </c>
    </row>
    <row r="6" spans="1:11">
      <c r="A6" s="203" t="s">
        <v>740</v>
      </c>
      <c r="B6" s="81">
        <v>8</v>
      </c>
      <c r="C6" s="82">
        <v>24245</v>
      </c>
      <c r="D6" s="202">
        <f>C6/8</f>
        <v>3030.625</v>
      </c>
      <c r="E6" s="213">
        <f>D6+A15</f>
        <v>3030.625</v>
      </c>
      <c r="F6" s="82">
        <v>679.9</v>
      </c>
      <c r="G6" s="82">
        <f>F6*8</f>
        <v>5439.2</v>
      </c>
    </row>
    <row r="7" spans="1:11" ht="15.75" thickBot="1">
      <c r="A7" s="193"/>
      <c r="B7" s="81"/>
      <c r="C7" s="199"/>
      <c r="D7" s="200"/>
      <c r="E7" s="200"/>
      <c r="F7" s="82"/>
      <c r="G7" s="82"/>
    </row>
    <row r="8" spans="1:11">
      <c r="A8" s="81"/>
      <c r="B8" s="81"/>
      <c r="C8" s="82"/>
      <c r="D8" s="205"/>
      <c r="E8" s="205"/>
      <c r="F8" s="82"/>
      <c r="G8" s="82"/>
      <c r="H8" s="136"/>
      <c r="I8" s="185" t="s">
        <v>555</v>
      </c>
      <c r="J8" s="185"/>
      <c r="K8" s="186"/>
    </row>
    <row r="9" spans="1:11">
      <c r="A9" s="81"/>
      <c r="B9" s="81"/>
      <c r="C9" s="82"/>
      <c r="D9" s="205"/>
      <c r="E9" s="205"/>
      <c r="F9" s="82"/>
      <c r="G9" s="82"/>
      <c r="H9" s="137"/>
      <c r="I9" s="178"/>
      <c r="J9" s="178"/>
      <c r="K9" s="187"/>
    </row>
    <row r="10" spans="1:11">
      <c r="A10" s="81"/>
      <c r="B10" s="81"/>
      <c r="C10" s="82"/>
      <c r="D10" s="205"/>
      <c r="E10" s="205"/>
      <c r="F10" s="82"/>
      <c r="G10" s="82"/>
      <c r="H10" s="137"/>
      <c r="I10" s="178"/>
      <c r="J10" s="178"/>
      <c r="K10" s="187"/>
    </row>
    <row r="11" spans="1:11">
      <c r="A11" s="206" t="s">
        <v>743</v>
      </c>
      <c r="B11" s="206" t="s">
        <v>741</v>
      </c>
      <c r="C11" s="207">
        <f>SUM(C2:C10)</f>
        <v>121225</v>
      </c>
      <c r="D11" s="206"/>
      <c r="E11" s="206"/>
      <c r="F11" s="206"/>
      <c r="G11" s="208">
        <f>SUM(G2:G10)</f>
        <v>24669.726315789467</v>
      </c>
      <c r="H11" s="137"/>
      <c r="I11" s="178" t="s">
        <v>553</v>
      </c>
      <c r="J11" s="178">
        <f>8*4</f>
        <v>32</v>
      </c>
      <c r="K11" s="187" t="s">
        <v>554</v>
      </c>
    </row>
    <row r="12" spans="1:11" ht="15.75" thickBot="1">
      <c r="A12" s="101"/>
      <c r="B12" s="101"/>
      <c r="C12" s="102"/>
      <c r="D12" s="101"/>
      <c r="E12" s="78"/>
      <c r="F12" s="147"/>
      <c r="G12" s="79"/>
      <c r="H12" s="137"/>
      <c r="I12" s="178" t="s">
        <v>558</v>
      </c>
      <c r="J12" s="178" t="s">
        <v>557</v>
      </c>
      <c r="K12" s="187"/>
    </row>
    <row r="13" spans="1:11" s="78" customFormat="1">
      <c r="A13" s="103">
        <v>33000</v>
      </c>
      <c r="B13" s="104" t="s">
        <v>1</v>
      </c>
      <c r="C13" s="80"/>
      <c r="E13" s="80"/>
      <c r="F13" s="147"/>
      <c r="G13" s="79"/>
      <c r="H13" s="188" t="s">
        <v>549</v>
      </c>
      <c r="I13" s="101">
        <v>2923</v>
      </c>
      <c r="J13" s="101">
        <v>1796</v>
      </c>
      <c r="K13" s="189"/>
    </row>
    <row r="14" spans="1:11">
      <c r="A14" s="126">
        <f>A13/38</f>
        <v>868.42105263157896</v>
      </c>
      <c r="B14" s="127" t="s">
        <v>340</v>
      </c>
      <c r="E14" s="62"/>
      <c r="F14" s="173"/>
      <c r="G14" s="75"/>
      <c r="H14" s="137" t="s">
        <v>550</v>
      </c>
      <c r="I14" s="178">
        <v>2200</v>
      </c>
      <c r="J14" s="178">
        <v>1330</v>
      </c>
      <c r="K14" s="187"/>
    </row>
    <row r="15" spans="1:11">
      <c r="A15" s="179"/>
      <c r="B15" s="180"/>
      <c r="C15" s="139"/>
      <c r="D15" s="178"/>
      <c r="H15" s="137" t="s">
        <v>551</v>
      </c>
      <c r="I15" s="178">
        <v>2391</v>
      </c>
      <c r="J15" s="178">
        <v>1447</v>
      </c>
      <c r="K15" s="187"/>
    </row>
    <row r="16" spans="1:11">
      <c r="A16" s="126"/>
      <c r="B16" s="127"/>
      <c r="C16" s="139"/>
      <c r="D16" s="178"/>
      <c r="H16" s="137" t="s">
        <v>552</v>
      </c>
      <c r="I16" s="178">
        <v>2657</v>
      </c>
      <c r="J16" s="178">
        <v>1564</v>
      </c>
      <c r="K16" s="187"/>
    </row>
    <row r="17" spans="1:11" ht="15.75" thickBot="1">
      <c r="A17" s="181"/>
      <c r="B17" s="182"/>
      <c r="C17" s="139"/>
      <c r="D17" s="178"/>
      <c r="G17" s="62"/>
      <c r="H17" s="153" t="s">
        <v>556</v>
      </c>
      <c r="I17" s="190"/>
      <c r="J17" s="190"/>
      <c r="K17" s="191"/>
    </row>
    <row r="18" spans="1:11" ht="18.75">
      <c r="H18" s="76"/>
      <c r="I18" s="70"/>
    </row>
    <row r="19" spans="1:11">
      <c r="A19" s="100" t="s">
        <v>354</v>
      </c>
      <c r="B19" s="100" t="s">
        <v>353</v>
      </c>
      <c r="C19" s="100" t="s">
        <v>328</v>
      </c>
      <c r="D19" s="100" t="s">
        <v>341</v>
      </c>
      <c r="E19" s="162" t="s">
        <v>441</v>
      </c>
      <c r="F19" s="163" t="s">
        <v>442</v>
      </c>
      <c r="G19" s="163" t="s">
        <v>540</v>
      </c>
      <c r="J19" s="192" t="s">
        <v>564</v>
      </c>
      <c r="K19" s="264" t="s">
        <v>563</v>
      </c>
    </row>
    <row r="20" spans="1:11">
      <c r="A20" s="271">
        <v>1</v>
      </c>
      <c r="B20" s="272"/>
      <c r="C20" s="273"/>
      <c r="D20" s="273"/>
      <c r="E20" s="271"/>
      <c r="F20" s="273"/>
      <c r="G20" s="273"/>
    </row>
    <row r="21" spans="1:11">
      <c r="A21" s="271">
        <v>2</v>
      </c>
      <c r="B21" s="272"/>
      <c r="C21" s="273"/>
      <c r="D21" s="273"/>
      <c r="E21" s="271"/>
      <c r="F21" s="273"/>
      <c r="G21" s="273"/>
    </row>
    <row r="22" spans="1:11">
      <c r="A22" s="113">
        <v>3</v>
      </c>
      <c r="B22" s="111"/>
      <c r="C22" s="112"/>
      <c r="D22" s="112"/>
      <c r="E22" s="110"/>
      <c r="F22" s="112"/>
      <c r="G22" s="112"/>
    </row>
    <row r="23" spans="1:11">
      <c r="A23" s="274">
        <v>4</v>
      </c>
      <c r="B23" s="272"/>
      <c r="C23" s="273"/>
      <c r="D23" s="273"/>
      <c r="E23" s="271"/>
      <c r="F23" s="273"/>
      <c r="G23" s="273"/>
      <c r="H23" s="264" t="s">
        <v>569</v>
      </c>
      <c r="I23" s="264">
        <f>22256/2</f>
        <v>11128</v>
      </c>
      <c r="J23" s="264">
        <f>42000/30</f>
        <v>1400</v>
      </c>
    </row>
    <row r="24" spans="1:11">
      <c r="A24" s="114">
        <v>5</v>
      </c>
      <c r="B24" s="115"/>
      <c r="C24" s="116"/>
      <c r="D24" s="116"/>
      <c r="E24" s="114"/>
      <c r="F24" s="116"/>
      <c r="G24" s="116"/>
      <c r="H24" s="264" t="s">
        <v>570</v>
      </c>
      <c r="I24" s="264">
        <f>I23/4</f>
        <v>2782</v>
      </c>
      <c r="J24" s="264">
        <f>I24+J23</f>
        <v>4182</v>
      </c>
    </row>
    <row r="25" spans="1:11">
      <c r="A25" s="114">
        <v>6</v>
      </c>
      <c r="B25" s="115"/>
      <c r="C25" s="116"/>
      <c r="D25" s="116"/>
      <c r="E25" s="114"/>
      <c r="F25" s="116"/>
      <c r="G25" s="116"/>
    </row>
    <row r="26" spans="1:11">
      <c r="A26" s="117">
        <v>7</v>
      </c>
      <c r="B26" s="115"/>
      <c r="C26" s="116"/>
      <c r="D26" s="116"/>
      <c r="E26" s="114"/>
      <c r="F26" s="116"/>
      <c r="G26" s="116"/>
    </row>
    <row r="27" spans="1:11">
      <c r="A27" s="117">
        <v>8</v>
      </c>
      <c r="B27" s="115"/>
      <c r="C27" s="116"/>
      <c r="D27" s="116"/>
      <c r="E27" s="114"/>
      <c r="F27" s="116"/>
      <c r="G27" s="116"/>
      <c r="I27" s="37"/>
      <c r="J27" s="62"/>
    </row>
    <row r="28" spans="1:11">
      <c r="A28" s="85">
        <v>9</v>
      </c>
      <c r="B28" s="81"/>
      <c r="C28" s="82"/>
      <c r="D28" s="82"/>
      <c r="E28" s="85"/>
      <c r="F28" s="82"/>
      <c r="G28" s="82"/>
      <c r="I28" s="37"/>
      <c r="J28" s="62"/>
    </row>
    <row r="29" spans="1:11">
      <c r="A29" s="85">
        <v>10</v>
      </c>
      <c r="B29" s="81"/>
      <c r="C29" s="82"/>
      <c r="D29" s="82"/>
      <c r="E29" s="85"/>
      <c r="F29" s="82"/>
      <c r="G29" s="82"/>
      <c r="I29" s="37"/>
    </row>
    <row r="30" spans="1:11">
      <c r="A30" s="86">
        <v>11</v>
      </c>
      <c r="B30" s="81"/>
      <c r="C30" s="82"/>
      <c r="D30" s="82"/>
      <c r="E30" s="85"/>
      <c r="F30" s="82"/>
      <c r="G30" s="82"/>
      <c r="I30" s="37"/>
    </row>
    <row r="31" spans="1:11">
      <c r="A31" s="86">
        <v>12</v>
      </c>
      <c r="B31" s="81"/>
      <c r="C31" s="82"/>
      <c r="D31" s="82"/>
      <c r="E31" s="85"/>
      <c r="F31" s="82"/>
      <c r="G31" s="82"/>
      <c r="I31" s="62">
        <v>2500</v>
      </c>
      <c r="J31" s="62"/>
    </row>
    <row r="32" spans="1:11">
      <c r="A32" s="93">
        <v>13</v>
      </c>
      <c r="B32" s="94"/>
      <c r="C32" s="95"/>
      <c r="D32" s="95"/>
      <c r="E32" s="93"/>
      <c r="F32" s="95"/>
      <c r="G32" s="95"/>
      <c r="I32" s="264">
        <v>2220</v>
      </c>
    </row>
    <row r="33" spans="1:11">
      <c r="A33" s="93">
        <v>14</v>
      </c>
      <c r="B33" s="94"/>
      <c r="C33" s="95"/>
      <c r="D33" s="95"/>
      <c r="E33" s="93"/>
      <c r="F33" s="95"/>
      <c r="G33" s="95"/>
    </row>
    <row r="34" spans="1:11">
      <c r="A34" s="96">
        <v>15</v>
      </c>
      <c r="B34" s="94"/>
      <c r="C34" s="95"/>
      <c r="D34" s="95"/>
      <c r="E34" s="93"/>
      <c r="F34" s="95"/>
      <c r="G34" s="95"/>
    </row>
    <row r="35" spans="1:11">
      <c r="A35" s="96">
        <v>16</v>
      </c>
      <c r="B35" s="94"/>
      <c r="C35" s="95"/>
      <c r="D35" s="95"/>
      <c r="E35" s="93"/>
      <c r="F35" s="95"/>
      <c r="G35" s="95"/>
    </row>
    <row r="36" spans="1:11">
      <c r="A36" s="91">
        <v>17</v>
      </c>
      <c r="B36" s="83"/>
      <c r="C36" s="84"/>
      <c r="D36" s="84"/>
      <c r="E36" s="91"/>
      <c r="F36" s="84"/>
      <c r="G36" s="84"/>
    </row>
    <row r="37" spans="1:11">
      <c r="A37" s="91">
        <v>18</v>
      </c>
      <c r="B37" s="83"/>
      <c r="C37" s="84"/>
      <c r="D37" s="84"/>
      <c r="E37" s="91"/>
      <c r="F37" s="84"/>
      <c r="G37" s="84"/>
    </row>
    <row r="38" spans="1:11">
      <c r="A38" s="92">
        <v>19</v>
      </c>
      <c r="B38" s="83"/>
      <c r="C38" s="84"/>
      <c r="D38" s="84"/>
      <c r="E38" s="91"/>
      <c r="F38" s="84"/>
      <c r="G38" s="84"/>
      <c r="K38" s="70"/>
    </row>
    <row r="39" spans="1:11">
      <c r="A39" s="92">
        <v>20</v>
      </c>
      <c r="B39" s="83"/>
      <c r="C39" s="84"/>
      <c r="D39" s="84"/>
      <c r="E39" s="84"/>
      <c r="F39" s="84"/>
      <c r="G39" s="84"/>
      <c r="I39" s="264">
        <v>1090</v>
      </c>
    </row>
    <row r="40" spans="1:11">
      <c r="A40" s="91">
        <v>21</v>
      </c>
      <c r="B40" s="83"/>
      <c r="C40" s="84"/>
      <c r="D40" s="84"/>
      <c r="E40" s="84"/>
      <c r="F40" s="84"/>
      <c r="G40" s="84"/>
      <c r="I40" s="264">
        <v>792</v>
      </c>
    </row>
    <row r="41" spans="1:11">
      <c r="A41" s="91">
        <v>22</v>
      </c>
      <c r="B41" s="83"/>
      <c r="C41" s="84"/>
      <c r="D41" s="84"/>
      <c r="E41" s="84"/>
      <c r="F41" s="84"/>
      <c r="G41" s="84"/>
    </row>
    <row r="42" spans="1:11">
      <c r="A42" s="92">
        <v>23</v>
      </c>
      <c r="B42" s="83"/>
      <c r="C42" s="84"/>
      <c r="D42" s="84"/>
      <c r="E42" s="84"/>
      <c r="F42" s="84"/>
      <c r="G42" s="84"/>
    </row>
    <row r="43" spans="1:11">
      <c r="A43" s="92">
        <v>24</v>
      </c>
      <c r="B43" s="235"/>
      <c r="C43" s="84"/>
      <c r="D43" s="84"/>
      <c r="E43" s="84"/>
      <c r="F43" s="84"/>
      <c r="G43" s="84"/>
    </row>
    <row r="44" spans="1:11">
      <c r="A44" s="87">
        <v>25</v>
      </c>
      <c r="B44" s="88"/>
      <c r="C44" s="89"/>
      <c r="D44" s="89"/>
      <c r="E44" s="87"/>
      <c r="F44" s="89"/>
      <c r="G44" s="89"/>
    </row>
    <row r="45" spans="1:11">
      <c r="A45" s="87">
        <v>26</v>
      </c>
      <c r="B45" s="88"/>
      <c r="C45" s="89"/>
      <c r="D45" s="89"/>
      <c r="E45" s="89"/>
      <c r="F45" s="89"/>
      <c r="G45" s="89"/>
    </row>
    <row r="46" spans="1:11">
      <c r="A46" s="90">
        <v>27</v>
      </c>
      <c r="B46" s="88"/>
      <c r="C46" s="89"/>
      <c r="D46" s="89"/>
      <c r="E46" s="89"/>
      <c r="F46" s="89"/>
      <c r="G46" s="89"/>
      <c r="J46" s="264">
        <v>750</v>
      </c>
    </row>
    <row r="47" spans="1:11">
      <c r="A47" s="90">
        <v>28</v>
      </c>
      <c r="B47" s="88"/>
      <c r="C47" s="89"/>
      <c r="D47" s="89"/>
      <c r="E47" s="89"/>
      <c r="F47" s="89"/>
      <c r="G47" s="89"/>
      <c r="H47" s="62"/>
      <c r="I47" s="62"/>
      <c r="J47" s="264">
        <v>80</v>
      </c>
    </row>
    <row r="48" spans="1:11">
      <c r="A48" s="99">
        <v>29</v>
      </c>
      <c r="B48" s="97"/>
      <c r="C48" s="98"/>
      <c r="D48" s="98"/>
      <c r="E48" s="98"/>
      <c r="F48" s="98"/>
      <c r="G48" s="98"/>
      <c r="J48" s="264">
        <v>100</v>
      </c>
    </row>
    <row r="49" spans="1:12">
      <c r="A49" s="99">
        <v>30</v>
      </c>
      <c r="B49" s="97"/>
      <c r="C49" s="98"/>
      <c r="D49" s="98"/>
      <c r="E49" s="98"/>
      <c r="F49" s="98"/>
      <c r="G49" s="98"/>
      <c r="J49" s="264">
        <v>1035</v>
      </c>
    </row>
    <row r="50" spans="1:12">
      <c r="A50" s="99">
        <v>31</v>
      </c>
      <c r="B50" s="97"/>
      <c r="C50" s="98"/>
      <c r="D50" s="98"/>
      <c r="E50" s="98"/>
      <c r="F50" s="98"/>
      <c r="G50" s="98"/>
      <c r="I50" s="37"/>
      <c r="J50" s="37">
        <f>SUM(J46:J49)</f>
        <v>1965</v>
      </c>
    </row>
    <row r="51" spans="1:12">
      <c r="A51" s="99">
        <v>32</v>
      </c>
      <c r="B51" s="97"/>
      <c r="C51" s="98"/>
      <c r="D51" s="98"/>
      <c r="E51" s="98"/>
      <c r="F51" s="98"/>
      <c r="G51" s="98"/>
      <c r="I51" s="37"/>
    </row>
    <row r="52" spans="1:12">
      <c r="A52" s="86">
        <v>33</v>
      </c>
      <c r="B52" s="81"/>
      <c r="C52" s="82"/>
      <c r="D52" s="82"/>
      <c r="E52" s="82"/>
      <c r="F52" s="82"/>
      <c r="G52" s="82"/>
      <c r="I52" s="37"/>
      <c r="K52" s="264">
        <v>234</v>
      </c>
      <c r="L52" s="264" t="s">
        <v>605</v>
      </c>
    </row>
    <row r="53" spans="1:12">
      <c r="A53" s="86">
        <v>34</v>
      </c>
      <c r="B53" s="81"/>
      <c r="C53" s="82"/>
      <c r="D53" s="82"/>
      <c r="E53" s="82"/>
      <c r="F53" s="82"/>
      <c r="G53" s="82"/>
      <c r="H53" s="264" t="s">
        <v>625</v>
      </c>
      <c r="I53" s="37"/>
      <c r="J53" s="37">
        <v>1384</v>
      </c>
      <c r="K53" s="264" t="s">
        <v>600</v>
      </c>
    </row>
    <row r="54" spans="1:12">
      <c r="A54" s="92">
        <v>35</v>
      </c>
      <c r="B54" s="83"/>
      <c r="C54" s="84"/>
      <c r="D54" s="84"/>
      <c r="E54" s="84"/>
      <c r="F54" s="84"/>
      <c r="G54" s="84"/>
      <c r="I54" s="37"/>
      <c r="J54" s="37">
        <v>2023</v>
      </c>
      <c r="K54" s="264" t="s">
        <v>599</v>
      </c>
    </row>
    <row r="55" spans="1:12">
      <c r="A55" s="92">
        <v>36</v>
      </c>
      <c r="B55" s="83"/>
      <c r="C55" s="84"/>
      <c r="D55" s="84"/>
      <c r="E55" s="84"/>
      <c r="F55" s="84"/>
      <c r="G55" s="84"/>
      <c r="I55" s="37"/>
      <c r="J55" s="37">
        <v>1683</v>
      </c>
      <c r="K55" s="264" t="s">
        <v>601</v>
      </c>
    </row>
    <row r="56" spans="1:12">
      <c r="A56" s="275">
        <v>37</v>
      </c>
      <c r="B56" s="276"/>
      <c r="C56" s="277"/>
      <c r="D56" s="277"/>
      <c r="E56" s="277"/>
      <c r="F56" s="277"/>
      <c r="G56" s="277"/>
      <c r="I56" s="37"/>
      <c r="J56" s="37">
        <v>1000</v>
      </c>
      <c r="K56" s="264" t="s">
        <v>602</v>
      </c>
    </row>
    <row r="57" spans="1:12">
      <c r="A57" s="275">
        <v>38</v>
      </c>
      <c r="B57" s="276"/>
      <c r="C57" s="277"/>
      <c r="D57" s="277"/>
      <c r="E57" s="277"/>
      <c r="F57" s="277"/>
      <c r="G57" s="277"/>
      <c r="I57" s="37"/>
      <c r="J57" s="37">
        <v>3000</v>
      </c>
      <c r="K57" s="264" t="s">
        <v>603</v>
      </c>
    </row>
    <row r="58" spans="1:12">
      <c r="A58" s="231">
        <v>39</v>
      </c>
      <c r="B58" s="232"/>
      <c r="C58" s="233"/>
      <c r="D58" s="233"/>
      <c r="E58" s="233"/>
      <c r="F58" s="233"/>
      <c r="G58" s="233"/>
      <c r="H58" s="264" t="s">
        <v>582</v>
      </c>
      <c r="I58" s="37"/>
      <c r="J58" s="37">
        <v>2500</v>
      </c>
      <c r="K58" s="264" t="s">
        <v>604</v>
      </c>
    </row>
    <row r="59" spans="1:12">
      <c r="A59" s="268">
        <v>40</v>
      </c>
      <c r="B59" s="269"/>
      <c r="C59" s="270"/>
      <c r="D59" s="270"/>
      <c r="E59" s="270"/>
      <c r="F59" s="270"/>
      <c r="G59" s="270"/>
      <c r="I59" s="37"/>
      <c r="J59" s="37">
        <f>SUM(J53:J58)</f>
        <v>11590</v>
      </c>
    </row>
    <row r="60" spans="1:12">
      <c r="A60" s="96">
        <v>41</v>
      </c>
      <c r="B60" s="94"/>
      <c r="C60" s="95"/>
      <c r="D60" s="95"/>
      <c r="E60" s="95"/>
      <c r="F60" s="95"/>
      <c r="G60" s="95"/>
      <c r="I60" s="37">
        <v>2750</v>
      </c>
    </row>
    <row r="61" spans="1:12">
      <c r="A61" s="96">
        <v>42</v>
      </c>
      <c r="B61" s="94"/>
      <c r="C61" s="95"/>
      <c r="D61" s="95"/>
      <c r="E61" s="95"/>
      <c r="F61" s="95"/>
      <c r="G61" s="95"/>
      <c r="I61" s="37">
        <v>2500</v>
      </c>
      <c r="J61" s="62">
        <f>J59+J50</f>
        <v>13555</v>
      </c>
    </row>
    <row r="62" spans="1:12">
      <c r="A62" s="96">
        <v>43</v>
      </c>
      <c r="B62" s="94"/>
      <c r="C62" s="95"/>
      <c r="D62" s="95"/>
      <c r="E62" s="95"/>
      <c r="F62" s="95"/>
      <c r="G62" s="95"/>
      <c r="I62" s="37">
        <f>I61+I60</f>
        <v>5250</v>
      </c>
    </row>
    <row r="63" spans="1:12">
      <c r="B63" s="118"/>
      <c r="C63" s="77">
        <f>SUM(C20:C62)</f>
        <v>0</v>
      </c>
      <c r="D63" s="77">
        <f>SUM(D20:D62)</f>
        <v>0</v>
      </c>
      <c r="G63" s="77">
        <f>SUM(G20:G57)</f>
        <v>0</v>
      </c>
      <c r="H63" s="264">
        <f>2570-2100</f>
        <v>470</v>
      </c>
      <c r="I63" s="70">
        <v>3.95E-2</v>
      </c>
    </row>
    <row r="64" spans="1:12">
      <c r="B64" s="118"/>
      <c r="C64" s="632">
        <f>C63+D63</f>
        <v>0</v>
      </c>
      <c r="D64" s="633"/>
      <c r="I64" s="62">
        <f>I62*I63</f>
        <v>207.375</v>
      </c>
      <c r="J64" s="62"/>
    </row>
    <row r="65" spans="1:10">
      <c r="I65" s="264">
        <f>4*8</f>
        <v>32</v>
      </c>
    </row>
    <row r="66" spans="1:10" ht="15.75" thickBot="1">
      <c r="A66" s="628" t="s">
        <v>348</v>
      </c>
      <c r="B66" s="629"/>
      <c r="C66" s="630">
        <f>C11</f>
        <v>121225</v>
      </c>
      <c r="D66" s="631"/>
      <c r="E66" s="37"/>
      <c r="I66" s="62">
        <f>I64+I65</f>
        <v>239.375</v>
      </c>
      <c r="J66" s="62">
        <f>I66*I63</f>
        <v>9.4553124999999998</v>
      </c>
    </row>
    <row r="67" spans="1:10" ht="15.75" thickBot="1">
      <c r="A67" s="628" t="s">
        <v>262</v>
      </c>
      <c r="B67" s="629"/>
      <c r="C67" s="634">
        <v>33000</v>
      </c>
      <c r="D67" s="635"/>
      <c r="E67" s="37"/>
      <c r="F67" s="164"/>
      <c r="G67" s="165" t="s">
        <v>433</v>
      </c>
      <c r="H67" s="166" t="s">
        <v>434</v>
      </c>
      <c r="I67" s="167" t="s">
        <v>532</v>
      </c>
      <c r="J67" s="62">
        <f>J66+I66+4</f>
        <v>252.83031249999999</v>
      </c>
    </row>
    <row r="68" spans="1:10">
      <c r="A68" s="628" t="s">
        <v>355</v>
      </c>
      <c r="B68" s="629"/>
      <c r="C68" s="630">
        <v>3500</v>
      </c>
      <c r="D68" s="631"/>
      <c r="E68" s="37"/>
      <c r="F68" s="148" t="s">
        <v>281</v>
      </c>
      <c r="G68" s="139">
        <v>2160</v>
      </c>
      <c r="H68" s="150" t="s">
        <v>211</v>
      </c>
      <c r="I68" s="154" t="s">
        <v>386</v>
      </c>
    </row>
    <row r="69" spans="1:10">
      <c r="A69" s="628" t="s">
        <v>7</v>
      </c>
      <c r="B69" s="629"/>
      <c r="C69" s="630">
        <f>C64-C66-C67-C68</f>
        <v>-157725</v>
      </c>
      <c r="D69" s="631"/>
      <c r="E69" s="37"/>
      <c r="F69" s="148" t="s">
        <v>430</v>
      </c>
      <c r="G69" s="139">
        <v>2500</v>
      </c>
      <c r="H69" s="150">
        <v>2350</v>
      </c>
      <c r="I69" s="154">
        <v>680</v>
      </c>
    </row>
    <row r="70" spans="1:10">
      <c r="D70" s="62"/>
      <c r="F70" s="148" t="s">
        <v>431</v>
      </c>
      <c r="G70" s="139">
        <v>2550</v>
      </c>
      <c r="H70" s="150">
        <v>2350</v>
      </c>
      <c r="I70" s="154">
        <v>730</v>
      </c>
      <c r="J70" s="62"/>
    </row>
    <row r="71" spans="1:10" ht="15.75" thickBot="1">
      <c r="F71" s="149" t="s">
        <v>432</v>
      </c>
      <c r="G71" s="151">
        <v>2700</v>
      </c>
      <c r="H71" s="152">
        <v>2500</v>
      </c>
      <c r="I71" s="155">
        <v>750</v>
      </c>
    </row>
    <row r="72" spans="1:10" ht="15.75" thickBot="1">
      <c r="D72" s="62"/>
      <c r="F72" s="158" t="s">
        <v>435</v>
      </c>
      <c r="G72" s="156">
        <v>3330</v>
      </c>
      <c r="H72" s="156">
        <v>3050</v>
      </c>
      <c r="I72" s="157">
        <v>2850</v>
      </c>
    </row>
    <row r="73" spans="1:10">
      <c r="A73" s="37">
        <v>21000</v>
      </c>
      <c r="B73" s="264" t="s">
        <v>529</v>
      </c>
    </row>
    <row r="74" spans="1:10">
      <c r="A74" s="37">
        <v>22000</v>
      </c>
      <c r="B74" s="264" t="s">
        <v>530</v>
      </c>
    </row>
    <row r="75" spans="1:10">
      <c r="F75" s="278"/>
    </row>
    <row r="76" spans="1:10">
      <c r="F76" s="279"/>
    </row>
    <row r="78" spans="1:10">
      <c r="A78" s="264">
        <f>520+520</f>
        <v>1040</v>
      </c>
      <c r="D78" s="264">
        <v>1700</v>
      </c>
      <c r="E78" s="264">
        <v>7626</v>
      </c>
      <c r="F78" s="37" t="s">
        <v>603</v>
      </c>
      <c r="H78" s="264">
        <v>11000</v>
      </c>
    </row>
    <row r="79" spans="1:10">
      <c r="D79" s="264">
        <v>521</v>
      </c>
      <c r="E79" s="264">
        <v>1938</v>
      </c>
      <c r="F79" s="37" t="s">
        <v>770</v>
      </c>
    </row>
    <row r="80" spans="1:10">
      <c r="E80" s="264">
        <v>374</v>
      </c>
      <c r="F80" s="37" t="s">
        <v>771</v>
      </c>
      <c r="H80" s="264">
        <v>9000</v>
      </c>
    </row>
    <row r="81" spans="4:9">
      <c r="D81" s="264">
        <v>2221</v>
      </c>
      <c r="E81" s="264">
        <v>300</v>
      </c>
      <c r="F81" s="37" t="s">
        <v>637</v>
      </c>
      <c r="H81" s="264">
        <f>SUM(H78:H80)</f>
        <v>20000</v>
      </c>
    </row>
    <row r="82" spans="4:9">
      <c r="E82" s="264">
        <v>464</v>
      </c>
      <c r="F82" s="37" t="s">
        <v>640</v>
      </c>
    </row>
    <row r="83" spans="4:9">
      <c r="E83" s="264">
        <v>522</v>
      </c>
      <c r="F83" s="37" t="s">
        <v>772</v>
      </c>
    </row>
    <row r="84" spans="4:9">
      <c r="E84" s="264">
        <v>239</v>
      </c>
      <c r="F84" s="37" t="s">
        <v>773</v>
      </c>
    </row>
    <row r="85" spans="4:9">
      <c r="E85" s="264">
        <f>SUM(E77:E84)</f>
        <v>11463</v>
      </c>
      <c r="G85" s="264">
        <f>H81-E84</f>
        <v>19761</v>
      </c>
    </row>
    <row r="87" spans="4:9">
      <c r="D87" s="264" t="s">
        <v>774</v>
      </c>
      <c r="E87" s="264">
        <v>4000</v>
      </c>
      <c r="G87" s="264">
        <v>13000</v>
      </c>
    </row>
    <row r="88" spans="4:9">
      <c r="D88" s="264" t="s">
        <v>775</v>
      </c>
      <c r="E88" s="264">
        <v>1700</v>
      </c>
      <c r="G88" s="264">
        <v>20000</v>
      </c>
    </row>
    <row r="89" spans="4:9">
      <c r="D89" s="264" t="s">
        <v>776</v>
      </c>
      <c r="E89" s="264">
        <f>E87-E88</f>
        <v>2300</v>
      </c>
      <c r="G89" s="264">
        <v>5000</v>
      </c>
    </row>
    <row r="90" spans="4:9">
      <c r="D90" s="264" t="s">
        <v>770</v>
      </c>
      <c r="E90" s="264">
        <f>E89-D79</f>
        <v>1779</v>
      </c>
      <c r="G90" s="264">
        <f>SUM(G86:G89)</f>
        <v>38000</v>
      </c>
    </row>
    <row r="91" spans="4:9">
      <c r="E91" s="264">
        <f>E90/15</f>
        <v>118.6</v>
      </c>
      <c r="G91" s="264">
        <f>G90+G85</f>
        <v>57761</v>
      </c>
      <c r="I91" s="264">
        <f>800*6</f>
        <v>4800</v>
      </c>
    </row>
    <row r="92" spans="4:9">
      <c r="E92" s="264">
        <f>900+1700</f>
        <v>2600</v>
      </c>
    </row>
    <row r="93" spans="4:9">
      <c r="E93" s="264">
        <f>E87-E92</f>
        <v>1400</v>
      </c>
    </row>
    <row r="94" spans="4:9">
      <c r="E94" s="264">
        <f>4000-600-600</f>
        <v>2800</v>
      </c>
    </row>
  </sheetData>
  <mergeCells count="9">
    <mergeCell ref="A69:B69"/>
    <mergeCell ref="C69:D69"/>
    <mergeCell ref="C64:D64"/>
    <mergeCell ref="A66:B66"/>
    <mergeCell ref="C66:D66"/>
    <mergeCell ref="A67:B67"/>
    <mergeCell ref="C67:D67"/>
    <mergeCell ref="A68:B68"/>
    <mergeCell ref="C68:D6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66"/>
  <sheetViews>
    <sheetView topLeftCell="A46" workbookViewId="0">
      <selection activeCell="B58" sqref="B58:F66"/>
    </sheetView>
  </sheetViews>
  <sheetFormatPr baseColWidth="10" defaultRowHeight="15"/>
  <cols>
    <col min="1" max="1" width="3" style="264" bestFit="1" customWidth="1"/>
    <col min="2" max="2" width="30" bestFit="1" customWidth="1"/>
    <col min="3" max="4" width="11.5703125" bestFit="1" customWidth="1"/>
    <col min="7" max="7" width="2" bestFit="1" customWidth="1"/>
  </cols>
  <sheetData>
    <row r="1" spans="1:15">
      <c r="A1" s="522">
        <v>1</v>
      </c>
      <c r="B1" s="523" t="s">
        <v>390</v>
      </c>
      <c r="C1" s="524">
        <v>500</v>
      </c>
      <c r="D1" s="524">
        <v>0</v>
      </c>
      <c r="E1" s="525" t="s">
        <v>586</v>
      </c>
      <c r="F1" s="523" t="s">
        <v>755</v>
      </c>
      <c r="G1" s="264"/>
    </row>
    <row r="2" spans="1:15">
      <c r="A2" s="522">
        <v>2</v>
      </c>
      <c r="B2" s="523" t="s">
        <v>1227</v>
      </c>
      <c r="C2" s="524">
        <f>890/2</f>
        <v>445</v>
      </c>
      <c r="D2" s="524">
        <v>200</v>
      </c>
      <c r="E2" s="523" t="s">
        <v>876</v>
      </c>
      <c r="F2" s="523" t="s">
        <v>711</v>
      </c>
    </row>
    <row r="3" spans="1:15">
      <c r="A3" s="522">
        <v>3</v>
      </c>
      <c r="B3" s="523" t="s">
        <v>1228</v>
      </c>
      <c r="C3" s="524">
        <v>445</v>
      </c>
      <c r="D3" s="524">
        <v>300</v>
      </c>
      <c r="E3" s="523" t="s">
        <v>876</v>
      </c>
      <c r="F3" s="523" t="s">
        <v>711</v>
      </c>
    </row>
    <row r="4" spans="1:15">
      <c r="A4" s="522">
        <v>4</v>
      </c>
      <c r="B4" s="523" t="s">
        <v>1206</v>
      </c>
      <c r="C4" s="524">
        <v>437.5</v>
      </c>
      <c r="D4" s="524">
        <v>0</v>
      </c>
      <c r="E4" s="523" t="s">
        <v>1205</v>
      </c>
      <c r="F4" s="523" t="s">
        <v>755</v>
      </c>
    </row>
    <row r="5" spans="1:15">
      <c r="A5" s="522">
        <v>5</v>
      </c>
      <c r="B5" s="523" t="s">
        <v>1435</v>
      </c>
      <c r="C5" s="524">
        <v>575</v>
      </c>
      <c r="D5" s="524">
        <f>575-C5</f>
        <v>0</v>
      </c>
      <c r="E5" s="523" t="s">
        <v>1434</v>
      </c>
      <c r="F5" s="523" t="s">
        <v>755</v>
      </c>
    </row>
    <row r="6" spans="1:15">
      <c r="A6" s="522">
        <v>6</v>
      </c>
      <c r="B6" s="523" t="s">
        <v>1436</v>
      </c>
      <c r="C6" s="524">
        <v>575</v>
      </c>
      <c r="D6" s="524">
        <f>575-C6</f>
        <v>0</v>
      </c>
      <c r="E6" s="523" t="s">
        <v>211</v>
      </c>
      <c r="F6" s="523" t="s">
        <v>755</v>
      </c>
    </row>
    <row r="7" spans="1:15">
      <c r="A7" s="522">
        <v>7</v>
      </c>
      <c r="B7" s="523" t="s">
        <v>1472</v>
      </c>
      <c r="C7" s="524">
        <v>275</v>
      </c>
      <c r="D7" s="524"/>
      <c r="E7" s="523" t="s">
        <v>1438</v>
      </c>
      <c r="F7" s="523" t="s">
        <v>755</v>
      </c>
    </row>
    <row r="8" spans="1:15">
      <c r="A8" s="522">
        <v>8</v>
      </c>
      <c r="B8" s="523" t="s">
        <v>1439</v>
      </c>
      <c r="C8" s="524">
        <v>0</v>
      </c>
      <c r="D8" s="524"/>
      <c r="E8" s="523" t="s">
        <v>1441</v>
      </c>
      <c r="F8" s="523" t="s">
        <v>1440</v>
      </c>
      <c r="G8" s="177" t="s">
        <v>267</v>
      </c>
    </row>
    <row r="9" spans="1:15">
      <c r="A9" s="522">
        <v>9</v>
      </c>
      <c r="B9" s="523" t="s">
        <v>1442</v>
      </c>
      <c r="C9" s="524">
        <v>350</v>
      </c>
      <c r="D9" s="524"/>
      <c r="E9" s="523" t="s">
        <v>1443</v>
      </c>
      <c r="F9" s="523" t="s">
        <v>755</v>
      </c>
      <c r="G9" s="101" t="s">
        <v>267</v>
      </c>
    </row>
    <row r="10" spans="1:15">
      <c r="A10" s="522">
        <v>10</v>
      </c>
      <c r="B10" s="523" t="s">
        <v>1178</v>
      </c>
      <c r="C10" s="524">
        <v>500</v>
      </c>
      <c r="D10" s="524">
        <v>275</v>
      </c>
      <c r="E10" s="523" t="s">
        <v>1022</v>
      </c>
      <c r="F10" s="523" t="s">
        <v>711</v>
      </c>
      <c r="G10" s="264" t="s">
        <v>267</v>
      </c>
    </row>
    <row r="11" spans="1:15">
      <c r="A11" s="522">
        <v>11</v>
      </c>
      <c r="B11" s="523" t="s">
        <v>21</v>
      </c>
      <c r="C11" s="524">
        <v>375</v>
      </c>
      <c r="D11" s="524">
        <v>400</v>
      </c>
      <c r="E11" s="523" t="s">
        <v>32</v>
      </c>
      <c r="F11" s="523" t="s">
        <v>711</v>
      </c>
      <c r="G11" s="101" t="s">
        <v>267</v>
      </c>
    </row>
    <row r="12" spans="1:15">
      <c r="A12" s="522">
        <v>12</v>
      </c>
      <c r="B12" s="523" t="s">
        <v>1444</v>
      </c>
      <c r="C12" s="524">
        <v>575</v>
      </c>
      <c r="D12" s="524">
        <v>0</v>
      </c>
      <c r="E12" s="523" t="s">
        <v>246</v>
      </c>
      <c r="F12" s="523" t="s">
        <v>755</v>
      </c>
    </row>
    <row r="13" spans="1:15">
      <c r="A13" s="522">
        <v>13</v>
      </c>
      <c r="B13" s="523" t="s">
        <v>1445</v>
      </c>
      <c r="C13" s="524">
        <v>575</v>
      </c>
      <c r="D13" s="524">
        <v>0</v>
      </c>
      <c r="E13" s="523" t="s">
        <v>246</v>
      </c>
      <c r="F13" s="523" t="s">
        <v>755</v>
      </c>
    </row>
    <row r="14" spans="1:15">
      <c r="A14" s="522">
        <v>14</v>
      </c>
      <c r="B14" s="523" t="s">
        <v>1450</v>
      </c>
      <c r="C14" s="524">
        <v>275</v>
      </c>
      <c r="D14" s="524">
        <v>300</v>
      </c>
      <c r="E14" s="523" t="s">
        <v>1449</v>
      </c>
      <c r="F14" s="523" t="s">
        <v>755</v>
      </c>
    </row>
    <row r="15" spans="1:15">
      <c r="A15" s="522">
        <v>15</v>
      </c>
      <c r="B15" s="523" t="s">
        <v>1454</v>
      </c>
      <c r="C15" s="524">
        <v>275</v>
      </c>
      <c r="D15" s="524">
        <v>300</v>
      </c>
      <c r="E15" s="523" t="s">
        <v>1455</v>
      </c>
      <c r="F15" s="523" t="s">
        <v>755</v>
      </c>
    </row>
    <row r="16" spans="1:15">
      <c r="A16" s="522">
        <v>16</v>
      </c>
      <c r="B16" s="523" t="s">
        <v>1460</v>
      </c>
      <c r="C16" s="524">
        <v>300</v>
      </c>
      <c r="D16" s="524">
        <v>275</v>
      </c>
      <c r="E16" s="523" t="s">
        <v>1458</v>
      </c>
      <c r="F16" s="523" t="s">
        <v>755</v>
      </c>
      <c r="O16" s="264"/>
    </row>
    <row r="17" spans="1:7">
      <c r="A17" s="522">
        <v>17</v>
      </c>
      <c r="B17" s="523" t="s">
        <v>115</v>
      </c>
      <c r="C17" s="524">
        <v>275</v>
      </c>
      <c r="D17" s="524">
        <v>300</v>
      </c>
      <c r="E17" s="523" t="s">
        <v>104</v>
      </c>
      <c r="F17" s="523" t="s">
        <v>711</v>
      </c>
    </row>
    <row r="18" spans="1:7">
      <c r="A18" s="522">
        <v>18</v>
      </c>
      <c r="B18" s="523" t="s">
        <v>165</v>
      </c>
      <c r="C18" s="524">
        <v>275</v>
      </c>
      <c r="D18" s="524">
        <v>300</v>
      </c>
      <c r="E18" s="523" t="s">
        <v>211</v>
      </c>
      <c r="F18" s="523" t="s">
        <v>755</v>
      </c>
    </row>
    <row r="19" spans="1:7">
      <c r="A19" s="522">
        <v>19</v>
      </c>
      <c r="B19" s="523" t="s">
        <v>1459</v>
      </c>
      <c r="C19" s="524">
        <v>550</v>
      </c>
      <c r="D19" s="524">
        <v>75</v>
      </c>
      <c r="E19" s="523" t="s">
        <v>1181</v>
      </c>
      <c r="F19" s="523" t="s">
        <v>755</v>
      </c>
    </row>
    <row r="20" spans="1:7">
      <c r="A20" s="522">
        <v>20</v>
      </c>
      <c r="B20" s="523" t="s">
        <v>1180</v>
      </c>
      <c r="C20" s="524">
        <v>0</v>
      </c>
      <c r="D20" s="524">
        <v>575</v>
      </c>
      <c r="E20" s="526" t="s">
        <v>822</v>
      </c>
      <c r="F20" s="527" t="s">
        <v>755</v>
      </c>
    </row>
    <row r="21" spans="1:7">
      <c r="A21" s="522">
        <v>21</v>
      </c>
      <c r="B21" s="523" t="s">
        <v>1463</v>
      </c>
      <c r="C21" s="524">
        <v>275</v>
      </c>
      <c r="D21" s="524">
        <f>775-C21</f>
        <v>500</v>
      </c>
      <c r="E21" s="526" t="s">
        <v>1464</v>
      </c>
      <c r="F21" s="527" t="s">
        <v>711</v>
      </c>
      <c r="G21" s="177" t="s">
        <v>267</v>
      </c>
    </row>
    <row r="22" spans="1:7">
      <c r="A22" s="522">
        <v>22</v>
      </c>
      <c r="B22" s="523" t="s">
        <v>1491</v>
      </c>
      <c r="C22" s="524">
        <v>275</v>
      </c>
      <c r="D22" s="524">
        <v>300</v>
      </c>
      <c r="E22" s="523" t="s">
        <v>211</v>
      </c>
      <c r="F22" s="523" t="s">
        <v>755</v>
      </c>
    </row>
    <row r="23" spans="1:7">
      <c r="A23" s="522">
        <v>23</v>
      </c>
      <c r="B23" s="523" t="s">
        <v>1461</v>
      </c>
      <c r="C23" s="524">
        <v>575</v>
      </c>
      <c r="D23" s="524">
        <v>0</v>
      </c>
      <c r="E23" s="523" t="s">
        <v>1411</v>
      </c>
      <c r="F23" s="523" t="s">
        <v>711</v>
      </c>
    </row>
    <row r="24" spans="1:7">
      <c r="A24" s="522">
        <v>24</v>
      </c>
      <c r="B24" s="523" t="s">
        <v>1462</v>
      </c>
      <c r="C24" s="524">
        <v>0</v>
      </c>
      <c r="D24" s="524">
        <v>575</v>
      </c>
      <c r="E24" s="523" t="s">
        <v>211</v>
      </c>
      <c r="F24" s="523" t="s">
        <v>755</v>
      </c>
    </row>
    <row r="25" spans="1:7">
      <c r="A25" s="522">
        <v>25</v>
      </c>
      <c r="B25" s="523" t="s">
        <v>1466</v>
      </c>
      <c r="C25" s="524">
        <v>500</v>
      </c>
      <c r="D25" s="524"/>
      <c r="E25" s="523" t="s">
        <v>1177</v>
      </c>
      <c r="F25" s="523" t="s">
        <v>711</v>
      </c>
    </row>
    <row r="26" spans="1:7">
      <c r="A26" s="522">
        <v>26</v>
      </c>
      <c r="B26" s="523" t="s">
        <v>1467</v>
      </c>
      <c r="C26" s="524">
        <v>300</v>
      </c>
      <c r="D26" s="524">
        <f>475-C26</f>
        <v>175</v>
      </c>
      <c r="E26" s="523" t="s">
        <v>1468</v>
      </c>
      <c r="F26" s="523" t="s">
        <v>711</v>
      </c>
    </row>
    <row r="27" spans="1:7">
      <c r="A27" s="522">
        <v>27</v>
      </c>
      <c r="B27" s="523" t="s">
        <v>774</v>
      </c>
      <c r="C27" s="524">
        <v>0</v>
      </c>
      <c r="D27" s="524">
        <v>775</v>
      </c>
      <c r="E27" s="523" t="s">
        <v>211</v>
      </c>
      <c r="F27" s="523" t="s">
        <v>711</v>
      </c>
    </row>
    <row r="28" spans="1:7">
      <c r="A28" s="522">
        <v>28</v>
      </c>
      <c r="B28" s="523" t="s">
        <v>1474</v>
      </c>
      <c r="C28" s="524">
        <v>275</v>
      </c>
      <c r="D28" s="524">
        <v>300</v>
      </c>
      <c r="E28" s="523" t="s">
        <v>1473</v>
      </c>
      <c r="F28" s="523" t="s">
        <v>755</v>
      </c>
    </row>
    <row r="29" spans="1:7">
      <c r="A29" s="522">
        <v>29</v>
      </c>
      <c r="B29" s="523" t="s">
        <v>1478</v>
      </c>
      <c r="C29" s="524">
        <f>550/2</f>
        <v>275</v>
      </c>
      <c r="D29" s="524">
        <f>575-C29</f>
        <v>300</v>
      </c>
      <c r="E29" s="523" t="s">
        <v>283</v>
      </c>
      <c r="F29" s="523" t="s">
        <v>711</v>
      </c>
    </row>
    <row r="30" spans="1:7">
      <c r="A30" s="522">
        <v>30</v>
      </c>
      <c r="B30" s="523" t="s">
        <v>284</v>
      </c>
      <c r="C30" s="524">
        <v>275</v>
      </c>
      <c r="D30" s="524">
        <v>300</v>
      </c>
      <c r="E30" s="523" t="s">
        <v>211</v>
      </c>
      <c r="F30" s="523" t="s">
        <v>755</v>
      </c>
    </row>
    <row r="31" spans="1:7">
      <c r="A31" s="522">
        <v>31</v>
      </c>
      <c r="B31" s="523" t="s">
        <v>1482</v>
      </c>
      <c r="C31" s="524">
        <v>275</v>
      </c>
      <c r="D31" s="524">
        <v>300</v>
      </c>
      <c r="E31" s="523" t="s">
        <v>1483</v>
      </c>
      <c r="F31" s="523" t="s">
        <v>755</v>
      </c>
    </row>
    <row r="32" spans="1:7">
      <c r="A32" s="522">
        <v>32</v>
      </c>
      <c r="B32" s="523" t="s">
        <v>1485</v>
      </c>
      <c r="C32" s="524">
        <v>575</v>
      </c>
      <c r="D32" s="524">
        <v>0</v>
      </c>
      <c r="E32" s="523" t="s">
        <v>1484</v>
      </c>
      <c r="F32" s="523" t="s">
        <v>755</v>
      </c>
    </row>
    <row r="33" spans="1:8">
      <c r="A33" s="522">
        <v>33</v>
      </c>
      <c r="B33" s="523" t="s">
        <v>1505</v>
      </c>
      <c r="C33" s="524">
        <v>275</v>
      </c>
      <c r="D33" s="524">
        <v>300</v>
      </c>
      <c r="E33" s="523" t="s">
        <v>211</v>
      </c>
      <c r="F33" s="523" t="s">
        <v>755</v>
      </c>
      <c r="H33" s="264" t="s">
        <v>1506</v>
      </c>
    </row>
    <row r="34" spans="1:8" s="264" customFormat="1">
      <c r="A34" s="522">
        <v>34</v>
      </c>
      <c r="B34" s="523" t="s">
        <v>1486</v>
      </c>
      <c r="C34" s="524">
        <v>300</v>
      </c>
      <c r="D34" s="524">
        <f>775-C34</f>
        <v>475</v>
      </c>
      <c r="E34" s="523" t="s">
        <v>1053</v>
      </c>
      <c r="F34" s="523" t="s">
        <v>711</v>
      </c>
    </row>
    <row r="35" spans="1:8" s="264" customFormat="1">
      <c r="A35" s="522">
        <v>35</v>
      </c>
      <c r="B35" s="523" t="s">
        <v>1487</v>
      </c>
      <c r="C35" s="524">
        <v>275</v>
      </c>
      <c r="D35" s="524"/>
      <c r="E35" s="523" t="s">
        <v>1488</v>
      </c>
      <c r="F35" s="523" t="s">
        <v>755</v>
      </c>
    </row>
    <row r="36" spans="1:8">
      <c r="A36" s="522">
        <v>36</v>
      </c>
      <c r="B36" s="523" t="s">
        <v>1489</v>
      </c>
      <c r="C36" s="524">
        <v>375</v>
      </c>
      <c r="D36" s="528">
        <f>775-C36</f>
        <v>400</v>
      </c>
      <c r="E36" s="522" t="s">
        <v>1490</v>
      </c>
      <c r="F36" s="523" t="s">
        <v>711</v>
      </c>
      <c r="G36" s="264" t="s">
        <v>267</v>
      </c>
    </row>
    <row r="37" spans="1:8" s="264" customFormat="1">
      <c r="A37" s="522">
        <v>37</v>
      </c>
      <c r="B37" s="523" t="s">
        <v>398</v>
      </c>
      <c r="C37" s="524">
        <v>550</v>
      </c>
      <c r="D37" s="528">
        <v>75</v>
      </c>
      <c r="E37" s="523" t="s">
        <v>840</v>
      </c>
      <c r="F37" s="523" t="s">
        <v>711</v>
      </c>
    </row>
    <row r="38" spans="1:8" s="264" customFormat="1">
      <c r="A38" s="522">
        <v>38</v>
      </c>
      <c r="B38" s="523" t="s">
        <v>1500</v>
      </c>
      <c r="C38" s="524">
        <v>0</v>
      </c>
      <c r="D38" s="524">
        <v>0</v>
      </c>
      <c r="E38" s="523" t="s">
        <v>1479</v>
      </c>
      <c r="F38" s="523" t="s">
        <v>755</v>
      </c>
    </row>
    <row r="39" spans="1:8">
      <c r="A39" s="522">
        <v>39</v>
      </c>
      <c r="B39" s="523" t="s">
        <v>1494</v>
      </c>
      <c r="C39" s="524">
        <v>275</v>
      </c>
      <c r="D39" s="524">
        <v>300</v>
      </c>
      <c r="E39" s="523" t="s">
        <v>1495</v>
      </c>
      <c r="F39" s="523" t="s">
        <v>755</v>
      </c>
    </row>
    <row r="40" spans="1:8">
      <c r="A40" s="522">
        <v>40</v>
      </c>
      <c r="B40" s="523" t="s">
        <v>1497</v>
      </c>
      <c r="C40" s="524">
        <v>575</v>
      </c>
      <c r="D40" s="524">
        <v>0</v>
      </c>
      <c r="E40" s="522" t="s">
        <v>1499</v>
      </c>
      <c r="F40" s="523" t="s">
        <v>711</v>
      </c>
    </row>
    <row r="41" spans="1:8" s="264" customFormat="1">
      <c r="A41" s="522">
        <v>41</v>
      </c>
      <c r="B41" s="523" t="s">
        <v>1427</v>
      </c>
      <c r="C41" s="524">
        <v>275</v>
      </c>
      <c r="D41" s="524">
        <v>300</v>
      </c>
      <c r="E41" s="523" t="s">
        <v>1428</v>
      </c>
      <c r="F41" s="523" t="s">
        <v>755</v>
      </c>
    </row>
    <row r="42" spans="1:8" s="264" customFormat="1">
      <c r="A42" s="522">
        <v>42</v>
      </c>
      <c r="B42" s="523" t="s">
        <v>1498</v>
      </c>
      <c r="C42" s="524">
        <v>275</v>
      </c>
      <c r="D42" s="524">
        <v>300</v>
      </c>
      <c r="E42" s="523" t="s">
        <v>650</v>
      </c>
      <c r="F42" s="523" t="s">
        <v>755</v>
      </c>
    </row>
    <row r="43" spans="1:8" s="264" customFormat="1">
      <c r="A43" s="522">
        <v>43</v>
      </c>
      <c r="B43" s="523" t="s">
        <v>1502</v>
      </c>
      <c r="C43" s="524">
        <f>550/2</f>
        <v>275</v>
      </c>
      <c r="D43" s="524"/>
      <c r="E43" s="523" t="s">
        <v>1501</v>
      </c>
      <c r="F43" s="523" t="s">
        <v>755</v>
      </c>
    </row>
    <row r="44" spans="1:8" s="264" customFormat="1">
      <c r="A44" s="522">
        <v>44</v>
      </c>
      <c r="B44" s="523" t="s">
        <v>1503</v>
      </c>
      <c r="C44" s="524">
        <v>275</v>
      </c>
      <c r="D44" s="524">
        <v>600</v>
      </c>
      <c r="E44" s="523" t="s">
        <v>211</v>
      </c>
      <c r="F44" s="523" t="s">
        <v>755</v>
      </c>
    </row>
    <row r="45" spans="1:8" s="264" customFormat="1">
      <c r="A45" s="522">
        <v>45</v>
      </c>
      <c r="B45" s="523" t="s">
        <v>1492</v>
      </c>
      <c r="C45" s="524">
        <v>0</v>
      </c>
      <c r="D45" s="524"/>
      <c r="E45" s="523" t="s">
        <v>1493</v>
      </c>
      <c r="F45" s="523" t="s">
        <v>711</v>
      </c>
    </row>
    <row r="46" spans="1:8" s="264" customFormat="1">
      <c r="A46" s="522">
        <v>46</v>
      </c>
      <c r="B46" s="523" t="s">
        <v>1452</v>
      </c>
      <c r="C46" s="524">
        <v>0</v>
      </c>
      <c r="D46" s="524"/>
      <c r="E46" s="523" t="s">
        <v>1480</v>
      </c>
      <c r="F46" s="523" t="s">
        <v>755</v>
      </c>
    </row>
    <row r="47" spans="1:8" s="264" customFormat="1">
      <c r="A47" s="522">
        <v>47</v>
      </c>
      <c r="B47" s="523" t="s">
        <v>1469</v>
      </c>
      <c r="C47" s="524">
        <v>0</v>
      </c>
      <c r="D47" s="524"/>
      <c r="E47" s="523" t="s">
        <v>211</v>
      </c>
      <c r="F47" s="523" t="s">
        <v>711</v>
      </c>
    </row>
    <row r="48" spans="1:8">
      <c r="A48" s="522">
        <v>48</v>
      </c>
      <c r="B48" s="523" t="s">
        <v>1368</v>
      </c>
      <c r="C48" s="524">
        <v>0</v>
      </c>
      <c r="D48" s="524"/>
      <c r="E48" s="523" t="s">
        <v>1367</v>
      </c>
      <c r="F48" s="523" t="s">
        <v>711</v>
      </c>
    </row>
    <row r="49" spans="1:7">
      <c r="A49" s="522">
        <v>49</v>
      </c>
      <c r="B49" s="523" t="s">
        <v>1368</v>
      </c>
      <c r="C49" s="524">
        <v>0</v>
      </c>
      <c r="D49" s="524"/>
      <c r="E49" s="523" t="s">
        <v>211</v>
      </c>
      <c r="F49" s="523" t="s">
        <v>755</v>
      </c>
      <c r="G49" s="177" t="s">
        <v>267</v>
      </c>
    </row>
    <row r="50" spans="1:7">
      <c r="A50" s="522">
        <v>50</v>
      </c>
      <c r="B50" s="523" t="s">
        <v>1368</v>
      </c>
      <c r="C50" s="524">
        <v>0</v>
      </c>
      <c r="D50" s="524"/>
      <c r="E50" s="523" t="s">
        <v>211</v>
      </c>
      <c r="F50" s="523" t="s">
        <v>755</v>
      </c>
    </row>
    <row r="51" spans="1:7">
      <c r="A51" s="522">
        <v>51</v>
      </c>
      <c r="B51" s="523" t="s">
        <v>1453</v>
      </c>
      <c r="C51" s="524">
        <v>0</v>
      </c>
      <c r="D51" s="524">
        <v>775</v>
      </c>
      <c r="E51" s="523" t="s">
        <v>211</v>
      </c>
      <c r="F51" s="523" t="s">
        <v>711</v>
      </c>
    </row>
    <row r="52" spans="1:7">
      <c r="A52" s="522">
        <v>52</v>
      </c>
      <c r="B52" s="523" t="s">
        <v>1453</v>
      </c>
      <c r="C52" s="524">
        <v>0</v>
      </c>
      <c r="D52" s="524">
        <v>775</v>
      </c>
      <c r="E52" s="523" t="s">
        <v>211</v>
      </c>
      <c r="F52" s="523" t="s">
        <v>711</v>
      </c>
    </row>
    <row r="53" spans="1:7">
      <c r="A53" s="522">
        <v>53</v>
      </c>
      <c r="B53" s="523" t="s">
        <v>1453</v>
      </c>
      <c r="C53" s="524">
        <v>0</v>
      </c>
      <c r="D53" s="524">
        <v>575</v>
      </c>
      <c r="E53" s="523" t="s">
        <v>211</v>
      </c>
      <c r="F53" s="523" t="s">
        <v>711</v>
      </c>
    </row>
    <row r="54" spans="1:7">
      <c r="A54" s="522">
        <v>54</v>
      </c>
      <c r="B54" s="523" t="s">
        <v>1453</v>
      </c>
      <c r="C54" s="524">
        <v>0</v>
      </c>
      <c r="D54" s="524">
        <v>575</v>
      </c>
      <c r="E54" s="523" t="s">
        <v>211</v>
      </c>
      <c r="F54" s="523" t="s">
        <v>711</v>
      </c>
    </row>
    <row r="55" spans="1:7">
      <c r="A55" s="522">
        <v>55</v>
      </c>
      <c r="B55" s="523" t="s">
        <v>1453</v>
      </c>
      <c r="C55" s="524">
        <v>0</v>
      </c>
      <c r="D55" s="524">
        <v>575</v>
      </c>
      <c r="E55" s="523" t="s">
        <v>211</v>
      </c>
      <c r="F55" s="523" t="s">
        <v>711</v>
      </c>
    </row>
    <row r="56" spans="1:7" s="264" customFormat="1">
      <c r="A56" s="522"/>
      <c r="B56" s="523" t="s">
        <v>1504</v>
      </c>
      <c r="C56" s="524"/>
      <c r="D56" s="524">
        <v>575</v>
      </c>
      <c r="E56" s="523">
        <v>5545901660</v>
      </c>
      <c r="F56" s="523" t="s">
        <v>755</v>
      </c>
    </row>
    <row r="57" spans="1:7" s="264" customFormat="1">
      <c r="A57" s="522"/>
      <c r="B57" s="523" t="s">
        <v>206</v>
      </c>
      <c r="C57" s="524"/>
      <c r="D57" s="524">
        <v>775</v>
      </c>
      <c r="E57" s="523" t="s">
        <v>211</v>
      </c>
      <c r="F57" s="523" t="s">
        <v>711</v>
      </c>
    </row>
    <row r="58" spans="1:7">
      <c r="C58" s="529">
        <f>SUM(C1:C55)</f>
        <v>14902.5</v>
      </c>
      <c r="D58" s="529">
        <f>SUM(D1:D57)</f>
        <v>14200</v>
      </c>
    </row>
    <row r="59" spans="1:7">
      <c r="C59" s="642">
        <f>C58+D58</f>
        <v>29102.5</v>
      </c>
      <c r="D59" s="643"/>
    </row>
    <row r="60" spans="1:7">
      <c r="B60" s="519" t="s">
        <v>262</v>
      </c>
      <c r="C60" s="520">
        <v>6700</v>
      </c>
      <c r="D60" s="519">
        <v>1</v>
      </c>
      <c r="E60" s="520">
        <f>(D60*C60)</f>
        <v>6700</v>
      </c>
    </row>
    <row r="61" spans="1:7">
      <c r="B61" s="519" t="s">
        <v>311</v>
      </c>
      <c r="C61" s="520">
        <v>950</v>
      </c>
      <c r="D61" s="519">
        <v>1</v>
      </c>
      <c r="E61" s="520">
        <f>C61</f>
        <v>950</v>
      </c>
    </row>
    <row r="62" spans="1:7">
      <c r="B62" s="519" t="s">
        <v>263</v>
      </c>
      <c r="C62" s="520">
        <f>300-(300*10%)</f>
        <v>270</v>
      </c>
      <c r="D62" s="519">
        <v>30</v>
      </c>
      <c r="E62" s="520">
        <f>D62*C62</f>
        <v>8100</v>
      </c>
    </row>
    <row r="63" spans="1:7">
      <c r="B63" s="519" t="s">
        <v>264</v>
      </c>
      <c r="C63" s="520">
        <f>500-(500*10%)</f>
        <v>450</v>
      </c>
      <c r="D63" s="519">
        <v>12</v>
      </c>
      <c r="E63" s="520">
        <f>D63*C63</f>
        <v>5400</v>
      </c>
    </row>
    <row r="64" spans="1:7">
      <c r="B64" s="519" t="s">
        <v>266</v>
      </c>
      <c r="C64" s="519"/>
      <c r="D64" s="519">
        <f>D63+D62</f>
        <v>42</v>
      </c>
      <c r="E64" s="520">
        <f>E63+E62</f>
        <v>13500</v>
      </c>
    </row>
    <row r="65" spans="2:5">
      <c r="B65" s="519" t="s">
        <v>265</v>
      </c>
      <c r="C65" s="519"/>
      <c r="D65" s="519"/>
      <c r="E65" s="520">
        <f>E60+E61+E64</f>
        <v>21150</v>
      </c>
    </row>
    <row r="66" spans="2:5">
      <c r="B66" s="521" t="s">
        <v>7</v>
      </c>
      <c r="C66" s="521"/>
      <c r="D66" s="521"/>
      <c r="E66" s="520">
        <f>C59-E65</f>
        <v>7952.5</v>
      </c>
    </row>
  </sheetData>
  <mergeCells count="1">
    <mergeCell ref="C59:D59"/>
  </mergeCells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79"/>
  <sheetViews>
    <sheetView topLeftCell="A46" workbookViewId="0">
      <selection activeCell="A7" sqref="A1:XFD1048576"/>
    </sheetView>
  </sheetViews>
  <sheetFormatPr baseColWidth="10" defaultRowHeight="15"/>
  <cols>
    <col min="1" max="1" width="14.140625" style="264" bestFit="1" customWidth="1"/>
    <col min="2" max="2" width="30.42578125" style="264" customWidth="1"/>
    <col min="3" max="3" width="12.5703125" style="264" bestFit="1" customWidth="1"/>
    <col min="4" max="4" width="11.5703125" style="264" bestFit="1" customWidth="1"/>
    <col min="5" max="5" width="17.42578125" style="264" bestFit="1" customWidth="1"/>
    <col min="6" max="6" width="17.42578125" style="37" customWidth="1"/>
    <col min="7" max="7" width="12.7109375" style="264" bestFit="1" customWidth="1"/>
    <col min="8" max="8" width="15.5703125" style="264" bestFit="1" customWidth="1"/>
    <col min="9" max="9" width="16.140625" style="264" bestFit="1" customWidth="1"/>
    <col min="10" max="10" width="11.5703125" style="264" bestFit="1" customWidth="1"/>
    <col min="11" max="16384" width="11.42578125" style="264"/>
  </cols>
  <sheetData>
    <row r="1" spans="1:11">
      <c r="A1" s="122" t="s">
        <v>358</v>
      </c>
      <c r="B1" s="123" t="s">
        <v>357</v>
      </c>
      <c r="C1" s="123" t="s">
        <v>8</v>
      </c>
      <c r="D1" s="124" t="s">
        <v>350</v>
      </c>
      <c r="E1" s="125" t="s">
        <v>356</v>
      </c>
      <c r="F1" s="183" t="s">
        <v>539</v>
      </c>
      <c r="G1" s="183" t="s">
        <v>8</v>
      </c>
    </row>
    <row r="2" spans="1:11">
      <c r="A2" s="644">
        <v>4</v>
      </c>
      <c r="B2" s="206"/>
      <c r="C2" s="208">
        <v>23648</v>
      </c>
      <c r="D2" s="207">
        <f>C2/4</f>
        <v>5912</v>
      </c>
      <c r="E2" s="280"/>
      <c r="F2" s="208"/>
      <c r="G2" s="208"/>
      <c r="J2" s="62"/>
    </row>
    <row r="3" spans="1:11">
      <c r="A3" s="645"/>
      <c r="B3" s="206"/>
      <c r="C3" s="208">
        <f>19077+3624</f>
        <v>22701</v>
      </c>
      <c r="D3" s="206"/>
      <c r="E3" s="206"/>
      <c r="F3" s="208"/>
      <c r="G3" s="206"/>
      <c r="I3" s="264" t="s">
        <v>573</v>
      </c>
      <c r="J3" s="37"/>
    </row>
    <row r="4" spans="1:11">
      <c r="A4" s="646"/>
      <c r="B4" s="206"/>
      <c r="C4" s="208">
        <f>16452+3125</f>
        <v>19577</v>
      </c>
      <c r="D4" s="206"/>
      <c r="E4" s="206"/>
      <c r="F4" s="208"/>
      <c r="G4" s="206"/>
      <c r="I4" s="264">
        <f>333*3</f>
        <v>999</v>
      </c>
      <c r="J4" s="37" t="s">
        <v>574</v>
      </c>
    </row>
    <row r="5" spans="1:11">
      <c r="A5" s="201">
        <v>4</v>
      </c>
      <c r="B5" s="81"/>
      <c r="C5" s="82"/>
      <c r="D5" s="202"/>
      <c r="E5" s="214"/>
      <c r="F5" s="82"/>
      <c r="G5" s="82"/>
      <c r="I5" s="62">
        <f>I4+A14</f>
        <v>1563.102564102564</v>
      </c>
    </row>
    <row r="6" spans="1:11">
      <c r="A6" s="201"/>
      <c r="B6" s="81"/>
      <c r="C6" s="172"/>
      <c r="D6" s="204"/>
      <c r="E6" s="213"/>
      <c r="F6" s="172"/>
      <c r="G6" s="172"/>
    </row>
    <row r="7" spans="1:11" ht="15.75" thickBot="1">
      <c r="A7" s="201"/>
      <c r="B7" s="81"/>
      <c r="C7" s="82"/>
      <c r="D7" s="202">
        <f>C7/8</f>
        <v>0</v>
      </c>
      <c r="E7" s="213"/>
      <c r="F7" s="82"/>
      <c r="G7" s="82"/>
    </row>
    <row r="8" spans="1:11">
      <c r="A8" s="193"/>
      <c r="B8" s="81"/>
      <c r="C8" s="195"/>
      <c r="D8" s="196"/>
      <c r="E8" s="215"/>
      <c r="F8" s="172"/>
      <c r="G8" s="172"/>
      <c r="H8" s="136"/>
      <c r="I8" s="185" t="s">
        <v>555</v>
      </c>
      <c r="J8" s="185"/>
      <c r="K8" s="186"/>
    </row>
    <row r="9" spans="1:11">
      <c r="A9" s="193"/>
      <c r="B9" s="81"/>
      <c r="C9" s="199"/>
      <c r="D9" s="200"/>
      <c r="E9" s="200"/>
      <c r="F9" s="82"/>
      <c r="G9" s="82"/>
      <c r="H9" s="137"/>
      <c r="I9" s="178"/>
      <c r="J9" s="178"/>
      <c r="K9" s="187"/>
    </row>
    <row r="10" spans="1:11">
      <c r="A10" s="81"/>
      <c r="B10" s="81"/>
      <c r="C10" s="82"/>
      <c r="D10" s="205"/>
      <c r="E10" s="205"/>
      <c r="F10" s="82"/>
      <c r="G10" s="82"/>
      <c r="H10" s="137"/>
      <c r="I10" s="178"/>
      <c r="J10" s="178"/>
      <c r="K10" s="187"/>
    </row>
    <row r="11" spans="1:11">
      <c r="A11" s="206" t="s">
        <v>739</v>
      </c>
      <c r="B11" s="206" t="s">
        <v>1358</v>
      </c>
      <c r="C11" s="207">
        <f>SUM(C2:C10)</f>
        <v>65926</v>
      </c>
      <c r="D11" s="206"/>
      <c r="E11" s="206"/>
      <c r="F11" s="206"/>
      <c r="G11" s="208">
        <f>SUM(G5:G10)</f>
        <v>0</v>
      </c>
      <c r="H11" s="137"/>
      <c r="I11" s="178" t="s">
        <v>553</v>
      </c>
      <c r="J11" s="178">
        <f>8*4</f>
        <v>32</v>
      </c>
      <c r="K11" s="187" t="s">
        <v>554</v>
      </c>
    </row>
    <row r="12" spans="1:11" ht="15.75" thickBot="1">
      <c r="A12" s="101"/>
      <c r="B12" s="101"/>
      <c r="C12" s="102"/>
      <c r="D12" s="101"/>
      <c r="E12" s="78"/>
      <c r="F12" s="147"/>
      <c r="G12" s="79"/>
      <c r="H12" s="137"/>
      <c r="I12" s="178" t="s">
        <v>558</v>
      </c>
      <c r="J12" s="178" t="s">
        <v>557</v>
      </c>
      <c r="K12" s="187"/>
    </row>
    <row r="13" spans="1:11" s="78" customFormat="1">
      <c r="A13" s="103">
        <v>22000</v>
      </c>
      <c r="B13" s="104" t="s">
        <v>1</v>
      </c>
      <c r="C13" s="80"/>
      <c r="D13" s="78">
        <f>2*8</f>
        <v>16</v>
      </c>
      <c r="E13" s="80"/>
      <c r="F13" s="147"/>
      <c r="G13" s="79"/>
      <c r="H13" s="188" t="s">
        <v>549</v>
      </c>
      <c r="I13" s="101">
        <v>2923</v>
      </c>
      <c r="J13" s="101">
        <v>1796</v>
      </c>
      <c r="K13" s="189"/>
    </row>
    <row r="14" spans="1:11">
      <c r="A14" s="126">
        <f>A13/39</f>
        <v>564.10256410256409</v>
      </c>
      <c r="B14" s="127" t="s">
        <v>340</v>
      </c>
      <c r="D14" s="264">
        <f>D13*5</f>
        <v>80</v>
      </c>
      <c r="E14" s="62"/>
      <c r="F14" s="173"/>
      <c r="G14" s="75"/>
      <c r="H14" s="137" t="s">
        <v>550</v>
      </c>
      <c r="I14" s="178">
        <v>2200</v>
      </c>
      <c r="J14" s="178">
        <v>1330</v>
      </c>
      <c r="K14" s="187"/>
    </row>
    <row r="15" spans="1:11">
      <c r="A15" s="179"/>
      <c r="B15" s="180"/>
      <c r="C15" s="139"/>
      <c r="D15" s="178"/>
      <c r="H15" s="137" t="s">
        <v>551</v>
      </c>
      <c r="I15" s="178">
        <v>2391</v>
      </c>
      <c r="J15" s="178">
        <v>1447</v>
      </c>
      <c r="K15" s="187"/>
    </row>
    <row r="16" spans="1:11">
      <c r="A16" s="126"/>
      <c r="B16" s="127"/>
      <c r="C16" s="139"/>
      <c r="D16" s="178"/>
      <c r="H16" s="137" t="s">
        <v>552</v>
      </c>
      <c r="I16" s="178">
        <v>2657</v>
      </c>
      <c r="J16" s="178">
        <v>1564</v>
      </c>
      <c r="K16" s="187"/>
    </row>
    <row r="17" spans="1:11" ht="15.75" thickBot="1">
      <c r="A17" s="181"/>
      <c r="B17" s="182"/>
      <c r="C17" s="139"/>
      <c r="D17" s="178"/>
      <c r="G17" s="62"/>
      <c r="H17" s="153" t="s">
        <v>556</v>
      </c>
      <c r="I17" s="190"/>
      <c r="J17" s="190"/>
      <c r="K17" s="191"/>
    </row>
    <row r="18" spans="1:11" ht="18.75">
      <c r="H18" s="76"/>
      <c r="I18" s="70"/>
    </row>
    <row r="19" spans="1:11">
      <c r="A19" s="100" t="s">
        <v>354</v>
      </c>
      <c r="B19" s="100" t="s">
        <v>353</v>
      </c>
      <c r="C19" s="100" t="s">
        <v>328</v>
      </c>
      <c r="D19" s="100" t="s">
        <v>341</v>
      </c>
      <c r="E19" s="162" t="s">
        <v>441</v>
      </c>
      <c r="F19" s="163" t="s">
        <v>442</v>
      </c>
      <c r="G19" s="163" t="s">
        <v>540</v>
      </c>
      <c r="J19" s="192"/>
    </row>
    <row r="20" spans="1:11">
      <c r="A20" s="530">
        <v>1</v>
      </c>
      <c r="B20" s="531" t="s">
        <v>0</v>
      </c>
      <c r="C20" s="532">
        <v>0</v>
      </c>
      <c r="D20" s="532">
        <v>0</v>
      </c>
      <c r="E20" s="530" t="s">
        <v>37</v>
      </c>
      <c r="F20" s="532" t="s">
        <v>1517</v>
      </c>
      <c r="G20" s="532"/>
    </row>
    <row r="21" spans="1:11">
      <c r="A21" s="533"/>
      <c r="B21" s="534" t="s">
        <v>1476</v>
      </c>
      <c r="C21" s="535">
        <v>2700</v>
      </c>
      <c r="D21" s="535">
        <v>0</v>
      </c>
      <c r="E21" s="533" t="s">
        <v>1477</v>
      </c>
      <c r="F21" s="532" t="s">
        <v>1520</v>
      </c>
      <c r="G21" s="532"/>
    </row>
    <row r="22" spans="1:11">
      <c r="A22" s="536"/>
      <c r="B22" s="534" t="s">
        <v>1524</v>
      </c>
      <c r="C22" s="535">
        <v>2700</v>
      </c>
      <c r="D22" s="535">
        <v>0</v>
      </c>
      <c r="E22" s="533" t="s">
        <v>1493</v>
      </c>
      <c r="F22" s="535" t="s">
        <v>1525</v>
      </c>
      <c r="G22" s="535"/>
    </row>
    <row r="23" spans="1:11">
      <c r="A23" s="536"/>
      <c r="B23" s="534" t="s">
        <v>1526</v>
      </c>
      <c r="C23" s="535">
        <v>1500</v>
      </c>
      <c r="D23" s="535">
        <v>0</v>
      </c>
      <c r="E23" s="533" t="s">
        <v>1219</v>
      </c>
      <c r="F23" s="535" t="s">
        <v>1517</v>
      </c>
      <c r="G23" s="535"/>
    </row>
    <row r="24" spans="1:11">
      <c r="A24" s="537"/>
      <c r="B24" s="538" t="s">
        <v>990</v>
      </c>
      <c r="C24" s="539">
        <v>500</v>
      </c>
      <c r="D24" s="539">
        <f>2600-C24</f>
        <v>2100</v>
      </c>
      <c r="E24" s="537" t="s">
        <v>1518</v>
      </c>
      <c r="F24" s="539" t="s">
        <v>1517</v>
      </c>
      <c r="G24" s="539" t="s">
        <v>1196</v>
      </c>
    </row>
    <row r="25" spans="1:11">
      <c r="A25" s="537"/>
      <c r="B25" s="538" t="s">
        <v>1511</v>
      </c>
      <c r="C25" s="539">
        <v>500</v>
      </c>
      <c r="D25" s="539">
        <f>2700-C25</f>
        <v>2200</v>
      </c>
      <c r="E25" s="537" t="s">
        <v>1512</v>
      </c>
      <c r="F25" s="539" t="s">
        <v>1517</v>
      </c>
      <c r="G25" s="539"/>
    </row>
    <row r="26" spans="1:11">
      <c r="A26" s="540"/>
      <c r="B26" s="538" t="s">
        <v>1134</v>
      </c>
      <c r="C26" s="539">
        <f>1300+600</f>
        <v>1900</v>
      </c>
      <c r="D26" s="539">
        <f>2700-C26</f>
        <v>800</v>
      </c>
      <c r="E26" s="537" t="s">
        <v>1447</v>
      </c>
      <c r="F26" s="539" t="s">
        <v>1517</v>
      </c>
      <c r="G26" s="539"/>
    </row>
    <row r="27" spans="1:11">
      <c r="A27" s="540"/>
      <c r="B27" s="538" t="s">
        <v>1021</v>
      </c>
      <c r="C27" s="539">
        <f>500+500+500+800</f>
        <v>2300</v>
      </c>
      <c r="D27" s="539">
        <f>2600-C27</f>
        <v>300</v>
      </c>
      <c r="E27" s="537" t="s">
        <v>1382</v>
      </c>
      <c r="F27" s="539" t="s">
        <v>1517</v>
      </c>
      <c r="G27" s="539"/>
      <c r="I27" s="37"/>
      <c r="J27" s="62"/>
    </row>
    <row r="28" spans="1:11">
      <c r="A28" s="541"/>
      <c r="B28" s="542" t="s">
        <v>1162</v>
      </c>
      <c r="C28" s="543">
        <f>500+400+500+1300</f>
        <v>2700</v>
      </c>
      <c r="D28" s="543">
        <f t="shared" ref="D28:D35" si="0">2700-C28</f>
        <v>0</v>
      </c>
      <c r="E28" s="541" t="s">
        <v>1523</v>
      </c>
      <c r="F28" s="543" t="s">
        <v>1517</v>
      </c>
      <c r="G28" s="543"/>
    </row>
    <row r="29" spans="1:11">
      <c r="A29" s="541"/>
      <c r="B29" s="542" t="s">
        <v>1161</v>
      </c>
      <c r="C29" s="543">
        <f>500+400+500+1300</f>
        <v>2700</v>
      </c>
      <c r="D29" s="543">
        <f t="shared" si="0"/>
        <v>0</v>
      </c>
      <c r="E29" s="541" t="s">
        <v>1160</v>
      </c>
      <c r="F29" s="543" t="s">
        <v>1517</v>
      </c>
      <c r="G29" s="543"/>
    </row>
    <row r="30" spans="1:11">
      <c r="A30" s="544"/>
      <c r="B30" s="542" t="s">
        <v>1214</v>
      </c>
      <c r="C30" s="543">
        <f>500+500+1700</f>
        <v>2700</v>
      </c>
      <c r="D30" s="543">
        <f t="shared" si="0"/>
        <v>0</v>
      </c>
      <c r="E30" s="541" t="s">
        <v>1215</v>
      </c>
      <c r="F30" s="543" t="s">
        <v>1517</v>
      </c>
      <c r="G30" s="543"/>
    </row>
    <row r="31" spans="1:11">
      <c r="A31" s="544"/>
      <c r="B31" s="542" t="s">
        <v>1213</v>
      </c>
      <c r="C31" s="543">
        <f>500+1500+700</f>
        <v>2700</v>
      </c>
      <c r="D31" s="543">
        <f t="shared" si="0"/>
        <v>0</v>
      </c>
      <c r="E31" s="541" t="s">
        <v>1519</v>
      </c>
      <c r="F31" s="543" t="s">
        <v>1517</v>
      </c>
      <c r="G31" s="543"/>
    </row>
    <row r="32" spans="1:11">
      <c r="A32" s="545"/>
      <c r="B32" s="546" t="s">
        <v>1298</v>
      </c>
      <c r="C32" s="547">
        <f>2700</f>
        <v>2700</v>
      </c>
      <c r="D32" s="547">
        <f t="shared" si="0"/>
        <v>0</v>
      </c>
      <c r="E32" s="545" t="s">
        <v>1437</v>
      </c>
      <c r="F32" s="547" t="s">
        <v>1517</v>
      </c>
      <c r="G32" s="547"/>
    </row>
    <row r="33" spans="1:9">
      <c r="A33" s="545"/>
      <c r="B33" s="546" t="s">
        <v>1297</v>
      </c>
      <c r="C33" s="547">
        <f>500+500+1700</f>
        <v>2700</v>
      </c>
      <c r="D33" s="547">
        <f t="shared" si="0"/>
        <v>0</v>
      </c>
      <c r="E33" s="547" t="s">
        <v>1515</v>
      </c>
      <c r="F33" s="548" t="s">
        <v>1517</v>
      </c>
      <c r="G33" s="547"/>
    </row>
    <row r="34" spans="1:9">
      <c r="A34" s="549"/>
      <c r="B34" s="546" t="s">
        <v>1139</v>
      </c>
      <c r="C34" s="547">
        <f>500+500+1000+700</f>
        <v>2700</v>
      </c>
      <c r="D34" s="547">
        <f t="shared" si="0"/>
        <v>0</v>
      </c>
      <c r="E34" s="547" t="s">
        <v>1138</v>
      </c>
      <c r="F34" s="547" t="s">
        <v>1517</v>
      </c>
      <c r="G34" s="547" t="s">
        <v>1196</v>
      </c>
    </row>
    <row r="35" spans="1:9">
      <c r="A35" s="549"/>
      <c r="B35" s="546" t="s">
        <v>1084</v>
      </c>
      <c r="C35" s="547">
        <f>500+500+1700</f>
        <v>2700</v>
      </c>
      <c r="D35" s="547">
        <f t="shared" si="0"/>
        <v>0</v>
      </c>
      <c r="E35" s="547" t="s">
        <v>211</v>
      </c>
      <c r="F35" s="547" t="s">
        <v>1517</v>
      </c>
      <c r="G35" s="547" t="s">
        <v>1196</v>
      </c>
    </row>
    <row r="36" spans="1:9">
      <c r="A36" s="550"/>
      <c r="B36" s="550" t="s">
        <v>1513</v>
      </c>
      <c r="C36" s="551">
        <v>2700</v>
      </c>
      <c r="D36" s="551">
        <v>0</v>
      </c>
      <c r="E36" s="551" t="s">
        <v>1514</v>
      </c>
      <c r="F36" s="551" t="s">
        <v>1517</v>
      </c>
      <c r="G36" s="551"/>
    </row>
    <row r="37" spans="1:9">
      <c r="A37" s="550"/>
      <c r="B37" s="550" t="s">
        <v>1470</v>
      </c>
      <c r="C37" s="551">
        <v>2700</v>
      </c>
      <c r="D37" s="551">
        <v>0</v>
      </c>
      <c r="E37" s="551" t="s">
        <v>1471</v>
      </c>
      <c r="F37" s="551" t="s">
        <v>1517</v>
      </c>
      <c r="G37" s="551"/>
    </row>
    <row r="38" spans="1:9">
      <c r="A38" s="550"/>
      <c r="B38" s="550" t="s">
        <v>1475</v>
      </c>
      <c r="C38" s="551">
        <v>2700</v>
      </c>
      <c r="D38" s="551">
        <v>0</v>
      </c>
      <c r="E38" s="551" t="s">
        <v>1289</v>
      </c>
      <c r="F38" s="551" t="s">
        <v>1517</v>
      </c>
      <c r="G38" s="551"/>
    </row>
    <row r="39" spans="1:9">
      <c r="A39" s="550"/>
      <c r="B39" s="550" t="s">
        <v>1140</v>
      </c>
      <c r="C39" s="551">
        <f>500+500+1000+700</f>
        <v>2700</v>
      </c>
      <c r="D39" s="551">
        <f>2700-C39</f>
        <v>0</v>
      </c>
      <c r="E39" s="551" t="s">
        <v>1141</v>
      </c>
      <c r="F39" s="551" t="s">
        <v>1517</v>
      </c>
      <c r="G39" s="551"/>
    </row>
    <row r="40" spans="1:9">
      <c r="A40" s="541"/>
      <c r="B40" s="542" t="s">
        <v>1396</v>
      </c>
      <c r="C40" s="552">
        <v>2700</v>
      </c>
      <c r="D40" s="543">
        <v>0</v>
      </c>
      <c r="E40" s="541" t="s">
        <v>1395</v>
      </c>
      <c r="F40" s="543" t="s">
        <v>1517</v>
      </c>
      <c r="G40" s="543"/>
    </row>
    <row r="41" spans="1:9">
      <c r="A41" s="541"/>
      <c r="B41" s="542" t="s">
        <v>1456</v>
      </c>
      <c r="C41" s="552">
        <f>2700</f>
        <v>2700</v>
      </c>
      <c r="D41" s="543">
        <v>0</v>
      </c>
      <c r="E41" s="541" t="s">
        <v>1457</v>
      </c>
      <c r="F41" s="543" t="s">
        <v>1517</v>
      </c>
      <c r="G41" s="543" t="s">
        <v>1196</v>
      </c>
    </row>
    <row r="42" spans="1:9">
      <c r="A42" s="544"/>
      <c r="B42" s="542" t="s">
        <v>259</v>
      </c>
      <c r="C42" s="543">
        <f>500+2150</f>
        <v>2650</v>
      </c>
      <c r="D42" s="543">
        <f>2650-C42</f>
        <v>0</v>
      </c>
      <c r="E42" s="541" t="s">
        <v>250</v>
      </c>
      <c r="F42" s="543" t="s">
        <v>1517</v>
      </c>
      <c r="G42" s="543" t="s">
        <v>1196</v>
      </c>
    </row>
    <row r="43" spans="1:9">
      <c r="A43" s="544"/>
      <c r="B43" s="542" t="s">
        <v>1448</v>
      </c>
      <c r="C43" s="543">
        <f>1500+1000+150</f>
        <v>2650</v>
      </c>
      <c r="D43" s="543">
        <f>2650-C43</f>
        <v>0</v>
      </c>
      <c r="E43" s="541" t="s">
        <v>983</v>
      </c>
      <c r="F43" s="543" t="s">
        <v>1517</v>
      </c>
      <c r="G43" s="543"/>
    </row>
    <row r="44" spans="1:9">
      <c r="A44" s="553"/>
      <c r="B44" s="554" t="s">
        <v>1451</v>
      </c>
      <c r="C44" s="555">
        <v>2700</v>
      </c>
      <c r="D44" s="555">
        <v>0</v>
      </c>
      <c r="E44" s="555" t="s">
        <v>211</v>
      </c>
      <c r="F44" s="553" t="s">
        <v>1517</v>
      </c>
      <c r="G44" s="553"/>
      <c r="H44"/>
    </row>
    <row r="45" spans="1:9">
      <c r="A45" s="553"/>
      <c r="B45" s="553" t="s">
        <v>737</v>
      </c>
      <c r="C45" s="555">
        <f>600+1800</f>
        <v>2400</v>
      </c>
      <c r="D45" s="556">
        <f>2400-C45</f>
        <v>0</v>
      </c>
      <c r="E45" s="553" t="s">
        <v>211</v>
      </c>
      <c r="F45" s="553" t="s">
        <v>1517</v>
      </c>
      <c r="G45" s="553"/>
      <c r="H45"/>
    </row>
    <row r="46" spans="1:9">
      <c r="A46" s="557"/>
      <c r="B46" s="553" t="s">
        <v>1510</v>
      </c>
      <c r="C46" s="555">
        <f>600+1750</f>
        <v>2350</v>
      </c>
      <c r="D46" s="556">
        <f>2350-C46</f>
        <v>0</v>
      </c>
      <c r="E46" s="553" t="s">
        <v>211</v>
      </c>
      <c r="F46" s="553" t="s">
        <v>1517</v>
      </c>
      <c r="G46" s="553"/>
      <c r="H46"/>
    </row>
    <row r="47" spans="1:9">
      <c r="A47" s="557"/>
      <c r="B47" s="553" t="s">
        <v>738</v>
      </c>
      <c r="C47" s="555">
        <f>600+600+500+500+150</f>
        <v>2350</v>
      </c>
      <c r="D47" s="556">
        <f>2350-C47</f>
        <v>0</v>
      </c>
      <c r="E47" s="553" t="s">
        <v>736</v>
      </c>
      <c r="F47" s="553" t="s">
        <v>1517</v>
      </c>
      <c r="G47" s="553"/>
      <c r="H47" s="62"/>
    </row>
    <row r="48" spans="1:9">
      <c r="A48" s="558"/>
      <c r="B48" s="558" t="s">
        <v>863</v>
      </c>
      <c r="C48" s="559">
        <f>500+200+200+200+250+400+400+400</f>
        <v>2550</v>
      </c>
      <c r="D48" s="559">
        <f>2550-C48</f>
        <v>0</v>
      </c>
      <c r="E48" s="558" t="s">
        <v>71</v>
      </c>
      <c r="F48" s="558" t="s">
        <v>1517</v>
      </c>
      <c r="G48" s="558" t="s">
        <v>1196</v>
      </c>
      <c r="I48" s="37"/>
    </row>
    <row r="49" spans="1:10">
      <c r="A49" s="558"/>
      <c r="B49" s="558" t="s">
        <v>1024</v>
      </c>
      <c r="C49" s="559">
        <f>500+2100</f>
        <v>2600</v>
      </c>
      <c r="D49" s="559">
        <f>2600-C49</f>
        <v>0</v>
      </c>
      <c r="E49" s="558" t="s">
        <v>1026</v>
      </c>
      <c r="F49" s="558" t="s">
        <v>1517</v>
      </c>
      <c r="G49" s="558"/>
    </row>
    <row r="50" spans="1:10">
      <c r="A50" s="558"/>
      <c r="B50" s="558" t="s">
        <v>1025</v>
      </c>
      <c r="C50" s="559">
        <f>500+400+1700</f>
        <v>2600</v>
      </c>
      <c r="D50" s="559">
        <f>2600-C50</f>
        <v>0</v>
      </c>
      <c r="E50" s="558" t="s">
        <v>211</v>
      </c>
      <c r="F50" s="558" t="s">
        <v>1517</v>
      </c>
      <c r="G50" s="558"/>
      <c r="I50" s="101"/>
    </row>
    <row r="51" spans="1:10">
      <c r="A51" s="558"/>
      <c r="B51" s="558" t="s">
        <v>1294</v>
      </c>
      <c r="C51" s="559">
        <f>1000+1500+200</f>
        <v>2700</v>
      </c>
      <c r="D51" s="559">
        <f>2700-C51</f>
        <v>0</v>
      </c>
      <c r="E51" s="558" t="s">
        <v>1293</v>
      </c>
      <c r="F51" s="558" t="s">
        <v>1517</v>
      </c>
      <c r="G51" s="558"/>
    </row>
    <row r="52" spans="1:10">
      <c r="A52" s="560"/>
      <c r="B52" s="546" t="s">
        <v>1397</v>
      </c>
      <c r="C52" s="547">
        <f>500+500+500+1000+200</f>
        <v>2700</v>
      </c>
      <c r="D52" s="547">
        <f>2700-C52</f>
        <v>0</v>
      </c>
      <c r="E52" s="547" t="s">
        <v>1465</v>
      </c>
      <c r="F52" s="548" t="s">
        <v>1517</v>
      </c>
      <c r="G52" s="548"/>
    </row>
    <row r="53" spans="1:10">
      <c r="A53" s="560"/>
      <c r="B53" s="546" t="s">
        <v>1120</v>
      </c>
      <c r="C53" s="547">
        <f>1000+500+500+560</f>
        <v>2560</v>
      </c>
      <c r="D53" s="547">
        <f>2560-C53</f>
        <v>0</v>
      </c>
      <c r="E53" s="545" t="s">
        <v>1119</v>
      </c>
      <c r="F53" s="547" t="s">
        <v>1517</v>
      </c>
      <c r="G53" s="548"/>
      <c r="I53" s="37"/>
      <c r="J53" s="37"/>
    </row>
    <row r="54" spans="1:10">
      <c r="A54" s="560"/>
      <c r="B54" s="546" t="s">
        <v>892</v>
      </c>
      <c r="C54" s="547">
        <f>500+1000+1150</f>
        <v>2650</v>
      </c>
      <c r="D54" s="547">
        <f>2650-C54</f>
        <v>0</v>
      </c>
      <c r="E54" s="545" t="s">
        <v>887</v>
      </c>
      <c r="F54" s="547" t="s">
        <v>1517</v>
      </c>
      <c r="G54" s="548" t="s">
        <v>1196</v>
      </c>
      <c r="I54" s="37"/>
      <c r="J54" s="37"/>
    </row>
    <row r="55" spans="1:10">
      <c r="A55" s="560"/>
      <c r="B55" s="546" t="s">
        <v>1125</v>
      </c>
      <c r="C55" s="547">
        <f>500+1000+1050+100</f>
        <v>2650</v>
      </c>
      <c r="D55" s="547">
        <f>2650-C55</f>
        <v>0</v>
      </c>
      <c r="E55" s="545" t="s">
        <v>1188</v>
      </c>
      <c r="F55" s="547" t="s">
        <v>1496</v>
      </c>
      <c r="G55" s="548"/>
      <c r="I55" s="37"/>
      <c r="J55" s="37"/>
    </row>
    <row r="56" spans="1:10">
      <c r="A56" s="518"/>
      <c r="B56" s="498" t="s">
        <v>1208</v>
      </c>
      <c r="C56" s="499">
        <f>500+2200</f>
        <v>2700</v>
      </c>
      <c r="D56" s="499">
        <f>2700-C56</f>
        <v>0</v>
      </c>
      <c r="E56" s="499" t="s">
        <v>1209</v>
      </c>
      <c r="F56" s="499" t="s">
        <v>1517</v>
      </c>
      <c r="G56" s="499"/>
      <c r="I56" s="37"/>
      <c r="J56" s="37"/>
    </row>
    <row r="57" spans="1:10">
      <c r="A57" s="518"/>
      <c r="B57" s="498" t="s">
        <v>753</v>
      </c>
      <c r="C57" s="499">
        <v>2450</v>
      </c>
      <c r="D57" s="499">
        <v>0</v>
      </c>
      <c r="E57" s="499" t="s">
        <v>246</v>
      </c>
      <c r="F57" s="499" t="s">
        <v>1517</v>
      </c>
      <c r="G57" s="499" t="s">
        <v>1196</v>
      </c>
      <c r="I57" s="37"/>
    </row>
    <row r="58" spans="1:10">
      <c r="A58" s="518"/>
      <c r="B58" s="498" t="s">
        <v>1231</v>
      </c>
      <c r="C58" s="499">
        <f>500+2200</f>
        <v>2700</v>
      </c>
      <c r="D58" s="499">
        <f>2700-C58</f>
        <v>0</v>
      </c>
      <c r="E58" s="499" t="s">
        <v>1232</v>
      </c>
      <c r="F58" s="499" t="s">
        <v>1517</v>
      </c>
      <c r="G58" s="499"/>
      <c r="I58" s="37"/>
      <c r="J58" s="62"/>
    </row>
    <row r="59" spans="1:10">
      <c r="A59" s="518"/>
      <c r="B59" s="498" t="s">
        <v>1521</v>
      </c>
      <c r="C59" s="499">
        <v>2700</v>
      </c>
      <c r="D59" s="499"/>
      <c r="E59" s="499" t="s">
        <v>1522</v>
      </c>
      <c r="F59" s="499" t="s">
        <v>1517</v>
      </c>
      <c r="G59" s="499"/>
      <c r="I59" s="37"/>
      <c r="J59" s="62"/>
    </row>
    <row r="60" spans="1:10">
      <c r="A60" s="184"/>
      <c r="B60" s="184" t="s">
        <v>1131</v>
      </c>
      <c r="C60" s="172">
        <v>2700</v>
      </c>
      <c r="D60" s="172">
        <f>2700-C60</f>
        <v>0</v>
      </c>
      <c r="E60" s="381" t="s">
        <v>1446</v>
      </c>
      <c r="F60" s="172"/>
      <c r="G60" s="172"/>
    </row>
    <row r="61" spans="1:10">
      <c r="A61" s="184"/>
      <c r="B61" s="184" t="s">
        <v>1132</v>
      </c>
      <c r="C61" s="172">
        <f>500+2200</f>
        <v>2700</v>
      </c>
      <c r="D61" s="172">
        <f>2700-C61</f>
        <v>0</v>
      </c>
      <c r="E61" s="381" t="s">
        <v>211</v>
      </c>
      <c r="F61" s="172"/>
      <c r="G61" s="172"/>
    </row>
    <row r="62" spans="1:10">
      <c r="A62" s="184"/>
      <c r="B62" s="184" t="s">
        <v>1516</v>
      </c>
      <c r="C62" s="172">
        <v>2700</v>
      </c>
      <c r="D62" s="172">
        <v>0</v>
      </c>
      <c r="E62" s="381" t="s">
        <v>211</v>
      </c>
      <c r="F62" s="172"/>
      <c r="G62" s="172"/>
    </row>
    <row r="63" spans="1:10">
      <c r="A63" s="184"/>
      <c r="B63" s="184"/>
      <c r="C63" s="172"/>
      <c r="D63" s="172"/>
      <c r="E63" s="381"/>
      <c r="F63" s="172"/>
      <c r="G63" s="172"/>
    </row>
    <row r="64" spans="1:10">
      <c r="B64" s="118"/>
      <c r="C64" s="77">
        <f>SUM(C20:C63)</f>
        <v>104660</v>
      </c>
      <c r="D64" s="77">
        <f>SUM(D20:D63)</f>
        <v>5400</v>
      </c>
      <c r="G64" s="77">
        <f>SUM(G20:G55)</f>
        <v>0</v>
      </c>
      <c r="I64" s="70"/>
    </row>
    <row r="65" spans="1:10">
      <c r="B65" s="118"/>
      <c r="C65" s="632">
        <f>C64+D64</f>
        <v>110060</v>
      </c>
      <c r="D65" s="633"/>
      <c r="I65" s="62"/>
      <c r="J65" s="62"/>
    </row>
    <row r="67" spans="1:10" ht="15.75" thickBot="1">
      <c r="A67" s="628" t="s">
        <v>348</v>
      </c>
      <c r="B67" s="629"/>
      <c r="C67" s="630">
        <f>C11</f>
        <v>65926</v>
      </c>
      <c r="D67" s="631"/>
      <c r="E67" s="37"/>
      <c r="I67" s="62"/>
      <c r="J67" s="62"/>
    </row>
    <row r="68" spans="1:10" ht="15.75" thickBot="1">
      <c r="A68" s="628" t="s">
        <v>262</v>
      </c>
      <c r="B68" s="629"/>
      <c r="C68" s="634">
        <v>22000</v>
      </c>
      <c r="D68" s="635"/>
      <c r="E68" s="37"/>
      <c r="F68" s="164"/>
      <c r="G68" s="165" t="s">
        <v>433</v>
      </c>
      <c r="H68" s="166" t="s">
        <v>434</v>
      </c>
      <c r="I68" s="167" t="s">
        <v>532</v>
      </c>
      <c r="J68" s="62"/>
    </row>
    <row r="69" spans="1:10">
      <c r="A69" s="628" t="s">
        <v>355</v>
      </c>
      <c r="B69" s="629"/>
      <c r="C69" s="630">
        <v>4000</v>
      </c>
      <c r="D69" s="631"/>
      <c r="E69" s="37"/>
      <c r="F69" s="148" t="s">
        <v>281</v>
      </c>
      <c r="G69" s="139">
        <v>2160</v>
      </c>
      <c r="H69" s="150" t="s">
        <v>211</v>
      </c>
      <c r="I69" s="154" t="s">
        <v>386</v>
      </c>
    </row>
    <row r="70" spans="1:10">
      <c r="A70" s="628" t="s">
        <v>7</v>
      </c>
      <c r="B70" s="629"/>
      <c r="C70" s="630">
        <f>(C65-C67-C68-C69)-(2700-2700-1500)</f>
        <v>19634</v>
      </c>
      <c r="D70" s="631"/>
      <c r="E70" s="37"/>
      <c r="F70" s="148" t="s">
        <v>430</v>
      </c>
      <c r="G70" s="139">
        <v>2500</v>
      </c>
      <c r="H70" s="150">
        <v>2350</v>
      </c>
      <c r="I70" s="154">
        <v>680</v>
      </c>
    </row>
    <row r="71" spans="1:10">
      <c r="D71" s="62"/>
      <c r="F71" s="148" t="s">
        <v>431</v>
      </c>
      <c r="G71" s="139">
        <v>2550</v>
      </c>
      <c r="H71" s="150">
        <v>2350</v>
      </c>
      <c r="I71" s="154">
        <v>730</v>
      </c>
      <c r="J71" s="62"/>
    </row>
    <row r="72" spans="1:10" ht="15.75" thickBot="1">
      <c r="F72" s="149" t="s">
        <v>432</v>
      </c>
      <c r="G72" s="151">
        <v>2700</v>
      </c>
      <c r="H72" s="152">
        <v>2500</v>
      </c>
      <c r="I72" s="155">
        <v>750</v>
      </c>
    </row>
    <row r="73" spans="1:10" ht="15.75" thickBot="1">
      <c r="D73" s="62"/>
      <c r="F73" s="158" t="s">
        <v>435</v>
      </c>
      <c r="G73" s="156">
        <v>3330</v>
      </c>
      <c r="H73" s="156">
        <v>3050</v>
      </c>
      <c r="I73" s="157">
        <v>2850</v>
      </c>
    </row>
    <row r="74" spans="1:10">
      <c r="A74" s="37">
        <v>21000</v>
      </c>
      <c r="B74" s="264" t="s">
        <v>529</v>
      </c>
    </row>
    <row r="75" spans="1:10">
      <c r="A75" s="37">
        <v>22000</v>
      </c>
      <c r="B75" s="264" t="s">
        <v>530</v>
      </c>
    </row>
    <row r="76" spans="1:10">
      <c r="F76" s="278"/>
    </row>
    <row r="77" spans="1:10">
      <c r="F77" s="279"/>
    </row>
    <row r="79" spans="1:10">
      <c r="A79" s="264">
        <f>520</f>
        <v>520</v>
      </c>
    </row>
  </sheetData>
  <mergeCells count="10">
    <mergeCell ref="A2:A4"/>
    <mergeCell ref="A70:B70"/>
    <mergeCell ref="C70:D70"/>
    <mergeCell ref="C65:D65"/>
    <mergeCell ref="A67:B67"/>
    <mergeCell ref="C67:D67"/>
    <mergeCell ref="A68:B68"/>
    <mergeCell ref="C68:D68"/>
    <mergeCell ref="A69:B69"/>
    <mergeCell ref="C69:D69"/>
  </mergeCells>
  <pageMargins left="0.7" right="0.7" top="0.75" bottom="0.75" header="0.3" footer="0.3"/>
  <pageSetup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5"/>
  <sheetViews>
    <sheetView workbookViewId="0">
      <selection activeCell="C1" sqref="C1:D1048576"/>
    </sheetView>
  </sheetViews>
  <sheetFormatPr baseColWidth="10" defaultRowHeight="15"/>
  <cols>
    <col min="1" max="1" width="3.5703125" style="561" bestFit="1" customWidth="1"/>
    <col min="2" max="2" width="30.42578125" style="561" customWidth="1"/>
    <col min="3" max="3" width="24.7109375" style="584" bestFit="1" customWidth="1"/>
    <col min="4" max="4" width="15.5703125" style="561" bestFit="1" customWidth="1"/>
    <col min="5" max="5" width="16.140625" style="561" bestFit="1" customWidth="1"/>
    <col min="6" max="6" width="11.5703125" style="561" bestFit="1" customWidth="1"/>
    <col min="7" max="16384" width="11.42578125" style="561"/>
  </cols>
  <sheetData>
    <row r="1" spans="1:6" ht="15.75" thickBot="1"/>
    <row r="2" spans="1:6">
      <c r="A2" s="649">
        <v>1</v>
      </c>
      <c r="B2" s="565" t="s">
        <v>0</v>
      </c>
      <c r="C2" s="574" t="s">
        <v>37</v>
      </c>
    </row>
    <row r="3" spans="1:6">
      <c r="A3" s="647"/>
      <c r="B3" s="566" t="s">
        <v>1476</v>
      </c>
      <c r="C3" s="575" t="s">
        <v>1477</v>
      </c>
    </row>
    <row r="4" spans="1:6">
      <c r="A4" s="647"/>
      <c r="B4" s="566" t="s">
        <v>1524</v>
      </c>
      <c r="C4" s="575" t="s">
        <v>1493</v>
      </c>
    </row>
    <row r="5" spans="1:6" ht="15.75" thickBot="1">
      <c r="A5" s="647"/>
      <c r="B5" s="567" t="s">
        <v>1526</v>
      </c>
      <c r="C5" s="576" t="s">
        <v>1219</v>
      </c>
    </row>
    <row r="6" spans="1:6">
      <c r="A6" s="647">
        <v>2</v>
      </c>
      <c r="B6" s="565" t="s">
        <v>990</v>
      </c>
      <c r="C6" s="574" t="s">
        <v>1518</v>
      </c>
    </row>
    <row r="7" spans="1:6">
      <c r="A7" s="647"/>
      <c r="B7" s="566" t="s">
        <v>1511</v>
      </c>
      <c r="C7" s="575" t="s">
        <v>1512</v>
      </c>
    </row>
    <row r="8" spans="1:6">
      <c r="A8" s="647"/>
      <c r="B8" s="566" t="s">
        <v>1134</v>
      </c>
      <c r="C8" s="575" t="s">
        <v>1447</v>
      </c>
    </row>
    <row r="9" spans="1:6" ht="15.75" thickBot="1">
      <c r="A9" s="647"/>
      <c r="B9" s="567" t="s">
        <v>1021</v>
      </c>
      <c r="C9" s="576" t="s">
        <v>1382</v>
      </c>
      <c r="E9" s="562"/>
      <c r="F9" s="563"/>
    </row>
    <row r="10" spans="1:6">
      <c r="A10" s="647">
        <v>3</v>
      </c>
      <c r="B10" s="565" t="s">
        <v>1162</v>
      </c>
      <c r="C10" s="574" t="s">
        <v>1523</v>
      </c>
    </row>
    <row r="11" spans="1:6">
      <c r="A11" s="647"/>
      <c r="B11" s="566" t="s">
        <v>1161</v>
      </c>
      <c r="C11" s="575" t="s">
        <v>1160</v>
      </c>
    </row>
    <row r="12" spans="1:6">
      <c r="A12" s="647"/>
      <c r="B12" s="566" t="s">
        <v>1214</v>
      </c>
      <c r="C12" s="575" t="s">
        <v>1215</v>
      </c>
    </row>
    <row r="13" spans="1:6" ht="15.75" thickBot="1">
      <c r="A13" s="647"/>
      <c r="B13" s="567" t="s">
        <v>1213</v>
      </c>
      <c r="C13" s="576" t="s">
        <v>1519</v>
      </c>
    </row>
    <row r="14" spans="1:6">
      <c r="A14" s="647">
        <v>4</v>
      </c>
      <c r="B14" s="565" t="s">
        <v>1298</v>
      </c>
      <c r="C14" s="574" t="s">
        <v>1437</v>
      </c>
    </row>
    <row r="15" spans="1:6">
      <c r="A15" s="647"/>
      <c r="B15" s="566" t="s">
        <v>1297</v>
      </c>
      <c r="C15" s="577" t="s">
        <v>1515</v>
      </c>
    </row>
    <row r="16" spans="1:6">
      <c r="A16" s="647"/>
      <c r="B16" s="566" t="s">
        <v>1139</v>
      </c>
      <c r="C16" s="577" t="s">
        <v>1138</v>
      </c>
    </row>
    <row r="17" spans="1:5" ht="15.75" thickBot="1">
      <c r="A17" s="647"/>
      <c r="B17" s="567" t="s">
        <v>1084</v>
      </c>
      <c r="C17" s="578" t="s">
        <v>211</v>
      </c>
    </row>
    <row r="18" spans="1:5">
      <c r="A18" s="647">
        <v>5</v>
      </c>
      <c r="B18" s="565" t="s">
        <v>1513</v>
      </c>
      <c r="C18" s="579" t="s">
        <v>1514</v>
      </c>
    </row>
    <row r="19" spans="1:5">
      <c r="A19" s="647"/>
      <c r="B19" s="566" t="s">
        <v>1470</v>
      </c>
      <c r="C19" s="577" t="s">
        <v>1471</v>
      </c>
    </row>
    <row r="20" spans="1:5">
      <c r="A20" s="647"/>
      <c r="B20" s="573" t="s">
        <v>1475</v>
      </c>
      <c r="C20" s="580" t="s">
        <v>1289</v>
      </c>
    </row>
    <row r="21" spans="1:5" ht="15.75" thickBot="1">
      <c r="A21" s="647"/>
      <c r="B21" s="567" t="s">
        <v>1140</v>
      </c>
      <c r="C21" s="578" t="s">
        <v>1141</v>
      </c>
    </row>
    <row r="22" spans="1:5">
      <c r="A22" s="647">
        <v>6</v>
      </c>
      <c r="B22" s="565" t="s">
        <v>1396</v>
      </c>
      <c r="C22" s="574" t="s">
        <v>1395</v>
      </c>
    </row>
    <row r="23" spans="1:5">
      <c r="A23" s="647"/>
      <c r="B23" s="566" t="s">
        <v>1456</v>
      </c>
      <c r="C23" s="575" t="s">
        <v>1457</v>
      </c>
    </row>
    <row r="24" spans="1:5">
      <c r="A24" s="647"/>
      <c r="B24" s="566" t="s">
        <v>259</v>
      </c>
      <c r="C24" s="575" t="s">
        <v>250</v>
      </c>
    </row>
    <row r="25" spans="1:5" ht="15.75" thickBot="1">
      <c r="A25" s="647"/>
      <c r="B25" s="567" t="s">
        <v>1448</v>
      </c>
      <c r="C25" s="576" t="s">
        <v>983</v>
      </c>
    </row>
    <row r="26" spans="1:5">
      <c r="A26" s="647">
        <v>7</v>
      </c>
      <c r="B26" s="565" t="s">
        <v>1451</v>
      </c>
      <c r="C26" s="575" t="s">
        <v>211</v>
      </c>
    </row>
    <row r="27" spans="1:5">
      <c r="A27" s="647"/>
      <c r="B27" s="568" t="s">
        <v>737</v>
      </c>
      <c r="C27" s="575" t="s">
        <v>211</v>
      </c>
    </row>
    <row r="28" spans="1:5">
      <c r="A28" s="647"/>
      <c r="B28" s="568" t="s">
        <v>1510</v>
      </c>
      <c r="C28" s="575" t="s">
        <v>211</v>
      </c>
    </row>
    <row r="29" spans="1:5" ht="15.75" thickBot="1">
      <c r="A29" s="647"/>
      <c r="B29" s="569" t="s">
        <v>738</v>
      </c>
      <c r="C29" s="576" t="s">
        <v>736</v>
      </c>
      <c r="D29" s="563"/>
    </row>
    <row r="30" spans="1:5">
      <c r="A30" s="647">
        <v>8</v>
      </c>
      <c r="B30" s="570" t="s">
        <v>863</v>
      </c>
      <c r="C30" s="581" t="s">
        <v>71</v>
      </c>
      <c r="E30" s="562"/>
    </row>
    <row r="31" spans="1:5">
      <c r="A31" s="647"/>
      <c r="B31" s="571" t="s">
        <v>1024</v>
      </c>
      <c r="C31" s="582" t="s">
        <v>1026</v>
      </c>
    </row>
    <row r="32" spans="1:5">
      <c r="A32" s="647"/>
      <c r="B32" s="571" t="s">
        <v>1530</v>
      </c>
      <c r="C32" s="582" t="s">
        <v>211</v>
      </c>
      <c r="E32" s="564"/>
    </row>
    <row r="33" spans="1:6" ht="15.75" thickBot="1">
      <c r="A33" s="647"/>
      <c r="B33" s="572" t="s">
        <v>1294</v>
      </c>
      <c r="C33" s="583" t="s">
        <v>1293</v>
      </c>
    </row>
    <row r="34" spans="1:6">
      <c r="A34" s="647">
        <v>9</v>
      </c>
      <c r="B34" s="565" t="s">
        <v>1397</v>
      </c>
      <c r="C34" s="579" t="s">
        <v>1465</v>
      </c>
    </row>
    <row r="35" spans="1:6">
      <c r="A35" s="647"/>
      <c r="B35" s="566" t="s">
        <v>1120</v>
      </c>
      <c r="C35" s="575" t="s">
        <v>1119</v>
      </c>
      <c r="E35" s="562"/>
      <c r="F35" s="562"/>
    </row>
    <row r="36" spans="1:6">
      <c r="A36" s="647"/>
      <c r="B36" s="566" t="s">
        <v>892</v>
      </c>
      <c r="C36" s="575" t="s">
        <v>887</v>
      </c>
      <c r="E36" s="562"/>
      <c r="F36" s="562"/>
    </row>
    <row r="37" spans="1:6" ht="15.75" thickBot="1">
      <c r="A37" s="647"/>
      <c r="B37" s="567" t="s">
        <v>1125</v>
      </c>
      <c r="C37" s="576" t="s">
        <v>1188</v>
      </c>
      <c r="E37" s="562"/>
      <c r="F37" s="562"/>
    </row>
    <row r="38" spans="1:6">
      <c r="A38" s="647">
        <v>10</v>
      </c>
      <c r="B38" s="565" t="s">
        <v>1208</v>
      </c>
      <c r="C38" s="579" t="s">
        <v>1209</v>
      </c>
      <c r="E38" s="562"/>
      <c r="F38" s="562"/>
    </row>
    <row r="39" spans="1:6">
      <c r="A39" s="647"/>
      <c r="B39" s="573" t="s">
        <v>753</v>
      </c>
      <c r="C39" s="580" t="s">
        <v>246</v>
      </c>
      <c r="E39" s="562"/>
    </row>
    <row r="40" spans="1:6">
      <c r="A40" s="647"/>
      <c r="B40" s="566" t="s">
        <v>1231</v>
      </c>
      <c r="C40" s="577" t="s">
        <v>1232</v>
      </c>
      <c r="E40" s="562"/>
      <c r="F40" s="563"/>
    </row>
    <row r="41" spans="1:6" ht="15.75" thickBot="1">
      <c r="A41" s="647"/>
      <c r="B41" s="567" t="s">
        <v>1521</v>
      </c>
      <c r="C41" s="578" t="s">
        <v>1522</v>
      </c>
      <c r="E41" s="562"/>
      <c r="F41" s="563"/>
    </row>
    <row r="42" spans="1:6">
      <c r="A42" s="647">
        <v>11</v>
      </c>
      <c r="B42" s="565" t="s">
        <v>1131</v>
      </c>
      <c r="C42" s="574" t="s">
        <v>1446</v>
      </c>
    </row>
    <row r="43" spans="1:6">
      <c r="A43" s="647"/>
      <c r="B43" s="566" t="s">
        <v>1132</v>
      </c>
      <c r="C43" s="575" t="s">
        <v>1529</v>
      </c>
    </row>
    <row r="44" spans="1:6">
      <c r="A44" s="647"/>
      <c r="B44" s="566" t="s">
        <v>1527</v>
      </c>
      <c r="C44" s="575" t="s">
        <v>1528</v>
      </c>
    </row>
    <row r="45" spans="1:6" ht="15.75" thickBot="1">
      <c r="A45" s="648"/>
      <c r="B45" s="567"/>
      <c r="C45" s="576"/>
    </row>
  </sheetData>
  <mergeCells count="11">
    <mergeCell ref="A42:A45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  <pageSetup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E1" sqref="E1"/>
    </sheetView>
  </sheetViews>
  <sheetFormatPr baseColWidth="10" defaultRowHeight="15"/>
  <cols>
    <col min="1" max="1" width="25.85546875" bestFit="1" customWidth="1"/>
    <col min="10" max="10" width="11.5703125" bestFit="1" customWidth="1"/>
  </cols>
  <sheetData>
    <row r="1" spans="1:7">
      <c r="A1" s="586" t="s">
        <v>1029</v>
      </c>
      <c r="B1" s="587"/>
      <c r="C1" s="587"/>
      <c r="D1" s="586" t="s">
        <v>1022</v>
      </c>
      <c r="E1" s="264"/>
    </row>
    <row r="2" spans="1:7">
      <c r="A2" s="276" t="s">
        <v>21</v>
      </c>
      <c r="B2" s="277">
        <v>1750</v>
      </c>
      <c r="C2" s="277">
        <v>0</v>
      </c>
      <c r="D2" s="470" t="s">
        <v>32</v>
      </c>
      <c r="E2" s="264" t="s">
        <v>1525</v>
      </c>
      <c r="F2">
        <v>2550</v>
      </c>
    </row>
    <row r="3" spans="1:7">
      <c r="A3" s="375" t="s">
        <v>1534</v>
      </c>
      <c r="B3" s="377">
        <f>500+500+500</f>
        <v>1500</v>
      </c>
      <c r="C3" s="377">
        <f>1500-B3</f>
        <v>0</v>
      </c>
      <c r="D3" s="375" t="s">
        <v>1556</v>
      </c>
    </row>
    <row r="4" spans="1:7">
      <c r="A4" s="375" t="s">
        <v>863</v>
      </c>
      <c r="B4" s="377">
        <f>500+450</f>
        <v>950</v>
      </c>
      <c r="C4" s="377">
        <f>1450-B4</f>
        <v>500</v>
      </c>
      <c r="D4" s="375" t="s">
        <v>71</v>
      </c>
      <c r="E4" s="264" t="s">
        <v>1586</v>
      </c>
      <c r="F4" s="264" t="s">
        <v>1585</v>
      </c>
    </row>
    <row r="5" spans="1:7" s="264" customFormat="1">
      <c r="A5" s="375" t="s">
        <v>1559</v>
      </c>
      <c r="B5" s="377">
        <v>500</v>
      </c>
      <c r="C5" s="377">
        <f>1450-B5</f>
        <v>950</v>
      </c>
      <c r="D5" s="375" t="s">
        <v>1553</v>
      </c>
      <c r="E5" s="264" t="s">
        <v>1525</v>
      </c>
    </row>
    <row r="6" spans="1:7" s="264" customFormat="1">
      <c r="A6" s="588" t="s">
        <v>1558</v>
      </c>
      <c r="B6" s="377">
        <v>500</v>
      </c>
      <c r="C6" s="377">
        <v>950</v>
      </c>
      <c r="D6" s="375" t="s">
        <v>1554</v>
      </c>
      <c r="E6" s="264" t="s">
        <v>1525</v>
      </c>
    </row>
    <row r="7" spans="1:7" s="264" customFormat="1">
      <c r="A7" s="374">
        <v>1</v>
      </c>
      <c r="B7" s="313"/>
      <c r="C7" s="313"/>
      <c r="D7" s="374" t="s">
        <v>1555</v>
      </c>
    </row>
    <row r="8" spans="1:7" s="264" customFormat="1">
      <c r="A8" s="374">
        <v>2</v>
      </c>
      <c r="B8" s="313"/>
      <c r="C8" s="313"/>
      <c r="D8" s="374" t="s">
        <v>1369</v>
      </c>
    </row>
    <row r="9" spans="1:7" s="264" customFormat="1">
      <c r="A9" s="374">
        <v>3</v>
      </c>
      <c r="B9" s="313"/>
      <c r="C9" s="313"/>
      <c r="D9" s="374" t="s">
        <v>1369</v>
      </c>
    </row>
    <row r="10" spans="1:7" s="264" customFormat="1">
      <c r="A10" s="374">
        <v>2</v>
      </c>
      <c r="B10" s="313"/>
      <c r="C10" s="313"/>
      <c r="D10" s="374"/>
    </row>
    <row r="11" spans="1:7" s="264" customFormat="1">
      <c r="A11" s="376">
        <v>1</v>
      </c>
      <c r="B11" s="378"/>
      <c r="C11" s="378">
        <v>0</v>
      </c>
      <c r="D11" s="376" t="s">
        <v>1557</v>
      </c>
    </row>
    <row r="12" spans="1:7" s="264" customFormat="1">
      <c r="A12" s="376">
        <v>2</v>
      </c>
      <c r="B12" s="378"/>
      <c r="C12" s="378">
        <v>0</v>
      </c>
      <c r="D12" s="376"/>
    </row>
    <row r="13" spans="1:7" s="264" customFormat="1">
      <c r="A13" s="376">
        <v>3</v>
      </c>
      <c r="B13" s="378"/>
      <c r="C13" s="378">
        <v>0</v>
      </c>
      <c r="D13" s="376"/>
    </row>
    <row r="14" spans="1:7" s="264" customFormat="1">
      <c r="A14" s="376"/>
      <c r="B14" s="378"/>
      <c r="C14" s="378"/>
      <c r="D14" s="376"/>
    </row>
    <row r="15" spans="1:7">
      <c r="A15" s="585" t="s">
        <v>136</v>
      </c>
      <c r="B15" s="471">
        <v>0</v>
      </c>
      <c r="C15" s="471">
        <v>0</v>
      </c>
      <c r="D15" s="585"/>
    </row>
    <row r="16" spans="1:7">
      <c r="A16" s="585" t="s">
        <v>1538</v>
      </c>
      <c r="B16" s="471">
        <v>0</v>
      </c>
      <c r="C16" s="471">
        <v>0</v>
      </c>
      <c r="D16" s="585"/>
      <c r="G16">
        <v>300</v>
      </c>
    </row>
    <row r="17" spans="1:14">
      <c r="B17" s="37">
        <f>SUM(B1:B16)</f>
        <v>5200</v>
      </c>
      <c r="C17" s="37">
        <f>SUM(C1:C16)</f>
        <v>2400</v>
      </c>
      <c r="G17">
        <f>275/2</f>
        <v>137.5</v>
      </c>
    </row>
    <row r="18" spans="1:14">
      <c r="B18" s="650">
        <f>B17+C17</f>
        <v>7600</v>
      </c>
      <c r="C18" s="650"/>
      <c r="G18">
        <v>438</v>
      </c>
      <c r="H18">
        <f>G18*2</f>
        <v>876</v>
      </c>
      <c r="I18">
        <f>1000-H18</f>
        <v>124</v>
      </c>
    </row>
    <row r="20" spans="1:14">
      <c r="A20" s="264"/>
      <c r="B20" s="264">
        <f>8921+3750</f>
        <v>12671</v>
      </c>
    </row>
    <row r="21" spans="1:14">
      <c r="C21" s="62">
        <f>B20-B18</f>
        <v>5071</v>
      </c>
      <c r="G21" s="264" t="s">
        <v>961</v>
      </c>
      <c r="H21">
        <v>7500</v>
      </c>
      <c r="I21">
        <v>1</v>
      </c>
      <c r="J21" s="37">
        <f>(I21*H21)+200</f>
        <v>7700</v>
      </c>
    </row>
    <row r="22" spans="1:14">
      <c r="G22" s="264" t="s">
        <v>664</v>
      </c>
      <c r="H22">
        <f>140*2</f>
        <v>280</v>
      </c>
      <c r="I22">
        <v>10</v>
      </c>
      <c r="J22" s="37">
        <f>(I22*H22)+(140*3)</f>
        <v>3220</v>
      </c>
      <c r="L22">
        <f>7500/12</f>
        <v>625</v>
      </c>
    </row>
    <row r="23" spans="1:14">
      <c r="G23" s="264" t="s">
        <v>1537</v>
      </c>
      <c r="H23">
        <v>650</v>
      </c>
      <c r="I23">
        <v>3</v>
      </c>
      <c r="J23" s="37">
        <f>I23*H23</f>
        <v>1950</v>
      </c>
    </row>
    <row r="24" spans="1:14">
      <c r="G24" s="264" t="s">
        <v>433</v>
      </c>
      <c r="H24">
        <v>850</v>
      </c>
      <c r="I24">
        <v>3</v>
      </c>
      <c r="J24" s="37">
        <f>I24*H24</f>
        <v>2550</v>
      </c>
    </row>
    <row r="25" spans="1:14">
      <c r="J25" s="37">
        <f>SUM(J21:J24)</f>
        <v>15420</v>
      </c>
    </row>
    <row r="26" spans="1:14">
      <c r="J26" s="62">
        <f>B18-J25</f>
        <v>-7820</v>
      </c>
      <c r="N26">
        <f>1450-H24</f>
        <v>600</v>
      </c>
    </row>
    <row r="33" spans="8:8">
      <c r="H33">
        <f>280+325</f>
        <v>605</v>
      </c>
    </row>
  </sheetData>
  <mergeCells count="1">
    <mergeCell ref="B18:C1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56"/>
  <sheetViews>
    <sheetView topLeftCell="A31" workbookViewId="0">
      <selection activeCell="B50" sqref="B50:E56"/>
    </sheetView>
  </sheetViews>
  <sheetFormatPr baseColWidth="10" defaultRowHeight="15"/>
  <cols>
    <col min="1" max="1" width="3" style="589" bestFit="1" customWidth="1"/>
    <col min="2" max="2" width="30.85546875" style="589" bestFit="1" customWidth="1"/>
    <col min="3" max="4" width="11.42578125" style="589"/>
    <col min="5" max="5" width="13.7109375" style="589" bestFit="1" customWidth="1"/>
    <col min="6" max="6" width="11.42578125" style="589"/>
    <col min="7" max="7" width="27.5703125" style="589" bestFit="1" customWidth="1"/>
    <col min="8" max="16384" width="11.42578125" style="589"/>
  </cols>
  <sheetData>
    <row r="1" spans="1:5">
      <c r="A1" s="608">
        <v>1</v>
      </c>
      <c r="B1" s="591" t="s">
        <v>1544</v>
      </c>
      <c r="C1" s="590">
        <v>0</v>
      </c>
      <c r="D1" s="590">
        <v>575</v>
      </c>
      <c r="E1" s="522" t="s">
        <v>1543</v>
      </c>
    </row>
    <row r="2" spans="1:5">
      <c r="A2" s="608">
        <v>2</v>
      </c>
      <c r="B2" s="591" t="s">
        <v>1531</v>
      </c>
      <c r="C2" s="590">
        <v>275</v>
      </c>
      <c r="D2" s="590">
        <v>300</v>
      </c>
      <c r="E2" s="522" t="s">
        <v>1532</v>
      </c>
    </row>
    <row r="3" spans="1:5">
      <c r="A3" s="608">
        <v>3</v>
      </c>
      <c r="B3" s="591" t="s">
        <v>1533</v>
      </c>
      <c r="C3" s="590">
        <v>275</v>
      </c>
      <c r="D3" s="590">
        <v>300</v>
      </c>
      <c r="E3" s="522" t="s">
        <v>211</v>
      </c>
    </row>
    <row r="4" spans="1:5">
      <c r="A4" s="608">
        <v>4</v>
      </c>
      <c r="B4" s="600" t="s">
        <v>21</v>
      </c>
      <c r="C4" s="590">
        <v>375</v>
      </c>
      <c r="D4" s="590">
        <v>0</v>
      </c>
      <c r="E4" s="522" t="s">
        <v>1604</v>
      </c>
    </row>
    <row r="5" spans="1:5">
      <c r="A5" s="608">
        <v>5</v>
      </c>
      <c r="B5" s="527" t="s">
        <v>1536</v>
      </c>
      <c r="C5" s="590">
        <v>250</v>
      </c>
      <c r="D5" s="590">
        <f>575-C5</f>
        <v>325</v>
      </c>
      <c r="E5" s="523" t="s">
        <v>1089</v>
      </c>
    </row>
    <row r="6" spans="1:5">
      <c r="A6" s="608">
        <v>6</v>
      </c>
      <c r="B6" s="527" t="s">
        <v>1535</v>
      </c>
      <c r="C6" s="590">
        <v>250</v>
      </c>
      <c r="D6" s="590">
        <v>325</v>
      </c>
      <c r="E6" s="523" t="s">
        <v>211</v>
      </c>
    </row>
    <row r="7" spans="1:5">
      <c r="A7" s="608">
        <v>7</v>
      </c>
      <c r="B7" s="527" t="s">
        <v>982</v>
      </c>
      <c r="C7" s="590">
        <v>275</v>
      </c>
      <c r="D7" s="590">
        <f>500-C7</f>
        <v>225</v>
      </c>
      <c r="E7" s="523"/>
    </row>
    <row r="8" spans="1:5">
      <c r="A8" s="608">
        <v>8</v>
      </c>
      <c r="B8" s="527" t="s">
        <v>1539</v>
      </c>
      <c r="C8" s="590">
        <v>275</v>
      </c>
      <c r="D8" s="590">
        <v>25</v>
      </c>
      <c r="E8" s="522" t="s">
        <v>1604</v>
      </c>
    </row>
    <row r="9" spans="1:5">
      <c r="A9" s="608">
        <v>9</v>
      </c>
      <c r="B9" s="527" t="s">
        <v>1540</v>
      </c>
      <c r="C9" s="590">
        <v>275</v>
      </c>
      <c r="D9" s="590">
        <v>300</v>
      </c>
      <c r="E9" s="522" t="s">
        <v>211</v>
      </c>
    </row>
    <row r="10" spans="1:5">
      <c r="A10" s="608">
        <v>10</v>
      </c>
      <c r="B10" s="527" t="s">
        <v>1603</v>
      </c>
      <c r="C10" s="590">
        <v>500</v>
      </c>
      <c r="D10" s="528">
        <f>575-C10</f>
        <v>75</v>
      </c>
      <c r="E10" s="522" t="s">
        <v>211</v>
      </c>
    </row>
    <row r="11" spans="1:5">
      <c r="A11" s="608">
        <v>11</v>
      </c>
      <c r="B11" s="527" t="s">
        <v>882</v>
      </c>
      <c r="C11" s="590">
        <v>400</v>
      </c>
      <c r="D11" s="590">
        <f>575-C11</f>
        <v>175</v>
      </c>
      <c r="E11" s="522" t="s">
        <v>1556</v>
      </c>
    </row>
    <row r="12" spans="1:5">
      <c r="A12" s="608">
        <v>12</v>
      </c>
      <c r="B12" s="527" t="s">
        <v>1546</v>
      </c>
      <c r="C12" s="590">
        <v>300</v>
      </c>
      <c r="D12" s="590">
        <f>575-C12</f>
        <v>275</v>
      </c>
      <c r="E12" s="522" t="s">
        <v>1547</v>
      </c>
    </row>
    <row r="13" spans="1:5">
      <c r="A13" s="608">
        <v>13</v>
      </c>
      <c r="B13" s="527" t="s">
        <v>1551</v>
      </c>
      <c r="C13" s="590">
        <v>350</v>
      </c>
      <c r="D13" s="590">
        <f>575-C13</f>
        <v>225</v>
      </c>
      <c r="E13" s="522" t="s">
        <v>1550</v>
      </c>
    </row>
    <row r="14" spans="1:5">
      <c r="A14" s="608">
        <v>14</v>
      </c>
      <c r="B14" s="527" t="s">
        <v>1552</v>
      </c>
      <c r="C14" s="590">
        <v>350</v>
      </c>
      <c r="D14" s="590">
        <v>225</v>
      </c>
      <c r="E14" s="522" t="s">
        <v>211</v>
      </c>
    </row>
    <row r="15" spans="1:5">
      <c r="A15" s="608">
        <v>15</v>
      </c>
      <c r="B15" s="527" t="s">
        <v>1561</v>
      </c>
      <c r="C15" s="590">
        <v>275</v>
      </c>
      <c r="D15" s="590">
        <v>300</v>
      </c>
      <c r="E15" s="522" t="s">
        <v>1562</v>
      </c>
    </row>
    <row r="16" spans="1:5">
      <c r="A16" s="608">
        <v>16</v>
      </c>
      <c r="B16" s="527" t="s">
        <v>1582</v>
      </c>
      <c r="C16" s="590">
        <v>273</v>
      </c>
      <c r="D16" s="590">
        <v>300</v>
      </c>
      <c r="E16" s="522" t="s">
        <v>1581</v>
      </c>
    </row>
    <row r="17" spans="1:10">
      <c r="A17" s="608">
        <v>17</v>
      </c>
      <c r="B17" s="600" t="s">
        <v>1588</v>
      </c>
      <c r="C17" s="590">
        <v>400</v>
      </c>
      <c r="D17" s="590">
        <f>775-C17</f>
        <v>375</v>
      </c>
      <c r="E17" s="522" t="s">
        <v>1587</v>
      </c>
    </row>
    <row r="18" spans="1:10">
      <c r="A18" s="608">
        <v>18</v>
      </c>
      <c r="B18" s="527" t="s">
        <v>1589</v>
      </c>
      <c r="C18" s="590">
        <v>275</v>
      </c>
      <c r="D18" s="590">
        <f>300</f>
        <v>300</v>
      </c>
      <c r="E18" s="522" t="s">
        <v>1590</v>
      </c>
    </row>
    <row r="19" spans="1:10">
      <c r="A19" s="608">
        <v>19</v>
      </c>
      <c r="B19" s="600" t="s">
        <v>1592</v>
      </c>
      <c r="C19" s="590">
        <v>375</v>
      </c>
      <c r="D19" s="590">
        <v>400</v>
      </c>
      <c r="E19" s="522" t="s">
        <v>1591</v>
      </c>
    </row>
    <row r="20" spans="1:10">
      <c r="A20" s="608">
        <v>20</v>
      </c>
      <c r="B20" s="527" t="s">
        <v>125</v>
      </c>
      <c r="C20" s="590">
        <v>275</v>
      </c>
      <c r="D20" s="590">
        <v>300</v>
      </c>
      <c r="E20" s="522"/>
    </row>
    <row r="21" spans="1:10">
      <c r="A21" s="608">
        <v>21</v>
      </c>
      <c r="B21" s="527" t="s">
        <v>115</v>
      </c>
      <c r="C21" s="590">
        <v>275</v>
      </c>
      <c r="D21" s="590">
        <v>300</v>
      </c>
      <c r="E21" s="522" t="s">
        <v>104</v>
      </c>
    </row>
    <row r="22" spans="1:10">
      <c r="A22" s="608">
        <v>22</v>
      </c>
      <c r="B22" s="591" t="s">
        <v>1277</v>
      </c>
      <c r="C22" s="590">
        <v>575</v>
      </c>
      <c r="D22" s="590">
        <v>0</v>
      </c>
      <c r="E22" s="522" t="s">
        <v>1278</v>
      </c>
    </row>
    <row r="23" spans="1:10">
      <c r="A23" s="608">
        <v>23</v>
      </c>
      <c r="B23" s="591" t="s">
        <v>1598</v>
      </c>
      <c r="C23" s="590">
        <v>575</v>
      </c>
      <c r="D23" s="590">
        <v>0</v>
      </c>
      <c r="E23" s="522" t="s">
        <v>34</v>
      </c>
    </row>
    <row r="24" spans="1:10">
      <c r="A24" s="608">
        <v>24</v>
      </c>
      <c r="B24" s="591" t="s">
        <v>566</v>
      </c>
      <c r="C24" s="590">
        <v>200</v>
      </c>
      <c r="D24" s="590">
        <f>575-C24</f>
        <v>375</v>
      </c>
      <c r="E24" s="522" t="s">
        <v>565</v>
      </c>
    </row>
    <row r="25" spans="1:10">
      <c r="A25" s="608">
        <v>25</v>
      </c>
      <c r="B25" s="600" t="s">
        <v>1615</v>
      </c>
      <c r="C25" s="590">
        <v>0</v>
      </c>
      <c r="D25" s="590">
        <v>775</v>
      </c>
      <c r="E25" s="522" t="s">
        <v>211</v>
      </c>
    </row>
    <row r="26" spans="1:10">
      <c r="A26" s="608">
        <v>26</v>
      </c>
      <c r="B26" s="591" t="s">
        <v>1601</v>
      </c>
      <c r="C26" s="590">
        <v>500</v>
      </c>
      <c r="D26" s="590">
        <v>75</v>
      </c>
      <c r="E26" s="522" t="s">
        <v>1263</v>
      </c>
    </row>
    <row r="27" spans="1:10">
      <c r="A27" s="608">
        <v>27</v>
      </c>
      <c r="B27" s="600" t="s">
        <v>1602</v>
      </c>
      <c r="C27" s="590">
        <v>500</v>
      </c>
      <c r="D27" s="590">
        <f>775-C27</f>
        <v>275</v>
      </c>
      <c r="E27" s="522" t="s">
        <v>211</v>
      </c>
    </row>
    <row r="28" spans="1:10">
      <c r="A28" s="608">
        <v>28</v>
      </c>
      <c r="B28" s="591" t="s">
        <v>1048</v>
      </c>
      <c r="C28" s="590">
        <v>0</v>
      </c>
      <c r="D28" s="590">
        <v>0</v>
      </c>
      <c r="E28" s="522" t="s">
        <v>1049</v>
      </c>
    </row>
    <row r="29" spans="1:10">
      <c r="A29" s="608">
        <v>29</v>
      </c>
      <c r="B29" s="591" t="s">
        <v>1606</v>
      </c>
      <c r="C29" s="590">
        <v>500</v>
      </c>
      <c r="D29" s="590">
        <v>75</v>
      </c>
      <c r="E29" s="522" t="s">
        <v>1605</v>
      </c>
    </row>
    <row r="30" spans="1:10">
      <c r="A30" s="608">
        <v>30</v>
      </c>
      <c r="B30" s="600" t="s">
        <v>1607</v>
      </c>
      <c r="C30" s="590">
        <v>300</v>
      </c>
      <c r="D30" s="590">
        <f>775-C30</f>
        <v>475</v>
      </c>
      <c r="E30" s="522">
        <v>5561210668</v>
      </c>
      <c r="G30" s="589" t="s">
        <v>1560</v>
      </c>
      <c r="H30" s="589">
        <v>0</v>
      </c>
      <c r="I30" s="589">
        <v>575</v>
      </c>
    </row>
    <row r="31" spans="1:10">
      <c r="A31" s="608">
        <v>31</v>
      </c>
      <c r="B31" s="601" t="s">
        <v>1608</v>
      </c>
      <c r="C31" s="590">
        <v>250</v>
      </c>
      <c r="D31" s="590">
        <f>575-C31</f>
        <v>325</v>
      </c>
      <c r="E31" s="522" t="s">
        <v>211</v>
      </c>
      <c r="G31" s="589" t="s">
        <v>1560</v>
      </c>
      <c r="H31" s="589">
        <v>0</v>
      </c>
      <c r="I31" s="589">
        <v>575</v>
      </c>
    </row>
    <row r="32" spans="1:10">
      <c r="A32" s="608">
        <v>32</v>
      </c>
      <c r="B32" s="602" t="s">
        <v>1610</v>
      </c>
      <c r="C32" s="590">
        <v>375</v>
      </c>
      <c r="D32" s="590">
        <f>775-C32</f>
        <v>400</v>
      </c>
      <c r="E32" s="598" t="s">
        <v>1609</v>
      </c>
      <c r="G32" s="589" t="s">
        <v>1621</v>
      </c>
      <c r="H32" s="589">
        <v>0</v>
      </c>
      <c r="I32" s="589">
        <v>575</v>
      </c>
      <c r="J32" s="589" t="s">
        <v>1620</v>
      </c>
    </row>
    <row r="33" spans="1:10">
      <c r="A33" s="608">
        <v>33</v>
      </c>
      <c r="B33" s="600" t="s">
        <v>206</v>
      </c>
      <c r="C33" s="590">
        <v>500</v>
      </c>
      <c r="D33" s="590">
        <v>275</v>
      </c>
      <c r="E33" s="598" t="s">
        <v>451</v>
      </c>
      <c r="G33" s="589" t="s">
        <v>1614</v>
      </c>
      <c r="H33" s="589">
        <v>0</v>
      </c>
      <c r="I33" s="589">
        <v>575</v>
      </c>
      <c r="J33" s="589" t="s">
        <v>1613</v>
      </c>
    </row>
    <row r="34" spans="1:10">
      <c r="A34" s="608">
        <v>34</v>
      </c>
      <c r="B34" s="600" t="s">
        <v>1612</v>
      </c>
      <c r="C34" s="590">
        <v>375</v>
      </c>
      <c r="D34" s="590">
        <v>400</v>
      </c>
      <c r="E34" s="598" t="s">
        <v>1611</v>
      </c>
      <c r="G34" s="589" t="s">
        <v>1600</v>
      </c>
      <c r="H34" s="589">
        <v>0</v>
      </c>
      <c r="I34" s="589">
        <v>575</v>
      </c>
      <c r="J34" s="589" t="s">
        <v>1599</v>
      </c>
    </row>
    <row r="35" spans="1:10">
      <c r="A35" s="608">
        <v>35</v>
      </c>
      <c r="B35" s="600" t="s">
        <v>1616</v>
      </c>
      <c r="C35" s="590">
        <v>375</v>
      </c>
      <c r="D35" s="590">
        <v>400</v>
      </c>
      <c r="E35" s="598" t="s">
        <v>1319</v>
      </c>
      <c r="G35" s="589" t="s">
        <v>1597</v>
      </c>
      <c r="H35" s="589">
        <v>0</v>
      </c>
      <c r="I35" s="589">
        <v>775</v>
      </c>
      <c r="J35" s="589" t="s">
        <v>1596</v>
      </c>
    </row>
    <row r="36" spans="1:10">
      <c r="A36" s="608">
        <v>36</v>
      </c>
      <c r="B36" s="591" t="s">
        <v>587</v>
      </c>
      <c r="C36" s="590">
        <f>1500/4</f>
        <v>375</v>
      </c>
      <c r="D36" s="590">
        <f>575-C36</f>
        <v>200</v>
      </c>
      <c r="E36" s="598" t="s">
        <v>590</v>
      </c>
      <c r="G36" s="589" t="s">
        <v>1597</v>
      </c>
      <c r="H36" s="589">
        <v>0</v>
      </c>
      <c r="I36" s="589">
        <v>575</v>
      </c>
      <c r="J36" s="589" t="s">
        <v>211</v>
      </c>
    </row>
    <row r="37" spans="1:10">
      <c r="A37" s="608">
        <v>37</v>
      </c>
      <c r="B37" s="603" t="s">
        <v>1617</v>
      </c>
      <c r="C37" s="592">
        <v>375</v>
      </c>
      <c r="D37" s="592">
        <v>200</v>
      </c>
      <c r="E37" s="598" t="s">
        <v>822</v>
      </c>
      <c r="G37" s="589" t="s">
        <v>1597</v>
      </c>
      <c r="H37" s="589">
        <v>0</v>
      </c>
      <c r="I37" s="589">
        <v>575</v>
      </c>
      <c r="J37" s="589" t="s">
        <v>211</v>
      </c>
    </row>
    <row r="38" spans="1:10">
      <c r="A38" s="608">
        <v>38</v>
      </c>
      <c r="B38" s="604" t="s">
        <v>1618</v>
      </c>
      <c r="C38" s="593">
        <v>375</v>
      </c>
      <c r="D38" s="594">
        <v>200</v>
      </c>
      <c r="E38" s="599" t="s">
        <v>822</v>
      </c>
      <c r="G38" s="589" t="s">
        <v>1597</v>
      </c>
      <c r="H38" s="589">
        <v>0</v>
      </c>
      <c r="I38" s="589">
        <v>575</v>
      </c>
      <c r="J38" s="589" t="s">
        <v>211</v>
      </c>
    </row>
    <row r="39" spans="1:10">
      <c r="A39" s="608">
        <v>39</v>
      </c>
      <c r="B39" s="591" t="s">
        <v>1619</v>
      </c>
      <c r="C39" s="590">
        <v>375</v>
      </c>
      <c r="D39" s="595">
        <v>200</v>
      </c>
      <c r="E39" s="599" t="s">
        <v>211</v>
      </c>
      <c r="G39" s="589" t="s">
        <v>1541</v>
      </c>
      <c r="H39" s="589">
        <v>0</v>
      </c>
      <c r="I39" s="589">
        <v>575</v>
      </c>
    </row>
    <row r="40" spans="1:10">
      <c r="A40" s="608">
        <v>40</v>
      </c>
      <c r="B40" s="591" t="s">
        <v>859</v>
      </c>
      <c r="C40" s="590">
        <v>575</v>
      </c>
      <c r="D40" s="595">
        <v>0</v>
      </c>
      <c r="E40" s="599" t="s">
        <v>528</v>
      </c>
      <c r="G40" s="589" t="s">
        <v>1542</v>
      </c>
      <c r="H40" s="589">
        <v>0</v>
      </c>
      <c r="I40" s="589">
        <v>575</v>
      </c>
    </row>
    <row r="41" spans="1:10">
      <c r="A41" s="608">
        <v>41</v>
      </c>
      <c r="B41" s="591" t="s">
        <v>1622</v>
      </c>
      <c r="C41" s="590">
        <v>0</v>
      </c>
      <c r="D41" s="595">
        <v>575</v>
      </c>
      <c r="E41" s="599" t="s">
        <v>1623</v>
      </c>
      <c r="G41" s="589" t="s">
        <v>1584</v>
      </c>
      <c r="H41" s="589">
        <v>0</v>
      </c>
      <c r="I41" s="589">
        <v>575</v>
      </c>
      <c r="J41" s="589" t="s">
        <v>1583</v>
      </c>
    </row>
    <row r="42" spans="1:10">
      <c r="A42" s="608">
        <v>42</v>
      </c>
      <c r="B42" s="605" t="s">
        <v>1502</v>
      </c>
      <c r="C42" s="590">
        <v>275</v>
      </c>
      <c r="D42" s="595">
        <v>575</v>
      </c>
      <c r="E42" s="599" t="s">
        <v>1501</v>
      </c>
    </row>
    <row r="43" spans="1:10">
      <c r="A43" s="608">
        <v>43</v>
      </c>
      <c r="B43" s="591" t="s">
        <v>1503</v>
      </c>
      <c r="C43" s="590">
        <v>275</v>
      </c>
      <c r="D43" s="595">
        <v>575</v>
      </c>
      <c r="E43" s="599" t="s">
        <v>211</v>
      </c>
    </row>
    <row r="44" spans="1:10">
      <c r="A44" s="608">
        <v>44</v>
      </c>
      <c r="B44" s="591" t="s">
        <v>858</v>
      </c>
      <c r="C44" s="590">
        <v>300</v>
      </c>
      <c r="D44" s="595">
        <f>575-C44</f>
        <v>275</v>
      </c>
      <c r="E44" s="599" t="s">
        <v>857</v>
      </c>
    </row>
    <row r="45" spans="1:10">
      <c r="A45" s="608">
        <v>45</v>
      </c>
      <c r="B45" s="601" t="s">
        <v>1624</v>
      </c>
      <c r="C45" s="596">
        <v>575</v>
      </c>
      <c r="D45" s="597">
        <v>0</v>
      </c>
      <c r="E45" s="599" t="s">
        <v>1625</v>
      </c>
    </row>
    <row r="46" spans="1:10">
      <c r="A46" s="608">
        <v>46</v>
      </c>
      <c r="B46" s="601"/>
      <c r="C46" s="596"/>
      <c r="D46" s="597"/>
      <c r="E46" s="599"/>
    </row>
    <row r="47" spans="1:10">
      <c r="A47" s="608">
        <v>47</v>
      </c>
      <c r="B47" s="601"/>
      <c r="C47" s="596"/>
      <c r="D47" s="597"/>
      <c r="E47" s="599"/>
    </row>
    <row r="48" spans="1:10">
      <c r="C48" s="529">
        <f>SUM(C1:C46)</f>
        <v>14823</v>
      </c>
      <c r="D48" s="529">
        <f>SUM(D1:D46)</f>
        <v>12275</v>
      </c>
    </row>
    <row r="49" spans="2:6">
      <c r="C49" s="606">
        <f>C48+D48</f>
        <v>27098</v>
      </c>
      <c r="D49" s="607"/>
    </row>
    <row r="50" spans="2:6">
      <c r="B50" s="519" t="s">
        <v>262</v>
      </c>
      <c r="C50" s="520">
        <v>6700</v>
      </c>
      <c r="D50" s="519">
        <v>1</v>
      </c>
      <c r="E50" s="520">
        <f>(D50*C50)</f>
        <v>6700</v>
      </c>
      <c r="F50" s="529">
        <f>E50-3000</f>
        <v>3700</v>
      </c>
    </row>
    <row r="51" spans="2:6">
      <c r="B51" s="519" t="s">
        <v>311</v>
      </c>
      <c r="C51" s="520">
        <v>950</v>
      </c>
      <c r="D51" s="519">
        <v>1</v>
      </c>
      <c r="E51" s="520">
        <f>C51</f>
        <v>950</v>
      </c>
    </row>
    <row r="52" spans="2:6">
      <c r="B52" s="519" t="s">
        <v>263</v>
      </c>
      <c r="C52" s="520">
        <f>300-(300*10%)</f>
        <v>270</v>
      </c>
      <c r="D52" s="519">
        <v>35</v>
      </c>
      <c r="E52" s="520">
        <f>D52*C52</f>
        <v>9450</v>
      </c>
    </row>
    <row r="53" spans="2:6">
      <c r="B53" s="519" t="s">
        <v>264</v>
      </c>
      <c r="C53" s="520">
        <f>500-(500*10%)</f>
        <v>450</v>
      </c>
      <c r="D53" s="519">
        <v>11</v>
      </c>
      <c r="E53" s="520">
        <f>D53*C53</f>
        <v>4950</v>
      </c>
    </row>
    <row r="54" spans="2:6">
      <c r="B54" s="519" t="s">
        <v>266</v>
      </c>
      <c r="C54" s="519"/>
      <c r="D54" s="519">
        <f>D53+D52</f>
        <v>46</v>
      </c>
      <c r="E54" s="520">
        <f>E53+E52</f>
        <v>14400</v>
      </c>
    </row>
    <row r="55" spans="2:6">
      <c r="B55" s="519" t="s">
        <v>265</v>
      </c>
      <c r="C55" s="519"/>
      <c r="D55" s="519"/>
      <c r="E55" s="520">
        <f>E50+E51+E54</f>
        <v>22050</v>
      </c>
    </row>
    <row r="56" spans="2:6">
      <c r="B56" s="521" t="s">
        <v>7</v>
      </c>
      <c r="C56" s="521"/>
      <c r="D56" s="521"/>
      <c r="E56" s="520">
        <f>C49-E55</f>
        <v>5048</v>
      </c>
    </row>
  </sheetData>
  <pageMargins left="0.7" right="0.7" top="0.75" bottom="0.75" header="0.3" footer="0.3"/>
  <pageSetup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62"/>
  <sheetViews>
    <sheetView workbookViewId="0">
      <selection activeCell="F3" sqref="F3"/>
    </sheetView>
  </sheetViews>
  <sheetFormatPr baseColWidth="10" defaultRowHeight="15"/>
  <cols>
    <col min="1" max="1" width="27.7109375" bestFit="1" customWidth="1"/>
    <col min="2" max="2" width="15.140625" bestFit="1" customWidth="1"/>
    <col min="3" max="3" width="11.5703125" bestFit="1" customWidth="1"/>
    <col min="5" max="5" width="11.42578125" style="78"/>
  </cols>
  <sheetData>
    <row r="1" spans="1:9">
      <c r="A1" s="264" t="s">
        <v>0</v>
      </c>
      <c r="B1" s="37">
        <v>0</v>
      </c>
      <c r="C1" s="37">
        <v>0</v>
      </c>
      <c r="D1" s="264"/>
      <c r="E1" s="359"/>
      <c r="F1" s="264" t="s">
        <v>1525</v>
      </c>
    </row>
    <row r="2" spans="1:9">
      <c r="A2" s="264" t="s">
        <v>1051</v>
      </c>
      <c r="B2" s="37"/>
      <c r="C2" s="37"/>
      <c r="D2" s="264" t="s">
        <v>1050</v>
      </c>
      <c r="E2" s="359" t="s">
        <v>1052</v>
      </c>
      <c r="F2" s="264" t="s">
        <v>1668</v>
      </c>
    </row>
    <row r="3" spans="1:9">
      <c r="A3" s="374" t="s">
        <v>1322</v>
      </c>
      <c r="B3" s="313">
        <f>500+500+500+350</f>
        <v>1850</v>
      </c>
      <c r="C3" s="313">
        <f>1850-B3</f>
        <v>0</v>
      </c>
      <c r="D3" s="374" t="s">
        <v>1323</v>
      </c>
      <c r="E3" s="374" t="s">
        <v>1324</v>
      </c>
      <c r="F3" s="374" t="s">
        <v>1667</v>
      </c>
    </row>
    <row r="4" spans="1:9">
      <c r="A4" s="374" t="s">
        <v>1669</v>
      </c>
      <c r="B4" s="313"/>
      <c r="C4" s="313"/>
      <c r="D4" s="374" t="s">
        <v>1481</v>
      </c>
      <c r="E4" s="78" t="s">
        <v>1324</v>
      </c>
      <c r="F4" s="264" t="s">
        <v>1668</v>
      </c>
    </row>
    <row r="5" spans="1:9">
      <c r="A5" s="264" t="s">
        <v>1548</v>
      </c>
      <c r="B5" s="37"/>
      <c r="C5" s="37"/>
      <c r="D5" s="264" t="s">
        <v>1549</v>
      </c>
      <c r="E5" s="78" t="s">
        <v>1179</v>
      </c>
      <c r="F5" s="78" t="s">
        <v>1668</v>
      </c>
    </row>
    <row r="6" spans="1:9">
      <c r="A6" s="264" t="s">
        <v>1626</v>
      </c>
      <c r="B6" s="37">
        <f>1500+900</f>
        <v>2400</v>
      </c>
      <c r="C6" s="37"/>
      <c r="F6" s="264" t="s">
        <v>1668</v>
      </c>
    </row>
    <row r="7" spans="1:9">
      <c r="A7" s="264">
        <v>5573954808</v>
      </c>
      <c r="B7" s="37">
        <v>2400</v>
      </c>
      <c r="C7" s="37"/>
      <c r="D7" s="62"/>
    </row>
    <row r="8" spans="1:9">
      <c r="A8" s="264" t="s">
        <v>1670</v>
      </c>
      <c r="B8" s="37">
        <f>2400-1800</f>
        <v>600</v>
      </c>
      <c r="C8" s="37"/>
    </row>
    <row r="9" spans="1:9">
      <c r="A9" s="264">
        <v>37</v>
      </c>
      <c r="B9" s="37">
        <v>1850</v>
      </c>
      <c r="C9" s="37"/>
    </row>
    <row r="10" spans="1:9">
      <c r="A10" s="264">
        <v>36</v>
      </c>
      <c r="B10" s="37">
        <v>1850</v>
      </c>
      <c r="C10" s="37"/>
    </row>
    <row r="11" spans="1:9">
      <c r="A11" s="264">
        <v>35</v>
      </c>
      <c r="B11" s="37">
        <v>1850</v>
      </c>
      <c r="C11" s="37"/>
    </row>
    <row r="12" spans="1:9">
      <c r="A12" s="264">
        <v>34</v>
      </c>
      <c r="B12" s="37">
        <v>1850</v>
      </c>
      <c r="C12" s="37"/>
    </row>
    <row r="13" spans="1:9">
      <c r="A13" s="264">
        <v>33</v>
      </c>
      <c r="B13" s="37">
        <v>1850</v>
      </c>
      <c r="C13" s="37"/>
    </row>
    <row r="14" spans="1:9">
      <c r="A14" s="264">
        <v>32</v>
      </c>
      <c r="B14" s="37">
        <v>2400</v>
      </c>
      <c r="C14" s="37"/>
    </row>
    <row r="15" spans="1:9">
      <c r="A15" s="264">
        <v>31</v>
      </c>
      <c r="B15" s="37">
        <v>2400</v>
      </c>
      <c r="C15" s="37"/>
    </row>
    <row r="16" spans="1:9">
      <c r="A16" s="264">
        <v>30</v>
      </c>
      <c r="B16" s="37">
        <v>2400</v>
      </c>
      <c r="C16" s="37"/>
      <c r="E16" s="264" t="s">
        <v>1671</v>
      </c>
      <c r="F16" s="75">
        <v>500</v>
      </c>
      <c r="H16" s="264" t="s">
        <v>1676</v>
      </c>
      <c r="I16" s="75">
        <f>B6+B7+B8</f>
        <v>5400</v>
      </c>
    </row>
    <row r="17" spans="1:9">
      <c r="A17" s="264">
        <v>29</v>
      </c>
      <c r="B17" s="37">
        <v>2400</v>
      </c>
      <c r="C17" s="37"/>
      <c r="E17" s="264" t="s">
        <v>1672</v>
      </c>
      <c r="F17" s="75">
        <v>600</v>
      </c>
      <c r="H17" s="264" t="s">
        <v>1677</v>
      </c>
      <c r="I17" s="611">
        <f>2400*2</f>
        <v>4800</v>
      </c>
    </row>
    <row r="18" spans="1:9">
      <c r="A18" s="264">
        <v>28</v>
      </c>
      <c r="B18" s="37">
        <v>2400</v>
      </c>
      <c r="C18" s="37"/>
      <c r="E18" s="264" t="s">
        <v>1673</v>
      </c>
      <c r="F18" s="75">
        <v>500</v>
      </c>
      <c r="I18" s="75">
        <f>SUM(I16:I17)</f>
        <v>10200</v>
      </c>
    </row>
    <row r="19" spans="1:9">
      <c r="A19" s="264">
        <v>27</v>
      </c>
      <c r="B19" s="37">
        <v>2400</v>
      </c>
      <c r="C19" s="37"/>
      <c r="E19" s="264" t="s">
        <v>1674</v>
      </c>
      <c r="F19" s="75">
        <v>200</v>
      </c>
    </row>
    <row r="20" spans="1:9">
      <c r="A20" s="264">
        <v>26</v>
      </c>
      <c r="B20" s="37">
        <v>2400</v>
      </c>
      <c r="C20" s="37"/>
      <c r="E20" s="264" t="s">
        <v>1675</v>
      </c>
      <c r="F20" s="75">
        <f>1000</f>
        <v>1000</v>
      </c>
    </row>
    <row r="21" spans="1:9">
      <c r="A21" s="264">
        <v>25</v>
      </c>
      <c r="B21" s="37">
        <v>2400</v>
      </c>
      <c r="C21" s="37"/>
      <c r="E21"/>
      <c r="F21" s="37">
        <f>SUM(F16:F20)</f>
        <v>2800</v>
      </c>
    </row>
    <row r="22" spans="1:9">
      <c r="A22" s="264">
        <v>24</v>
      </c>
      <c r="B22" s="37">
        <v>2400</v>
      </c>
      <c r="C22" s="37"/>
      <c r="E22" s="78" t="s">
        <v>1678</v>
      </c>
      <c r="F22" s="37">
        <v>840</v>
      </c>
    </row>
    <row r="23" spans="1:9">
      <c r="A23" s="264">
        <v>23</v>
      </c>
      <c r="B23" s="37">
        <v>2400</v>
      </c>
      <c r="C23" s="37"/>
      <c r="F23" s="37">
        <f>SUM(F21:F22)</f>
        <v>3640</v>
      </c>
    </row>
    <row r="24" spans="1:9">
      <c r="A24" s="264">
        <v>22</v>
      </c>
      <c r="B24" s="37">
        <v>2400</v>
      </c>
      <c r="C24" s="37"/>
      <c r="H24" s="75">
        <f>I18-F23</f>
        <v>6560</v>
      </c>
    </row>
    <row r="25" spans="1:9">
      <c r="A25" s="264">
        <v>21</v>
      </c>
      <c r="B25" s="37">
        <v>2400</v>
      </c>
      <c r="C25" s="37"/>
    </row>
    <row r="26" spans="1:9">
      <c r="A26" s="264">
        <v>20</v>
      </c>
      <c r="B26" s="37">
        <v>2400</v>
      </c>
      <c r="C26" s="37"/>
    </row>
    <row r="27" spans="1:9">
      <c r="A27" s="264">
        <v>19</v>
      </c>
      <c r="B27" s="37">
        <v>2400</v>
      </c>
      <c r="C27" s="37"/>
    </row>
    <row r="28" spans="1:9">
      <c r="A28" s="264">
        <v>18</v>
      </c>
      <c r="B28" s="37">
        <v>2400</v>
      </c>
      <c r="C28" s="37"/>
    </row>
    <row r="29" spans="1:9">
      <c r="A29">
        <v>17</v>
      </c>
      <c r="B29" s="37">
        <v>2400</v>
      </c>
      <c r="C29" s="37"/>
    </row>
    <row r="30" spans="1:9">
      <c r="A30">
        <v>16</v>
      </c>
      <c r="B30" s="37">
        <v>2400</v>
      </c>
      <c r="C30" s="37"/>
    </row>
    <row r="31" spans="1:9">
      <c r="A31">
        <v>15</v>
      </c>
      <c r="B31" s="37">
        <v>2400</v>
      </c>
      <c r="C31" s="37"/>
    </row>
    <row r="32" spans="1:9">
      <c r="A32">
        <v>14</v>
      </c>
      <c r="B32" s="37">
        <v>2400</v>
      </c>
      <c r="C32" s="37"/>
    </row>
    <row r="33" spans="1:5">
      <c r="A33">
        <v>13</v>
      </c>
      <c r="B33" s="37">
        <v>2400</v>
      </c>
      <c r="C33" s="37"/>
    </row>
    <row r="34" spans="1:5">
      <c r="A34">
        <v>12</v>
      </c>
      <c r="B34" s="37">
        <v>2400</v>
      </c>
      <c r="C34" s="37"/>
    </row>
    <row r="35" spans="1:5">
      <c r="A35">
        <v>11</v>
      </c>
      <c r="B35" s="37">
        <v>2400</v>
      </c>
      <c r="C35" s="37"/>
    </row>
    <row r="36" spans="1:5">
      <c r="A36" s="264">
        <v>10</v>
      </c>
      <c r="B36" s="37">
        <v>2400</v>
      </c>
      <c r="C36" s="37"/>
    </row>
    <row r="37" spans="1:5">
      <c r="A37" s="264">
        <v>9</v>
      </c>
      <c r="B37" s="37">
        <v>2400</v>
      </c>
      <c r="C37" s="37"/>
    </row>
    <row r="38" spans="1:5">
      <c r="A38" s="264">
        <v>8</v>
      </c>
      <c r="B38" s="37">
        <v>2400</v>
      </c>
      <c r="C38" s="37"/>
    </row>
    <row r="39" spans="1:5">
      <c r="A39" s="264">
        <v>7</v>
      </c>
      <c r="B39" s="37">
        <v>2400</v>
      </c>
      <c r="C39" s="37"/>
    </row>
    <row r="40" spans="1:5">
      <c r="A40" s="264">
        <v>6</v>
      </c>
      <c r="B40" s="37">
        <v>2400</v>
      </c>
      <c r="C40" s="37"/>
      <c r="E40" s="78" t="s">
        <v>1545</v>
      </c>
    </row>
    <row r="41" spans="1:5">
      <c r="A41" s="264">
        <v>5</v>
      </c>
      <c r="B41" s="37">
        <v>2400</v>
      </c>
      <c r="C41" s="37"/>
    </row>
    <row r="42" spans="1:5">
      <c r="A42" s="264">
        <v>4</v>
      </c>
      <c r="B42" s="37">
        <v>2400</v>
      </c>
      <c r="C42" s="37"/>
    </row>
    <row r="43" spans="1:5">
      <c r="A43" s="264">
        <v>3</v>
      </c>
      <c r="B43" s="37">
        <v>2400</v>
      </c>
      <c r="C43" s="37"/>
    </row>
    <row r="44" spans="1:5">
      <c r="A44" s="264">
        <v>2</v>
      </c>
      <c r="B44" s="37">
        <v>2400</v>
      </c>
      <c r="C44" s="37"/>
    </row>
    <row r="45" spans="1:5">
      <c r="A45" s="264">
        <v>1</v>
      </c>
      <c r="B45" s="37">
        <v>2400</v>
      </c>
      <c r="C45" s="37"/>
    </row>
    <row r="46" spans="1:5">
      <c r="B46" s="37">
        <f>SUM(B1:B45)</f>
        <v>93300</v>
      </c>
      <c r="C46" s="37">
        <f>SUM(C1:C45)</f>
        <v>0</v>
      </c>
    </row>
    <row r="47" spans="1:5">
      <c r="B47" s="626">
        <f>B46+C46</f>
        <v>93300</v>
      </c>
      <c r="C47" s="626"/>
    </row>
    <row r="50" spans="1:6">
      <c r="A50" s="264" t="s">
        <v>825</v>
      </c>
      <c r="B50">
        <v>40</v>
      </c>
    </row>
    <row r="51" spans="1:6">
      <c r="A51" s="264" t="s">
        <v>262</v>
      </c>
      <c r="B51" s="37">
        <v>40000</v>
      </c>
      <c r="C51" s="62">
        <f>B51/B50</f>
        <v>1000</v>
      </c>
    </row>
    <row r="52" spans="1:6">
      <c r="A52" s="264" t="s">
        <v>1244</v>
      </c>
      <c r="B52">
        <v>150</v>
      </c>
      <c r="C52">
        <f>B52*6</f>
        <v>900</v>
      </c>
    </row>
    <row r="53" spans="1:6">
      <c r="A53" s="264" t="s">
        <v>1245</v>
      </c>
      <c r="B53">
        <v>100</v>
      </c>
      <c r="C53">
        <f>B53</f>
        <v>100</v>
      </c>
    </row>
    <row r="54" spans="1:6">
      <c r="C54" s="62">
        <f>C52+C51+C53</f>
        <v>2000</v>
      </c>
      <c r="E54" s="147">
        <v>653</v>
      </c>
      <c r="F54" s="264" t="s">
        <v>1246</v>
      </c>
    </row>
    <row r="55" spans="1:6">
      <c r="C55" s="62"/>
      <c r="E55" s="147">
        <v>120</v>
      </c>
      <c r="F55" s="264" t="s">
        <v>1247</v>
      </c>
    </row>
    <row r="56" spans="1:6">
      <c r="E56" s="147">
        <v>40</v>
      </c>
      <c r="F56" s="264" t="s">
        <v>1507</v>
      </c>
    </row>
    <row r="57" spans="1:6" s="264" customFormat="1">
      <c r="A57" s="264" t="s">
        <v>1509</v>
      </c>
      <c r="E57" s="147">
        <v>40</v>
      </c>
      <c r="F57" s="264" t="s">
        <v>1508</v>
      </c>
    </row>
    <row r="58" spans="1:6">
      <c r="E58" s="147">
        <v>120</v>
      </c>
      <c r="F58" s="264" t="s">
        <v>1248</v>
      </c>
    </row>
    <row r="59" spans="1:6">
      <c r="E59" s="147">
        <v>653</v>
      </c>
      <c r="F59" s="264" t="s">
        <v>1249</v>
      </c>
    </row>
    <row r="60" spans="1:6">
      <c r="E60" s="147">
        <f>SUM(E54:E59)</f>
        <v>1626</v>
      </c>
    </row>
    <row r="61" spans="1:6">
      <c r="E61" s="80">
        <f>2400-E60</f>
        <v>774</v>
      </c>
    </row>
    <row r="62" spans="1:6">
      <c r="E62" s="80">
        <f>E61/6</f>
        <v>129</v>
      </c>
    </row>
  </sheetData>
  <mergeCells count="1">
    <mergeCell ref="B47:C4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3" sqref="C3"/>
    </sheetView>
  </sheetViews>
  <sheetFormatPr baseColWidth="10" defaultRowHeight="15"/>
  <cols>
    <col min="3" max="3" width="15.7109375" style="264" bestFit="1" customWidth="1"/>
  </cols>
  <sheetData>
    <row r="1" spans="1:4" s="264" customFormat="1">
      <c r="A1" s="264" t="s">
        <v>1575</v>
      </c>
      <c r="B1" s="264" t="s">
        <v>1576</v>
      </c>
      <c r="C1" s="264" t="s">
        <v>1579</v>
      </c>
      <c r="D1" s="264" t="s">
        <v>1577</v>
      </c>
    </row>
    <row r="2" spans="1:4">
      <c r="A2" s="264" t="s">
        <v>1563</v>
      </c>
      <c r="B2" s="176">
        <v>43762</v>
      </c>
      <c r="C2" s="176" t="s">
        <v>1580</v>
      </c>
      <c r="D2" s="264" t="s">
        <v>1578</v>
      </c>
    </row>
    <row r="3" spans="1:4">
      <c r="A3" s="264" t="s">
        <v>1564</v>
      </c>
    </row>
    <row r="4" spans="1:4">
      <c r="A4" s="264" t="s">
        <v>1565</v>
      </c>
    </row>
    <row r="5" spans="1:4">
      <c r="A5" s="264" t="s">
        <v>1566</v>
      </c>
    </row>
    <row r="6" spans="1:4">
      <c r="A6" s="264" t="s">
        <v>1567</v>
      </c>
    </row>
    <row r="7" spans="1:4">
      <c r="A7" s="264" t="s">
        <v>1568</v>
      </c>
    </row>
    <row r="8" spans="1:4">
      <c r="A8" s="264" t="s">
        <v>1569</v>
      </c>
    </row>
    <row r="9" spans="1:4">
      <c r="A9" s="264" t="s">
        <v>1570</v>
      </c>
    </row>
    <row r="10" spans="1:4">
      <c r="A10" s="264" t="s">
        <v>1571</v>
      </c>
    </row>
    <row r="11" spans="1:4">
      <c r="A11" s="264" t="s">
        <v>1572</v>
      </c>
    </row>
    <row r="12" spans="1:4">
      <c r="A12" s="264" t="s">
        <v>1573</v>
      </c>
    </row>
    <row r="13" spans="1:4">
      <c r="A13" s="264" t="s">
        <v>1574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52"/>
  <sheetViews>
    <sheetView tabSelected="1" topLeftCell="A34" workbookViewId="0">
      <selection activeCell="H12" sqref="H12"/>
    </sheetView>
  </sheetViews>
  <sheetFormatPr baseColWidth="10" defaultRowHeight="15"/>
  <cols>
    <col min="1" max="1" width="21.85546875" bestFit="1" customWidth="1"/>
    <col min="8" max="8" width="11.5703125" bestFit="1" customWidth="1"/>
  </cols>
  <sheetData>
    <row r="1" spans="1:12">
      <c r="A1" s="589" t="s">
        <v>21</v>
      </c>
      <c r="B1" s="609">
        <v>375</v>
      </c>
      <c r="C1" s="610">
        <v>0</v>
      </c>
      <c r="D1" s="589" t="s">
        <v>1089</v>
      </c>
      <c r="E1" s="589"/>
    </row>
    <row r="2" spans="1:12">
      <c r="A2" s="589" t="s">
        <v>1593</v>
      </c>
      <c r="B2" s="609">
        <v>275</v>
      </c>
      <c r="C2" s="610">
        <v>300</v>
      </c>
      <c r="D2" s="589" t="s">
        <v>1595</v>
      </c>
      <c r="E2" s="589"/>
    </row>
    <row r="3" spans="1:12">
      <c r="A3" s="589" t="s">
        <v>1594</v>
      </c>
      <c r="B3" s="609">
        <v>275</v>
      </c>
      <c r="C3" s="610">
        <v>300</v>
      </c>
      <c r="D3" s="589" t="s">
        <v>211</v>
      </c>
      <c r="E3" s="589"/>
    </row>
    <row r="4" spans="1:12">
      <c r="A4" s="589" t="s">
        <v>1629</v>
      </c>
      <c r="B4" s="609">
        <v>275</v>
      </c>
      <c r="C4" s="610">
        <v>300</v>
      </c>
      <c r="D4" s="589" t="s">
        <v>1627</v>
      </c>
      <c r="E4" s="589"/>
    </row>
    <row r="5" spans="1:12">
      <c r="A5" s="589" t="s">
        <v>1628</v>
      </c>
      <c r="B5" s="609">
        <v>275</v>
      </c>
      <c r="C5" s="610">
        <v>300</v>
      </c>
      <c r="D5" s="589" t="s">
        <v>211</v>
      </c>
      <c r="E5" s="589"/>
    </row>
    <row r="6" spans="1:12">
      <c r="A6" s="589" t="s">
        <v>1029</v>
      </c>
      <c r="B6" s="609">
        <v>275</v>
      </c>
      <c r="C6" s="610">
        <f>775-B6</f>
        <v>500</v>
      </c>
      <c r="D6" s="589" t="s">
        <v>1022</v>
      </c>
      <c r="E6" s="589">
        <v>1</v>
      </c>
    </row>
    <row r="7" spans="1:12">
      <c r="A7" s="589" t="s">
        <v>1029</v>
      </c>
      <c r="B7" s="609">
        <f>275+275</f>
        <v>550</v>
      </c>
      <c r="C7" s="610">
        <f>575-B7</f>
        <v>25</v>
      </c>
      <c r="D7" s="589" t="s">
        <v>211</v>
      </c>
      <c r="E7" s="589"/>
    </row>
    <row r="8" spans="1:12">
      <c r="A8" s="589" t="s">
        <v>1630</v>
      </c>
      <c r="B8" s="609">
        <f>375+200</f>
        <v>575</v>
      </c>
      <c r="C8" s="610">
        <f>575-B8</f>
        <v>0</v>
      </c>
      <c r="D8" s="589" t="s">
        <v>528</v>
      </c>
      <c r="E8" s="589"/>
    </row>
    <row r="9" spans="1:12">
      <c r="A9" s="589" t="s">
        <v>1631</v>
      </c>
      <c r="B9" s="609">
        <v>575</v>
      </c>
      <c r="C9" s="610">
        <v>0</v>
      </c>
      <c r="D9" s="589" t="s">
        <v>1633</v>
      </c>
      <c r="E9" s="589"/>
      <c r="G9" s="264" t="s">
        <v>304</v>
      </c>
      <c r="H9" s="37">
        <v>2570</v>
      </c>
    </row>
    <row r="10" spans="1:12">
      <c r="A10" s="589" t="s">
        <v>1632</v>
      </c>
      <c r="B10" s="609">
        <f>600-B9</f>
        <v>25</v>
      </c>
      <c r="C10" s="610">
        <f>575-B10</f>
        <v>550</v>
      </c>
      <c r="D10" s="589" t="s">
        <v>822</v>
      </c>
      <c r="E10" s="589"/>
      <c r="G10" s="264" t="s">
        <v>809</v>
      </c>
      <c r="H10" s="37">
        <v>0</v>
      </c>
    </row>
    <row r="11" spans="1:12">
      <c r="A11" s="589" t="s">
        <v>1635</v>
      </c>
      <c r="B11" s="609">
        <v>275</v>
      </c>
      <c r="C11" s="610">
        <v>300</v>
      </c>
      <c r="D11" s="589" t="s">
        <v>1634</v>
      </c>
      <c r="E11" s="589"/>
      <c r="G11" s="264" t="s">
        <v>330</v>
      </c>
      <c r="H11" s="37">
        <v>0</v>
      </c>
    </row>
    <row r="12" spans="1:12">
      <c r="A12" s="589" t="s">
        <v>1637</v>
      </c>
      <c r="B12" s="609">
        <v>400</v>
      </c>
      <c r="C12" s="610">
        <f>775-B12</f>
        <v>375</v>
      </c>
      <c r="D12" s="589" t="s">
        <v>1638</v>
      </c>
      <c r="E12" s="589">
        <v>2</v>
      </c>
      <c r="H12" s="171">
        <f>SUM(H9:H11)</f>
        <v>2570</v>
      </c>
      <c r="I12" s="264" t="s">
        <v>1643</v>
      </c>
    </row>
    <row r="13" spans="1:12">
      <c r="A13" s="589" t="s">
        <v>1639</v>
      </c>
      <c r="B13" s="609">
        <v>438</v>
      </c>
      <c r="C13" s="610">
        <v>0</v>
      </c>
      <c r="D13" s="589" t="s">
        <v>1641</v>
      </c>
      <c r="E13" s="589"/>
      <c r="I13" s="264" t="s">
        <v>347</v>
      </c>
      <c r="J13">
        <f>375+375</f>
        <v>750</v>
      </c>
      <c r="K13">
        <f>775-J13</f>
        <v>25</v>
      </c>
      <c r="L13" s="264" t="s">
        <v>1636</v>
      </c>
    </row>
    <row r="14" spans="1:12">
      <c r="A14" s="589" t="s">
        <v>1640</v>
      </c>
      <c r="B14" s="609">
        <v>438</v>
      </c>
      <c r="C14" s="610">
        <v>0</v>
      </c>
      <c r="D14" s="589" t="s">
        <v>211</v>
      </c>
      <c r="E14" s="589"/>
    </row>
    <row r="15" spans="1:12">
      <c r="A15" s="589" t="s">
        <v>1642</v>
      </c>
      <c r="B15" s="609">
        <v>575</v>
      </c>
      <c r="C15" s="610">
        <v>0</v>
      </c>
      <c r="D15" s="589" t="s">
        <v>135</v>
      </c>
      <c r="E15" s="589"/>
    </row>
    <row r="16" spans="1:12">
      <c r="A16" s="589" t="s">
        <v>1644</v>
      </c>
      <c r="B16" s="609">
        <v>375</v>
      </c>
      <c r="C16" s="610">
        <v>0</v>
      </c>
      <c r="D16" s="589" t="s">
        <v>211</v>
      </c>
      <c r="E16" s="589"/>
    </row>
    <row r="17" spans="1:14">
      <c r="A17" s="589" t="s">
        <v>1637</v>
      </c>
      <c r="B17" s="609">
        <v>400</v>
      </c>
      <c r="C17" s="610">
        <f>575-B17</f>
        <v>175</v>
      </c>
      <c r="D17" s="589" t="s">
        <v>822</v>
      </c>
      <c r="E17" s="589"/>
    </row>
    <row r="18" spans="1:14">
      <c r="A18" s="589" t="s">
        <v>398</v>
      </c>
      <c r="B18" s="609">
        <v>500</v>
      </c>
      <c r="C18" s="610">
        <f>775-B18</f>
        <v>275</v>
      </c>
      <c r="D18" s="589" t="s">
        <v>211</v>
      </c>
      <c r="E18" s="589">
        <v>3</v>
      </c>
      <c r="K18" s="264"/>
      <c r="N18" s="264"/>
    </row>
    <row r="19" spans="1:14">
      <c r="A19" s="589" t="s">
        <v>1645</v>
      </c>
      <c r="B19" s="609">
        <v>575</v>
      </c>
      <c r="C19" s="610">
        <v>0</v>
      </c>
      <c r="D19" s="589" t="s">
        <v>211</v>
      </c>
      <c r="E19" s="589"/>
      <c r="K19" s="264"/>
      <c r="N19" s="264"/>
    </row>
    <row r="20" spans="1:14">
      <c r="A20" s="589" t="s">
        <v>1646</v>
      </c>
      <c r="B20" s="609">
        <v>250</v>
      </c>
      <c r="C20" s="610">
        <f>575-B20</f>
        <v>325</v>
      </c>
      <c r="D20" s="589" t="s">
        <v>1647</v>
      </c>
      <c r="E20" s="589"/>
    </row>
    <row r="21" spans="1:14">
      <c r="A21" s="589" t="s">
        <v>1648</v>
      </c>
      <c r="B21" s="609">
        <v>575</v>
      </c>
      <c r="C21" s="610">
        <v>0</v>
      </c>
      <c r="D21" s="589" t="s">
        <v>822</v>
      </c>
      <c r="E21" s="589"/>
    </row>
    <row r="22" spans="1:14">
      <c r="A22" s="589" t="s">
        <v>1649</v>
      </c>
      <c r="B22" s="609">
        <v>275</v>
      </c>
      <c r="C22" s="610">
        <v>300</v>
      </c>
      <c r="D22" s="589" t="s">
        <v>822</v>
      </c>
      <c r="E22" s="589"/>
    </row>
    <row r="23" spans="1:14">
      <c r="A23" s="589" t="s">
        <v>1650</v>
      </c>
      <c r="B23" s="609">
        <v>575</v>
      </c>
      <c r="C23" s="610">
        <v>0</v>
      </c>
      <c r="D23" s="589" t="s">
        <v>822</v>
      </c>
      <c r="E23" s="589"/>
    </row>
    <row r="24" spans="1:14">
      <c r="A24" s="589" t="s">
        <v>1651</v>
      </c>
      <c r="B24" s="609">
        <v>575</v>
      </c>
      <c r="C24" s="610">
        <v>0</v>
      </c>
      <c r="D24" s="589" t="s">
        <v>822</v>
      </c>
      <c r="E24" s="589"/>
    </row>
    <row r="25" spans="1:14">
      <c r="A25" s="589" t="s">
        <v>1592</v>
      </c>
      <c r="B25" s="609">
        <v>375</v>
      </c>
      <c r="C25" s="610">
        <f>775-B25</f>
        <v>400</v>
      </c>
      <c r="D25" s="589" t="s">
        <v>1652</v>
      </c>
      <c r="E25" s="589">
        <v>4</v>
      </c>
    </row>
    <row r="26" spans="1:14">
      <c r="A26" s="589" t="s">
        <v>1654</v>
      </c>
      <c r="B26" s="609">
        <f>550/2</f>
        <v>275</v>
      </c>
      <c r="C26" s="610">
        <v>300</v>
      </c>
      <c r="D26" s="589" t="s">
        <v>1653</v>
      </c>
      <c r="E26" s="589"/>
    </row>
    <row r="27" spans="1:14">
      <c r="A27" s="589" t="s">
        <v>1655</v>
      </c>
      <c r="B27" s="609">
        <v>275</v>
      </c>
      <c r="C27" s="610">
        <v>300</v>
      </c>
      <c r="D27" s="589" t="s">
        <v>822</v>
      </c>
      <c r="E27" s="589"/>
    </row>
    <row r="28" spans="1:14">
      <c r="A28" s="589" t="s">
        <v>1656</v>
      </c>
      <c r="B28" s="609">
        <v>375</v>
      </c>
      <c r="C28" s="610">
        <v>400</v>
      </c>
      <c r="D28" s="589" t="s">
        <v>1657</v>
      </c>
      <c r="E28" s="589">
        <v>5</v>
      </c>
    </row>
    <row r="29" spans="1:14">
      <c r="A29" s="589" t="s">
        <v>1658</v>
      </c>
      <c r="B29" s="609">
        <v>500</v>
      </c>
      <c r="C29" s="610">
        <f>575-B29</f>
        <v>75</v>
      </c>
      <c r="D29" s="589" t="s">
        <v>822</v>
      </c>
      <c r="E29" s="589"/>
    </row>
    <row r="30" spans="1:14">
      <c r="A30" s="589" t="s">
        <v>1659</v>
      </c>
      <c r="B30" s="609">
        <v>300</v>
      </c>
      <c r="C30" s="610">
        <f>575-B30</f>
        <v>275</v>
      </c>
      <c r="D30" s="589" t="s">
        <v>1595</v>
      </c>
      <c r="E30" s="589"/>
    </row>
    <row r="31" spans="1:14">
      <c r="A31" s="589" t="s">
        <v>1660</v>
      </c>
      <c r="B31" s="609">
        <v>300</v>
      </c>
      <c r="C31" s="610">
        <v>275</v>
      </c>
      <c r="D31" s="589" t="s">
        <v>211</v>
      </c>
      <c r="E31" s="589"/>
    </row>
    <row r="32" spans="1:14">
      <c r="A32" s="589" t="s">
        <v>1521</v>
      </c>
      <c r="B32" s="609">
        <v>500</v>
      </c>
      <c r="C32" s="610">
        <f>575-B32</f>
        <v>75</v>
      </c>
      <c r="D32" s="589" t="s">
        <v>211</v>
      </c>
      <c r="E32" s="589"/>
    </row>
    <row r="33" spans="1:5">
      <c r="A33" s="589" t="s">
        <v>1661</v>
      </c>
      <c r="B33" s="609">
        <v>300</v>
      </c>
      <c r="C33" s="610">
        <f>775-B33</f>
        <v>475</v>
      </c>
      <c r="D33" s="589" t="s">
        <v>822</v>
      </c>
      <c r="E33" s="589">
        <v>6</v>
      </c>
    </row>
    <row r="34" spans="1:5">
      <c r="A34" s="589" t="s">
        <v>206</v>
      </c>
      <c r="B34" s="609">
        <v>575</v>
      </c>
      <c r="C34" s="610">
        <f>775-B34</f>
        <v>200</v>
      </c>
      <c r="D34" s="589" t="s">
        <v>211</v>
      </c>
      <c r="E34" s="589">
        <v>7</v>
      </c>
    </row>
    <row r="35" spans="1:5">
      <c r="A35" s="589" t="s">
        <v>1662</v>
      </c>
      <c r="B35" s="609">
        <f>1150/2</f>
        <v>575</v>
      </c>
      <c r="C35" s="610">
        <v>0</v>
      </c>
      <c r="D35" s="589" t="s">
        <v>1664</v>
      </c>
      <c r="E35" s="589"/>
    </row>
    <row r="36" spans="1:5">
      <c r="A36" s="589" t="s">
        <v>1663</v>
      </c>
      <c r="B36" s="609">
        <v>575</v>
      </c>
      <c r="C36" s="610">
        <v>0</v>
      </c>
      <c r="D36" s="589" t="s">
        <v>211</v>
      </c>
      <c r="E36" s="589"/>
    </row>
    <row r="37" spans="1:5">
      <c r="A37" s="589" t="s">
        <v>0</v>
      </c>
      <c r="B37" s="609">
        <v>0</v>
      </c>
      <c r="C37" s="610">
        <v>0</v>
      </c>
      <c r="D37" s="589" t="s">
        <v>1665</v>
      </c>
      <c r="E37" s="589"/>
    </row>
    <row r="38" spans="1:5">
      <c r="A38" s="589" t="s">
        <v>136</v>
      </c>
      <c r="B38" s="609">
        <v>0</v>
      </c>
      <c r="C38" s="610">
        <v>0</v>
      </c>
      <c r="D38" s="589" t="s">
        <v>822</v>
      </c>
      <c r="E38" s="589">
        <v>8</v>
      </c>
    </row>
    <row r="39" spans="1:5">
      <c r="A39" s="589" t="s">
        <v>1666</v>
      </c>
      <c r="B39" s="609">
        <v>0</v>
      </c>
      <c r="C39" s="610">
        <v>0</v>
      </c>
      <c r="D39" s="589" t="s">
        <v>673</v>
      </c>
      <c r="E39" s="589"/>
    </row>
    <row r="40" spans="1:5">
      <c r="B40" s="75"/>
      <c r="C40" s="37"/>
    </row>
    <row r="41" spans="1:5">
      <c r="B41" s="75"/>
      <c r="C41" s="37"/>
    </row>
    <row r="42" spans="1:5">
      <c r="B42" s="75">
        <f>SUM(B1:B41)</f>
        <v>14626</v>
      </c>
      <c r="C42" s="37">
        <f>SUM(C1:C41)</f>
        <v>6800</v>
      </c>
    </row>
    <row r="43" spans="1:5">
      <c r="B43" s="651">
        <f>B42+C42</f>
        <v>21426</v>
      </c>
      <c r="C43" s="637"/>
    </row>
    <row r="46" spans="1:5">
      <c r="A46" s="519" t="s">
        <v>262</v>
      </c>
      <c r="B46" s="520">
        <v>6700</v>
      </c>
      <c r="C46" s="519">
        <v>1</v>
      </c>
      <c r="D46" s="520">
        <f>(C46*B46)</f>
        <v>6700</v>
      </c>
    </row>
    <row r="47" spans="1:5">
      <c r="A47" s="519" t="s">
        <v>311</v>
      </c>
      <c r="B47" s="520">
        <v>950</v>
      </c>
      <c r="C47" s="519">
        <v>1</v>
      </c>
      <c r="D47" s="520">
        <f>B47</f>
        <v>950</v>
      </c>
    </row>
    <row r="48" spans="1:5">
      <c r="A48" s="519" t="s">
        <v>263</v>
      </c>
      <c r="B48" s="520">
        <f>300-(300*10%)</f>
        <v>270</v>
      </c>
      <c r="C48" s="519">
        <f>36-8</f>
        <v>28</v>
      </c>
      <c r="D48" s="520">
        <f>C48*B48</f>
        <v>7560</v>
      </c>
    </row>
    <row r="49" spans="1:4">
      <c r="A49" s="519" t="s">
        <v>264</v>
      </c>
      <c r="B49" s="520">
        <f>500-(500*10%)</f>
        <v>450</v>
      </c>
      <c r="C49" s="519">
        <v>8</v>
      </c>
      <c r="D49" s="520">
        <f>C49*B49</f>
        <v>3600</v>
      </c>
    </row>
    <row r="50" spans="1:4">
      <c r="A50" s="519" t="s">
        <v>266</v>
      </c>
      <c r="B50" s="519"/>
      <c r="C50" s="519">
        <f>C49+C48</f>
        <v>36</v>
      </c>
      <c r="D50" s="520">
        <f>D49+D48</f>
        <v>11160</v>
      </c>
    </row>
    <row r="51" spans="1:4">
      <c r="A51" s="519" t="s">
        <v>265</v>
      </c>
      <c r="B51" s="519"/>
      <c r="C51" s="519"/>
      <c r="D51" s="520">
        <f>D46+D47+D50</f>
        <v>18810</v>
      </c>
    </row>
    <row r="52" spans="1:4">
      <c r="A52" s="521" t="s">
        <v>7</v>
      </c>
      <c r="B52" s="521"/>
      <c r="C52" s="521"/>
      <c r="D52" s="520">
        <f>B43-D51</f>
        <v>2616</v>
      </c>
    </row>
  </sheetData>
  <mergeCells count="1">
    <mergeCell ref="B43:C43"/>
  </mergeCells>
  <pageMargins left="0.7" right="0.7" top="0.75" bottom="0.75" header="0.3" footer="0.3"/>
  <pageSetup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selection activeCell="E12" sqref="E12"/>
    </sheetView>
  </sheetViews>
  <sheetFormatPr baseColWidth="10" defaultRowHeight="15"/>
  <cols>
    <col min="1" max="1" width="14.140625" bestFit="1" customWidth="1"/>
    <col min="2" max="2" width="17.5703125" bestFit="1" customWidth="1"/>
    <col min="3" max="4" width="11.5703125" bestFit="1" customWidth="1"/>
    <col min="5" max="5" width="17.42578125" bestFit="1" customWidth="1"/>
    <col min="6" max="6" width="12.7109375" bestFit="1" customWidth="1"/>
    <col min="7" max="7" width="15.5703125" bestFit="1" customWidth="1"/>
    <col min="9" max="9" width="11.5703125" bestFit="1" customWidth="1"/>
  </cols>
  <sheetData>
    <row r="1" spans="1:9">
      <c r="A1" s="122" t="s">
        <v>358</v>
      </c>
      <c r="B1" s="123" t="s">
        <v>357</v>
      </c>
      <c r="C1" s="123" t="s">
        <v>8</v>
      </c>
      <c r="D1" s="124" t="s">
        <v>350</v>
      </c>
      <c r="E1" s="125" t="s">
        <v>356</v>
      </c>
    </row>
    <row r="2" spans="1:9">
      <c r="A2" s="105" t="s">
        <v>337</v>
      </c>
      <c r="B2" s="8" t="s">
        <v>349</v>
      </c>
      <c r="C2" s="63">
        <v>7839.72</v>
      </c>
      <c r="D2" s="119">
        <f>C2/8</f>
        <v>979.96500000000003</v>
      </c>
      <c r="E2" s="106">
        <f>D2+A10</f>
        <v>1846.6316666666667</v>
      </c>
      <c r="F2" s="75"/>
      <c r="I2" s="62"/>
    </row>
    <row r="3" spans="1:9">
      <c r="A3" s="105" t="s">
        <v>338</v>
      </c>
      <c r="B3" s="8" t="s">
        <v>339</v>
      </c>
      <c r="C3" s="63">
        <v>6778.15</v>
      </c>
      <c r="D3" s="119">
        <f>C3/6</f>
        <v>1129.6916666666666</v>
      </c>
      <c r="E3" s="106">
        <f>D3+A10</f>
        <v>1996.3583333333331</v>
      </c>
      <c r="F3" s="75"/>
      <c r="I3" s="37"/>
    </row>
    <row r="4" spans="1:9">
      <c r="A4" s="105" t="s">
        <v>337</v>
      </c>
      <c r="B4" s="8" t="s">
        <v>339</v>
      </c>
      <c r="C4" s="63">
        <v>7839.72</v>
      </c>
      <c r="D4" s="119">
        <f>C4/8</f>
        <v>979.96500000000003</v>
      </c>
      <c r="E4" s="106">
        <f>D4+A10</f>
        <v>1846.6316666666667</v>
      </c>
      <c r="F4" s="75"/>
      <c r="I4" s="37"/>
    </row>
    <row r="5" spans="1:9">
      <c r="A5" s="105" t="s">
        <v>343</v>
      </c>
      <c r="B5" s="8" t="s">
        <v>344</v>
      </c>
      <c r="C5" s="63">
        <f>C4/2</f>
        <v>3919.86</v>
      </c>
      <c r="D5" s="119">
        <f>C5/4</f>
        <v>979.96500000000003</v>
      </c>
      <c r="E5" s="106">
        <f>D5+A10</f>
        <v>1846.6316666666667</v>
      </c>
      <c r="F5" s="75"/>
    </row>
    <row r="6" spans="1:9">
      <c r="A6" s="105" t="s">
        <v>343</v>
      </c>
      <c r="B6" s="8" t="s">
        <v>344</v>
      </c>
      <c r="C6" s="63">
        <v>3919.86</v>
      </c>
      <c r="D6" s="119">
        <f>C6/4</f>
        <v>979.96500000000003</v>
      </c>
      <c r="E6" s="106">
        <f>D6+A10</f>
        <v>1846.6316666666667</v>
      </c>
      <c r="F6" s="75"/>
    </row>
    <row r="7" spans="1:9" ht="15.75" thickBot="1">
      <c r="A7" s="107" t="s">
        <v>345</v>
      </c>
      <c r="B7" s="108" t="s">
        <v>359</v>
      </c>
      <c r="C7" s="109">
        <f>SUM(C2:C6)</f>
        <v>30297.31</v>
      </c>
      <c r="D7" s="120"/>
      <c r="E7" s="121"/>
      <c r="F7" s="79"/>
    </row>
    <row r="8" spans="1:9" ht="15.75" thickBot="1">
      <c r="A8" s="101"/>
      <c r="B8" s="101"/>
      <c r="C8" s="102"/>
      <c r="D8" s="101"/>
      <c r="E8" s="78"/>
      <c r="F8" s="79"/>
    </row>
    <row r="9" spans="1:9" s="78" customFormat="1">
      <c r="A9" s="103">
        <v>26000</v>
      </c>
      <c r="B9" s="104" t="s">
        <v>1</v>
      </c>
      <c r="C9" s="80"/>
      <c r="F9" s="79"/>
    </row>
    <row r="10" spans="1:9">
      <c r="A10" s="126">
        <f>A9/30</f>
        <v>866.66666666666663</v>
      </c>
      <c r="B10" s="127" t="s">
        <v>340</v>
      </c>
      <c r="F10" s="75"/>
    </row>
    <row r="11" spans="1:9">
      <c r="A11" s="63">
        <v>2700</v>
      </c>
      <c r="B11" s="8" t="s">
        <v>351</v>
      </c>
      <c r="C11" s="63">
        <v>2500</v>
      </c>
      <c r="D11" s="8" t="s">
        <v>360</v>
      </c>
    </row>
    <row r="12" spans="1:9">
      <c r="A12" s="63">
        <v>2600</v>
      </c>
      <c r="B12" s="8" t="s">
        <v>352</v>
      </c>
      <c r="C12" s="63">
        <v>2400</v>
      </c>
      <c r="D12" s="8" t="s">
        <v>360</v>
      </c>
    </row>
    <row r="13" spans="1:9" ht="18.75">
      <c r="G13" s="76"/>
    </row>
    <row r="14" spans="1:9">
      <c r="A14" s="100" t="s">
        <v>354</v>
      </c>
      <c r="B14" s="100" t="s">
        <v>353</v>
      </c>
      <c r="C14" s="100" t="s">
        <v>328</v>
      </c>
      <c r="D14" s="100" t="s">
        <v>341</v>
      </c>
    </row>
    <row r="15" spans="1:9">
      <c r="A15" s="110">
        <v>1</v>
      </c>
      <c r="B15" s="111" t="s">
        <v>333</v>
      </c>
      <c r="C15" s="112">
        <v>2160</v>
      </c>
      <c r="D15" s="112">
        <v>0</v>
      </c>
    </row>
    <row r="16" spans="1:9">
      <c r="A16" s="110">
        <v>2</v>
      </c>
      <c r="B16" s="111"/>
      <c r="C16" s="112">
        <v>0</v>
      </c>
      <c r="D16" s="112">
        <v>2500</v>
      </c>
    </row>
    <row r="17" spans="1:9">
      <c r="A17" s="113">
        <v>3</v>
      </c>
      <c r="B17" s="111"/>
      <c r="C17" s="112">
        <v>0</v>
      </c>
      <c r="D17" s="112">
        <v>2500</v>
      </c>
    </row>
    <row r="18" spans="1:9">
      <c r="A18" s="113">
        <v>4</v>
      </c>
      <c r="B18" s="111"/>
      <c r="C18" s="112">
        <v>0</v>
      </c>
      <c r="D18" s="112">
        <v>2500</v>
      </c>
    </row>
    <row r="19" spans="1:9">
      <c r="A19" s="114">
        <v>5</v>
      </c>
      <c r="B19" s="115" t="s">
        <v>342</v>
      </c>
      <c r="C19" s="116">
        <v>2420</v>
      </c>
      <c r="D19" s="116">
        <v>0</v>
      </c>
    </row>
    <row r="20" spans="1:9">
      <c r="A20" s="114">
        <v>6</v>
      </c>
      <c r="B20" s="115" t="s">
        <v>0</v>
      </c>
      <c r="C20" s="116">
        <v>0</v>
      </c>
      <c r="D20" s="116">
        <v>0</v>
      </c>
    </row>
    <row r="21" spans="1:9">
      <c r="A21" s="117">
        <v>7</v>
      </c>
      <c r="B21" s="115" t="s">
        <v>334</v>
      </c>
      <c r="C21" s="116">
        <v>0</v>
      </c>
      <c r="D21" s="116">
        <v>0</v>
      </c>
    </row>
    <row r="22" spans="1:9">
      <c r="A22" s="117">
        <v>8</v>
      </c>
      <c r="B22" s="115"/>
      <c r="C22" s="116">
        <v>0</v>
      </c>
      <c r="D22" s="116">
        <v>2500</v>
      </c>
      <c r="I22" s="62"/>
    </row>
    <row r="23" spans="1:9">
      <c r="A23" s="85">
        <v>9</v>
      </c>
      <c r="B23" s="81"/>
      <c r="C23" s="82">
        <v>0</v>
      </c>
      <c r="D23" s="82">
        <v>2500</v>
      </c>
      <c r="I23" s="62"/>
    </row>
    <row r="24" spans="1:9">
      <c r="A24" s="85">
        <v>10</v>
      </c>
      <c r="B24" s="81"/>
      <c r="C24" s="82">
        <v>0</v>
      </c>
      <c r="D24" s="82">
        <v>2500</v>
      </c>
    </row>
    <row r="25" spans="1:9">
      <c r="A25" s="86">
        <v>11</v>
      </c>
      <c r="B25" s="81"/>
      <c r="C25" s="82">
        <v>0</v>
      </c>
      <c r="D25" s="82">
        <v>2500</v>
      </c>
    </row>
    <row r="26" spans="1:9">
      <c r="A26" s="86">
        <v>12</v>
      </c>
      <c r="B26" s="81"/>
      <c r="C26" s="82">
        <v>0</v>
      </c>
      <c r="D26" s="82">
        <v>2500</v>
      </c>
    </row>
    <row r="27" spans="1:9">
      <c r="A27" s="93">
        <v>13</v>
      </c>
      <c r="B27" s="94"/>
      <c r="C27" s="95">
        <v>0</v>
      </c>
      <c r="D27" s="95">
        <v>2500</v>
      </c>
    </row>
    <row r="28" spans="1:9">
      <c r="A28" s="93">
        <v>14</v>
      </c>
      <c r="B28" s="94"/>
      <c r="C28" s="95">
        <v>0</v>
      </c>
      <c r="D28" s="95">
        <v>2500</v>
      </c>
    </row>
    <row r="29" spans="1:9">
      <c r="A29" s="96">
        <v>15</v>
      </c>
      <c r="B29" s="94"/>
      <c r="C29" s="95">
        <v>0</v>
      </c>
      <c r="D29" s="95">
        <v>2500</v>
      </c>
    </row>
    <row r="30" spans="1:9">
      <c r="A30" s="96">
        <v>16</v>
      </c>
      <c r="B30" s="94"/>
      <c r="C30" s="95">
        <v>0</v>
      </c>
      <c r="D30" s="95">
        <v>2500</v>
      </c>
    </row>
    <row r="31" spans="1:9">
      <c r="A31" s="91">
        <v>17</v>
      </c>
      <c r="B31" s="83"/>
      <c r="C31" s="84">
        <v>0</v>
      </c>
      <c r="D31" s="84">
        <v>2300</v>
      </c>
    </row>
    <row r="32" spans="1:9">
      <c r="A32" s="91">
        <v>18</v>
      </c>
      <c r="B32" s="83"/>
      <c r="C32" s="84">
        <v>0</v>
      </c>
      <c r="D32" s="84">
        <v>2300</v>
      </c>
    </row>
    <row r="33" spans="1:4">
      <c r="A33" s="92">
        <v>19</v>
      </c>
      <c r="B33" s="83"/>
      <c r="C33" s="84">
        <v>0</v>
      </c>
      <c r="D33" s="84">
        <v>2300</v>
      </c>
    </row>
    <row r="34" spans="1:4">
      <c r="A34" s="92">
        <v>20</v>
      </c>
      <c r="B34" s="83"/>
      <c r="C34" s="84">
        <v>0</v>
      </c>
      <c r="D34" s="84">
        <v>2300</v>
      </c>
    </row>
    <row r="35" spans="1:4">
      <c r="A35" s="91">
        <v>21</v>
      </c>
      <c r="B35" s="83"/>
      <c r="C35" s="84">
        <v>0</v>
      </c>
      <c r="D35" s="84">
        <v>2500</v>
      </c>
    </row>
    <row r="36" spans="1:4">
      <c r="A36" s="91">
        <v>22</v>
      </c>
      <c r="B36" s="83"/>
      <c r="C36" s="84">
        <v>0</v>
      </c>
      <c r="D36" s="84">
        <v>2500</v>
      </c>
    </row>
    <row r="37" spans="1:4">
      <c r="A37" s="92">
        <v>23</v>
      </c>
      <c r="B37" s="83"/>
      <c r="C37" s="84">
        <v>0</v>
      </c>
      <c r="D37" s="84">
        <v>2500</v>
      </c>
    </row>
    <row r="38" spans="1:4">
      <c r="A38" s="92">
        <v>24</v>
      </c>
      <c r="B38" s="83" t="s">
        <v>347</v>
      </c>
      <c r="C38" s="84">
        <v>2500</v>
      </c>
      <c r="D38" s="84">
        <v>0</v>
      </c>
    </row>
    <row r="39" spans="1:4">
      <c r="A39" s="87">
        <v>25</v>
      </c>
      <c r="B39" s="88"/>
      <c r="C39" s="89"/>
      <c r="D39" s="89">
        <v>2700</v>
      </c>
    </row>
    <row r="40" spans="1:4">
      <c r="A40" s="87">
        <v>26</v>
      </c>
      <c r="B40" s="88"/>
      <c r="C40" s="89"/>
      <c r="D40" s="89">
        <v>2700</v>
      </c>
    </row>
    <row r="41" spans="1:4">
      <c r="A41" s="90">
        <v>27</v>
      </c>
      <c r="B41" s="88"/>
      <c r="C41" s="89"/>
      <c r="D41" s="89">
        <v>2700</v>
      </c>
    </row>
    <row r="42" spans="1:4">
      <c r="A42" s="90">
        <v>28</v>
      </c>
      <c r="B42" s="88"/>
      <c r="C42" s="89"/>
      <c r="D42" s="89">
        <v>2700</v>
      </c>
    </row>
    <row r="43" spans="1:4">
      <c r="A43" s="99">
        <v>29</v>
      </c>
      <c r="B43" s="97"/>
      <c r="C43" s="98"/>
      <c r="D43" s="98">
        <v>2700</v>
      </c>
    </row>
    <row r="44" spans="1:4">
      <c r="A44" s="99">
        <v>30</v>
      </c>
      <c r="B44" s="97"/>
      <c r="C44" s="98"/>
      <c r="D44" s="98">
        <v>2700</v>
      </c>
    </row>
    <row r="45" spans="1:4">
      <c r="A45" s="99">
        <v>31</v>
      </c>
      <c r="B45" s="97"/>
      <c r="C45" s="98"/>
      <c r="D45" s="98">
        <v>2700</v>
      </c>
    </row>
    <row r="46" spans="1:4">
      <c r="A46" s="99">
        <v>32</v>
      </c>
      <c r="B46" s="97"/>
      <c r="C46" s="98"/>
      <c r="D46" s="98">
        <v>2700</v>
      </c>
    </row>
    <row r="47" spans="1:4">
      <c r="B47" s="118"/>
      <c r="C47" s="77">
        <f>SUM(C15:C38)</f>
        <v>7080</v>
      </c>
      <c r="D47" s="77">
        <f>SUM(D15:D46)</f>
        <v>68300</v>
      </c>
    </row>
    <row r="48" spans="1:4">
      <c r="B48" s="118"/>
      <c r="C48" s="632">
        <f>C47+D47</f>
        <v>75380</v>
      </c>
      <c r="D48" s="633"/>
    </row>
    <row r="50" spans="1:4">
      <c r="A50" s="628" t="s">
        <v>348</v>
      </c>
      <c r="B50" s="629"/>
      <c r="C50" s="630">
        <f>C7</f>
        <v>30297.31</v>
      </c>
      <c r="D50" s="631"/>
    </row>
    <row r="51" spans="1:4">
      <c r="A51" s="628" t="s">
        <v>262</v>
      </c>
      <c r="B51" s="629"/>
      <c r="C51" s="634">
        <f>A9</f>
        <v>26000</v>
      </c>
      <c r="D51" s="635"/>
    </row>
    <row r="52" spans="1:4">
      <c r="A52" s="628" t="s">
        <v>355</v>
      </c>
      <c r="B52" s="629"/>
      <c r="C52" s="630">
        <v>200</v>
      </c>
      <c r="D52" s="631"/>
    </row>
    <row r="53" spans="1:4">
      <c r="A53" s="628" t="s">
        <v>7</v>
      </c>
      <c r="B53" s="629"/>
      <c r="C53" s="630">
        <f>C48-C50-C51-C52</f>
        <v>18882.690000000002</v>
      </c>
      <c r="D53" s="631"/>
    </row>
    <row r="54" spans="1:4">
      <c r="D54" s="62">
        <f>C53/8</f>
        <v>2360.3362500000003</v>
      </c>
    </row>
  </sheetData>
  <mergeCells count="9">
    <mergeCell ref="A53:B53"/>
    <mergeCell ref="C53:D53"/>
    <mergeCell ref="C48:D48"/>
    <mergeCell ref="A50:B50"/>
    <mergeCell ref="C50:D50"/>
    <mergeCell ref="A51:B51"/>
    <mergeCell ref="C51:D51"/>
    <mergeCell ref="A52:B52"/>
    <mergeCell ref="C52:D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3"/>
  <sheetViews>
    <sheetView workbookViewId="0">
      <selection activeCell="D73" sqref="D73"/>
    </sheetView>
  </sheetViews>
  <sheetFormatPr baseColWidth="10" defaultRowHeight="12.75"/>
  <cols>
    <col min="1" max="1" width="3" style="2" bestFit="1" customWidth="1"/>
    <col min="2" max="2" width="30.7109375" style="2" bestFit="1" customWidth="1"/>
    <col min="3" max="4" width="11.42578125" style="2"/>
    <col min="5" max="5" width="19.5703125" style="2" bestFit="1" customWidth="1"/>
    <col min="6" max="6" width="3" style="2" bestFit="1" customWidth="1"/>
    <col min="7" max="7" width="22.28515625" style="2" bestFit="1" customWidth="1"/>
    <col min="8" max="8" width="6.140625" style="2" bestFit="1" customWidth="1"/>
    <col min="9" max="9" width="10" style="2" bestFit="1" customWidth="1"/>
    <col min="10" max="10" width="15.28515625" style="2" bestFit="1" customWidth="1"/>
    <col min="11" max="16384" width="11.42578125" style="2"/>
  </cols>
  <sheetData>
    <row r="1" spans="1:10" ht="15">
      <c r="A1" s="9">
        <v>1</v>
      </c>
      <c r="B1" s="9" t="s">
        <v>136</v>
      </c>
      <c r="C1" s="10">
        <v>0</v>
      </c>
      <c r="D1" s="41">
        <v>0</v>
      </c>
      <c r="E1" s="40" t="s">
        <v>137</v>
      </c>
      <c r="G1" s="43"/>
      <c r="H1" s="44"/>
      <c r="I1" s="45"/>
      <c r="J1" s="29"/>
    </row>
    <row r="2" spans="1:10" ht="15">
      <c r="A2" s="9">
        <v>2</v>
      </c>
      <c r="B2" s="1" t="s">
        <v>57</v>
      </c>
      <c r="C2" s="41" t="s">
        <v>124</v>
      </c>
      <c r="D2" s="10">
        <v>0</v>
      </c>
      <c r="E2" s="40" t="s">
        <v>60</v>
      </c>
      <c r="G2" s="43"/>
      <c r="H2" s="44"/>
      <c r="I2" s="45"/>
      <c r="J2" s="29"/>
    </row>
    <row r="3" spans="1:10" ht="15">
      <c r="A3" s="9">
        <v>3</v>
      </c>
      <c r="B3" s="1" t="s">
        <v>56</v>
      </c>
      <c r="C3" s="41">
        <v>0</v>
      </c>
      <c r="D3" s="10">
        <v>0</v>
      </c>
      <c r="E3" s="40" t="s">
        <v>61</v>
      </c>
      <c r="G3" s="43"/>
      <c r="H3" s="44"/>
      <c r="I3" s="46"/>
      <c r="J3" s="47"/>
    </row>
    <row r="4" spans="1:10" ht="15">
      <c r="A4" s="9">
        <v>4</v>
      </c>
      <c r="B4" s="9" t="s">
        <v>108</v>
      </c>
      <c r="C4" s="10">
        <f>255+255</f>
        <v>510</v>
      </c>
      <c r="D4" s="41">
        <f>555-C4</f>
        <v>45</v>
      </c>
      <c r="E4" s="40" t="s">
        <v>140</v>
      </c>
      <c r="G4" s="43"/>
      <c r="H4" s="44"/>
      <c r="I4" s="46"/>
      <c r="J4" s="47"/>
    </row>
    <row r="5" spans="1:10" ht="15">
      <c r="A5" s="9">
        <v>5</v>
      </c>
      <c r="B5" s="9" t="s">
        <v>107</v>
      </c>
      <c r="C5" s="10">
        <v>255</v>
      </c>
      <c r="D5" s="41">
        <v>300</v>
      </c>
      <c r="E5" s="1" t="s">
        <v>31</v>
      </c>
      <c r="F5" s="27"/>
      <c r="G5" s="43"/>
      <c r="H5" s="44"/>
      <c r="I5" s="46"/>
      <c r="J5" s="47"/>
    </row>
    <row r="6" spans="1:10" ht="15">
      <c r="A6" s="9">
        <v>6</v>
      </c>
      <c r="B6" s="9" t="s">
        <v>161</v>
      </c>
      <c r="C6" s="10">
        <v>255</v>
      </c>
      <c r="D6" s="41">
        <v>500</v>
      </c>
      <c r="E6" s="40" t="s">
        <v>109</v>
      </c>
      <c r="F6" s="27" t="s">
        <v>187</v>
      </c>
      <c r="G6" s="43"/>
      <c r="H6" s="44"/>
      <c r="I6" s="45"/>
      <c r="J6" s="29"/>
    </row>
    <row r="7" spans="1:10" ht="15">
      <c r="A7" s="9">
        <v>7</v>
      </c>
      <c r="B7" s="9" t="s">
        <v>112</v>
      </c>
      <c r="C7" s="10">
        <v>555</v>
      </c>
      <c r="D7" s="41">
        <v>555</v>
      </c>
      <c r="E7" s="40" t="s">
        <v>114</v>
      </c>
      <c r="F7" s="27"/>
      <c r="G7" s="43"/>
      <c r="H7" s="44"/>
      <c r="I7" s="44"/>
      <c r="J7" s="29"/>
    </row>
    <row r="8" spans="1:10" ht="15">
      <c r="A8" s="9">
        <v>8</v>
      </c>
      <c r="B8" s="9" t="s">
        <v>113</v>
      </c>
      <c r="C8" s="10">
        <v>555</v>
      </c>
      <c r="D8" s="41">
        <v>555</v>
      </c>
      <c r="E8" s="1" t="s">
        <v>31</v>
      </c>
      <c r="F8" s="23"/>
      <c r="G8" s="43"/>
      <c r="H8" s="44"/>
      <c r="I8" s="44"/>
      <c r="J8" s="29"/>
    </row>
    <row r="9" spans="1:10" ht="15">
      <c r="A9" s="9">
        <v>9</v>
      </c>
      <c r="B9" s="9" t="s">
        <v>115</v>
      </c>
      <c r="C9" s="10">
        <v>255</v>
      </c>
      <c r="D9" s="41">
        <v>300</v>
      </c>
      <c r="E9" s="40" t="s">
        <v>104</v>
      </c>
      <c r="G9" s="43"/>
      <c r="H9" s="44"/>
      <c r="I9" s="44"/>
      <c r="J9" s="29"/>
    </row>
    <row r="10" spans="1:10" ht="15">
      <c r="A10" s="9">
        <v>10</v>
      </c>
      <c r="B10" s="9" t="s">
        <v>118</v>
      </c>
      <c r="C10" s="10">
        <v>255</v>
      </c>
      <c r="D10" s="41">
        <f>495-C10</f>
        <v>240</v>
      </c>
      <c r="E10" s="40" t="s">
        <v>119</v>
      </c>
      <c r="G10" s="43"/>
      <c r="H10" s="44"/>
      <c r="I10" s="44"/>
      <c r="J10" s="29"/>
    </row>
    <row r="11" spans="1:10" ht="15">
      <c r="A11" s="9">
        <v>11</v>
      </c>
      <c r="B11" s="9" t="s">
        <v>82</v>
      </c>
      <c r="C11" s="10">
        <v>255</v>
      </c>
      <c r="D11" s="41">
        <v>300</v>
      </c>
      <c r="E11" s="1" t="s">
        <v>31</v>
      </c>
      <c r="G11" s="43"/>
      <c r="H11" s="44"/>
      <c r="I11" s="44"/>
      <c r="J11" s="29"/>
    </row>
    <row r="12" spans="1:10" ht="15">
      <c r="A12" s="9">
        <v>12</v>
      </c>
      <c r="B12" s="9" t="s">
        <v>81</v>
      </c>
      <c r="C12" s="10">
        <v>255</v>
      </c>
      <c r="D12" s="41">
        <v>300</v>
      </c>
      <c r="E12" s="40" t="s">
        <v>88</v>
      </c>
      <c r="G12" s="43"/>
      <c r="H12" s="44"/>
      <c r="I12" s="46"/>
      <c r="J12" s="47"/>
    </row>
    <row r="13" spans="1:10" ht="15">
      <c r="A13" s="9">
        <v>13</v>
      </c>
      <c r="B13" s="1" t="s">
        <v>123</v>
      </c>
      <c r="C13" s="41">
        <v>255</v>
      </c>
      <c r="D13" s="10">
        <v>300</v>
      </c>
      <c r="E13" s="40" t="s">
        <v>122</v>
      </c>
    </row>
    <row r="14" spans="1:10" ht="15">
      <c r="A14" s="9">
        <v>14</v>
      </c>
      <c r="B14" s="1" t="s">
        <v>125</v>
      </c>
      <c r="C14" s="41">
        <v>260</v>
      </c>
      <c r="D14" s="10">
        <f>555-C14</f>
        <v>295</v>
      </c>
      <c r="E14" s="40" t="s">
        <v>126</v>
      </c>
    </row>
    <row r="15" spans="1:10" ht="15">
      <c r="A15" s="9">
        <v>15</v>
      </c>
      <c r="B15" s="1" t="s">
        <v>130</v>
      </c>
      <c r="C15" s="41">
        <v>255</v>
      </c>
      <c r="D15" s="10">
        <v>300</v>
      </c>
      <c r="E15" s="1" t="s">
        <v>31</v>
      </c>
    </row>
    <row r="16" spans="1:10" ht="15">
      <c r="A16" s="9">
        <v>16</v>
      </c>
      <c r="B16" s="1" t="s">
        <v>131</v>
      </c>
      <c r="C16" s="41">
        <v>255</v>
      </c>
      <c r="D16" s="10">
        <v>300</v>
      </c>
      <c r="E16" s="40" t="s">
        <v>151</v>
      </c>
    </row>
    <row r="17" spans="1:12" ht="15">
      <c r="A17" s="9">
        <v>17</v>
      </c>
      <c r="B17" s="9" t="s">
        <v>102</v>
      </c>
      <c r="C17" s="41">
        <v>255</v>
      </c>
      <c r="D17" s="41">
        <v>300</v>
      </c>
      <c r="E17" s="40" t="s">
        <v>103</v>
      </c>
    </row>
    <row r="18" spans="1:12" ht="15">
      <c r="A18" s="9">
        <v>18</v>
      </c>
      <c r="B18" s="9" t="s">
        <v>105</v>
      </c>
      <c r="C18" s="41">
        <v>555</v>
      </c>
      <c r="D18" s="41">
        <v>0</v>
      </c>
      <c r="E18" s="40" t="s">
        <v>106</v>
      </c>
    </row>
    <row r="19" spans="1:12" ht="15">
      <c r="A19" s="9">
        <v>19</v>
      </c>
      <c r="B19" s="9" t="s">
        <v>132</v>
      </c>
      <c r="C19" s="49">
        <v>555</v>
      </c>
      <c r="D19" s="49">
        <v>0</v>
      </c>
      <c r="E19" s="39" t="s">
        <v>135</v>
      </c>
      <c r="L19" s="3"/>
    </row>
    <row r="20" spans="1:12" ht="15">
      <c r="A20" s="9">
        <v>20</v>
      </c>
      <c r="B20" s="9" t="s">
        <v>133</v>
      </c>
      <c r="C20" s="49">
        <v>555</v>
      </c>
      <c r="D20" s="49">
        <v>0</v>
      </c>
      <c r="E20" s="48" t="s">
        <v>31</v>
      </c>
      <c r="L20" s="3"/>
    </row>
    <row r="21" spans="1:12" ht="15">
      <c r="A21" s="9">
        <v>21</v>
      </c>
      <c r="B21" s="9" t="s">
        <v>97</v>
      </c>
      <c r="C21" s="41">
        <f>510/2</f>
        <v>255</v>
      </c>
      <c r="D21" s="41">
        <f>555-C21</f>
        <v>300</v>
      </c>
      <c r="E21" s="40" t="s">
        <v>96</v>
      </c>
    </row>
    <row r="22" spans="1:12" ht="15">
      <c r="A22" s="9">
        <v>22</v>
      </c>
      <c r="B22" s="9" t="s">
        <v>98</v>
      </c>
      <c r="C22" s="41">
        <v>255</v>
      </c>
      <c r="D22" s="41">
        <v>300</v>
      </c>
      <c r="E22" s="13" t="s">
        <v>31</v>
      </c>
    </row>
    <row r="23" spans="1:12" ht="15">
      <c r="A23" s="9">
        <v>23</v>
      </c>
      <c r="B23" s="9" t="s">
        <v>143</v>
      </c>
      <c r="C23" s="10">
        <v>555</v>
      </c>
      <c r="D23" s="10">
        <v>0</v>
      </c>
      <c r="E23" s="40" t="s">
        <v>152</v>
      </c>
    </row>
    <row r="24" spans="1:12" ht="15">
      <c r="A24" s="9">
        <v>24</v>
      </c>
      <c r="B24" s="9" t="s">
        <v>99</v>
      </c>
      <c r="C24" s="41">
        <v>555</v>
      </c>
      <c r="D24" s="41">
        <v>0</v>
      </c>
      <c r="E24" s="40" t="s">
        <v>101</v>
      </c>
    </row>
    <row r="25" spans="1:12" ht="15">
      <c r="A25" s="9">
        <v>25</v>
      </c>
      <c r="B25" s="9" t="s">
        <v>91</v>
      </c>
      <c r="C25" s="41">
        <v>255</v>
      </c>
      <c r="D25" s="41">
        <v>300</v>
      </c>
      <c r="E25" s="40" t="s">
        <v>89</v>
      </c>
    </row>
    <row r="26" spans="1:12" ht="15">
      <c r="A26" s="9">
        <v>26</v>
      </c>
      <c r="B26" s="9" t="s">
        <v>154</v>
      </c>
      <c r="C26" s="41">
        <v>300</v>
      </c>
      <c r="D26" s="41">
        <v>255</v>
      </c>
      <c r="E26" s="40" t="s">
        <v>153</v>
      </c>
      <c r="G26" s="29"/>
      <c r="H26" s="29"/>
    </row>
    <row r="27" spans="1:12" ht="15">
      <c r="A27" s="9">
        <v>27</v>
      </c>
      <c r="B27" s="9" t="s">
        <v>159</v>
      </c>
      <c r="C27" s="41">
        <v>555</v>
      </c>
      <c r="D27" s="10">
        <v>0</v>
      </c>
      <c r="E27" s="40" t="s">
        <v>134</v>
      </c>
      <c r="G27" s="29"/>
      <c r="H27" s="29"/>
    </row>
    <row r="28" spans="1:12" ht="15">
      <c r="A28" s="9">
        <v>28</v>
      </c>
      <c r="B28" s="9" t="s">
        <v>160</v>
      </c>
      <c r="C28" s="41">
        <v>555</v>
      </c>
      <c r="D28" s="41">
        <v>0</v>
      </c>
      <c r="E28" s="40" t="s">
        <v>134</v>
      </c>
      <c r="G28" s="29"/>
      <c r="H28" s="29"/>
    </row>
    <row r="29" spans="1:12" ht="15">
      <c r="A29" s="9">
        <v>29</v>
      </c>
      <c r="B29" s="9" t="s">
        <v>162</v>
      </c>
      <c r="C29" s="10">
        <v>255</v>
      </c>
      <c r="D29" s="10">
        <v>0</v>
      </c>
      <c r="E29" s="40" t="s">
        <v>180</v>
      </c>
      <c r="G29" s="46"/>
      <c r="H29" s="29"/>
    </row>
    <row r="30" spans="1:12" ht="15">
      <c r="A30" s="9">
        <v>30</v>
      </c>
      <c r="B30" s="9" t="s">
        <v>164</v>
      </c>
      <c r="C30" s="10">
        <v>555</v>
      </c>
      <c r="D30" s="10">
        <v>0</v>
      </c>
      <c r="E30" s="40" t="s">
        <v>181</v>
      </c>
      <c r="G30" s="46"/>
      <c r="H30" s="29"/>
    </row>
    <row r="31" spans="1:12" ht="15">
      <c r="A31" s="9">
        <v>31</v>
      </c>
      <c r="B31" s="9" t="s">
        <v>166</v>
      </c>
      <c r="C31" s="10">
        <v>555</v>
      </c>
      <c r="D31" s="10">
        <v>0</v>
      </c>
      <c r="E31" s="40" t="s">
        <v>167</v>
      </c>
    </row>
    <row r="32" spans="1:12" ht="15">
      <c r="A32" s="9">
        <v>32</v>
      </c>
      <c r="B32" s="9" t="s">
        <v>168</v>
      </c>
      <c r="C32" s="10">
        <v>255</v>
      </c>
      <c r="D32" s="10">
        <v>300</v>
      </c>
      <c r="E32" s="40" t="s">
        <v>169</v>
      </c>
    </row>
    <row r="33" spans="1:5" ht="15">
      <c r="A33" s="9">
        <v>33</v>
      </c>
      <c r="B33" s="9" t="s">
        <v>191</v>
      </c>
      <c r="C33" s="10">
        <v>555</v>
      </c>
      <c r="D33" s="10"/>
      <c r="E33" s="40" t="s">
        <v>174</v>
      </c>
    </row>
    <row r="34" spans="1:5" ht="15">
      <c r="A34" s="9">
        <v>34</v>
      </c>
      <c r="B34" s="9" t="s">
        <v>173</v>
      </c>
      <c r="C34" s="10">
        <v>555</v>
      </c>
      <c r="D34" s="10"/>
      <c r="E34" s="1" t="s">
        <v>31</v>
      </c>
    </row>
    <row r="35" spans="1:5" ht="15">
      <c r="A35" s="9">
        <v>35</v>
      </c>
      <c r="B35" s="9" t="s">
        <v>175</v>
      </c>
      <c r="C35" s="10">
        <v>500</v>
      </c>
      <c r="D35" s="38"/>
      <c r="E35" s="39" t="s">
        <v>176</v>
      </c>
    </row>
    <row r="36" spans="1:5" ht="15">
      <c r="A36" s="11">
        <v>36</v>
      </c>
      <c r="B36" s="11" t="s">
        <v>156</v>
      </c>
      <c r="C36" s="12">
        <v>0</v>
      </c>
      <c r="D36" s="12">
        <v>400</v>
      </c>
      <c r="E36" s="13" t="s">
        <v>157</v>
      </c>
    </row>
    <row r="37" spans="1:5" ht="15">
      <c r="A37" s="9">
        <v>37</v>
      </c>
      <c r="B37" s="11" t="s">
        <v>24</v>
      </c>
      <c r="C37" s="12">
        <v>0</v>
      </c>
      <c r="D37" s="12">
        <v>555</v>
      </c>
      <c r="E37" s="13" t="s">
        <v>87</v>
      </c>
    </row>
    <row r="38" spans="1:5" ht="15">
      <c r="A38" s="9">
        <v>38</v>
      </c>
      <c r="B38" s="11" t="s">
        <v>163</v>
      </c>
      <c r="C38" s="10"/>
      <c r="D38" s="56">
        <v>555</v>
      </c>
      <c r="E38" s="26" t="s">
        <v>182</v>
      </c>
    </row>
    <row r="39" spans="1:5" ht="15">
      <c r="A39" s="9">
        <v>39</v>
      </c>
      <c r="B39" s="11" t="s">
        <v>43</v>
      </c>
      <c r="C39" s="12">
        <v>0</v>
      </c>
      <c r="D39" s="12">
        <v>555</v>
      </c>
      <c r="E39" s="26" t="s">
        <v>44</v>
      </c>
    </row>
    <row r="40" spans="1:5" ht="15">
      <c r="A40" s="9">
        <v>40</v>
      </c>
      <c r="B40" s="13" t="s">
        <v>120</v>
      </c>
      <c r="C40" s="7"/>
      <c r="D40" s="12">
        <v>555</v>
      </c>
      <c r="E40" s="13" t="s">
        <v>121</v>
      </c>
    </row>
    <row r="41" spans="1:5" ht="15">
      <c r="A41" s="9">
        <v>41</v>
      </c>
      <c r="B41" s="9" t="s">
        <v>67</v>
      </c>
      <c r="C41" s="10">
        <v>0</v>
      </c>
      <c r="D41" s="38"/>
      <c r="E41" s="25" t="s">
        <v>85</v>
      </c>
    </row>
    <row r="42" spans="1:5" ht="15">
      <c r="A42" s="9">
        <v>42</v>
      </c>
      <c r="B42" s="9" t="s">
        <v>77</v>
      </c>
      <c r="C42" s="10">
        <v>0</v>
      </c>
      <c r="D42" s="41"/>
      <c r="E42" s="1" t="s">
        <v>78</v>
      </c>
    </row>
    <row r="43" spans="1:5" ht="15">
      <c r="A43" s="9">
        <v>43</v>
      </c>
      <c r="B43" s="9" t="s">
        <v>170</v>
      </c>
      <c r="C43" s="10">
        <v>0</v>
      </c>
      <c r="D43" s="38">
        <v>555</v>
      </c>
      <c r="E43" s="25" t="s">
        <v>172</v>
      </c>
    </row>
    <row r="44" spans="1:5" ht="15">
      <c r="A44" s="9">
        <v>44</v>
      </c>
      <c r="B44" s="9" t="s">
        <v>171</v>
      </c>
      <c r="C44" s="10">
        <v>0</v>
      </c>
      <c r="D44" s="10">
        <v>555</v>
      </c>
      <c r="E44" s="25" t="s">
        <v>172</v>
      </c>
    </row>
    <row r="45" spans="1:5" ht="15">
      <c r="A45" s="9">
        <v>45</v>
      </c>
      <c r="B45" s="1" t="s">
        <v>116</v>
      </c>
      <c r="C45" s="41"/>
      <c r="D45" s="10">
        <v>280</v>
      </c>
      <c r="E45" s="1" t="s">
        <v>117</v>
      </c>
    </row>
    <row r="46" spans="1:5" ht="15">
      <c r="A46" s="9">
        <v>46</v>
      </c>
      <c r="B46" s="9" t="s">
        <v>158</v>
      </c>
      <c r="C46" s="10">
        <v>0</v>
      </c>
      <c r="D46" s="10">
        <v>555</v>
      </c>
      <c r="E46" s="1" t="s">
        <v>177</v>
      </c>
    </row>
    <row r="47" spans="1:5" ht="15">
      <c r="A47" s="9">
        <v>47</v>
      </c>
      <c r="B47" s="9" t="s">
        <v>200</v>
      </c>
      <c r="C47" s="10"/>
      <c r="D47" s="38">
        <v>755</v>
      </c>
      <c r="E47" s="25" t="s">
        <v>31</v>
      </c>
    </row>
    <row r="48" spans="1:5" ht="15">
      <c r="A48" s="9">
        <v>48</v>
      </c>
      <c r="B48" s="9" t="s">
        <v>197</v>
      </c>
      <c r="C48" s="10"/>
      <c r="D48" s="38">
        <v>555</v>
      </c>
      <c r="E48" s="25" t="s">
        <v>198</v>
      </c>
    </row>
    <row r="49" spans="1:9" ht="15">
      <c r="A49" s="9">
        <v>49</v>
      </c>
      <c r="B49" s="9" t="s">
        <v>196</v>
      </c>
      <c r="C49" s="10"/>
      <c r="D49" s="38">
        <v>555</v>
      </c>
      <c r="E49" s="25" t="s">
        <v>199</v>
      </c>
    </row>
    <row r="50" spans="1:9" ht="15">
      <c r="A50" s="9">
        <v>50</v>
      </c>
      <c r="B50" s="9" t="s">
        <v>195</v>
      </c>
      <c r="C50" s="10"/>
      <c r="D50" s="38">
        <v>555</v>
      </c>
      <c r="E50" s="25" t="s">
        <v>31</v>
      </c>
    </row>
    <row r="51" spans="1:9" ht="15">
      <c r="A51" s="9">
        <v>51</v>
      </c>
      <c r="B51" s="9" t="s">
        <v>194</v>
      </c>
      <c r="C51" s="10">
        <v>0</v>
      </c>
      <c r="D51" s="38">
        <v>555</v>
      </c>
      <c r="E51" s="25" t="s">
        <v>31</v>
      </c>
    </row>
    <row r="52" spans="1:9" ht="15">
      <c r="A52" s="9">
        <v>52</v>
      </c>
      <c r="B52" s="9" t="s">
        <v>193</v>
      </c>
      <c r="C52" s="10">
        <v>0</v>
      </c>
      <c r="D52" s="38">
        <v>555</v>
      </c>
      <c r="E52" s="25" t="s">
        <v>31</v>
      </c>
    </row>
    <row r="53" spans="1:9" ht="15">
      <c r="A53" s="9">
        <v>53</v>
      </c>
      <c r="B53" s="9" t="s">
        <v>192</v>
      </c>
      <c r="C53" s="10">
        <v>0</v>
      </c>
      <c r="D53" s="38">
        <v>555</v>
      </c>
      <c r="E53" s="25" t="s">
        <v>31</v>
      </c>
    </row>
    <row r="54" spans="1:9" ht="15">
      <c r="A54" s="9">
        <v>54</v>
      </c>
      <c r="B54" s="9" t="s">
        <v>64</v>
      </c>
      <c r="C54" s="10">
        <v>0</v>
      </c>
      <c r="D54" s="38"/>
      <c r="E54" s="25" t="s">
        <v>65</v>
      </c>
    </row>
    <row r="55" spans="1:9" ht="15">
      <c r="A55" s="9">
        <v>55</v>
      </c>
      <c r="B55" s="9" t="s">
        <v>63</v>
      </c>
      <c r="C55" s="10">
        <v>0</v>
      </c>
      <c r="D55" s="38"/>
      <c r="E55" s="25" t="s">
        <v>66</v>
      </c>
    </row>
    <row r="56" spans="1:9" ht="15">
      <c r="A56" s="9">
        <v>56</v>
      </c>
      <c r="B56" s="9" t="s">
        <v>165</v>
      </c>
      <c r="C56" s="10">
        <v>0</v>
      </c>
      <c r="D56" s="38"/>
      <c r="E56" s="25" t="s">
        <v>66</v>
      </c>
    </row>
    <row r="57" spans="1:9" ht="15">
      <c r="A57" s="9">
        <v>57</v>
      </c>
      <c r="B57" s="9" t="s">
        <v>127</v>
      </c>
      <c r="C57" s="10">
        <v>0</v>
      </c>
      <c r="D57" s="10"/>
      <c r="E57" s="48" t="s">
        <v>128</v>
      </c>
    </row>
    <row r="58" spans="1:9" ht="15">
      <c r="A58" s="9">
        <v>58</v>
      </c>
      <c r="B58" s="9" t="s">
        <v>14</v>
      </c>
      <c r="C58" s="10">
        <v>0</v>
      </c>
      <c r="D58" s="10"/>
      <c r="E58" s="1" t="s">
        <v>86</v>
      </c>
    </row>
    <row r="59" spans="1:9" ht="15">
      <c r="A59" s="9">
        <v>59</v>
      </c>
      <c r="B59" s="9" t="s">
        <v>13</v>
      </c>
      <c r="C59" s="10">
        <v>0</v>
      </c>
      <c r="D59" s="10"/>
      <c r="E59" s="60"/>
    </row>
    <row r="60" spans="1:9" ht="15">
      <c r="A60" s="9">
        <v>60</v>
      </c>
      <c r="B60" s="9" t="s">
        <v>12</v>
      </c>
      <c r="C60" s="10">
        <v>0</v>
      </c>
      <c r="D60" s="10"/>
      <c r="E60" s="1" t="s">
        <v>86</v>
      </c>
    </row>
    <row r="61" spans="1:9" ht="15">
      <c r="A61" s="9">
        <v>61</v>
      </c>
      <c r="B61" s="9" t="s">
        <v>11</v>
      </c>
      <c r="C61" s="10">
        <v>0</v>
      </c>
      <c r="D61" s="10"/>
      <c r="E61" s="1" t="s">
        <v>86</v>
      </c>
    </row>
    <row r="62" spans="1:9">
      <c r="C62" s="4">
        <f>SUM(C1:C46)</f>
        <v>12610</v>
      </c>
      <c r="D62" s="4">
        <f>SUM(D1:D61)</f>
        <v>14695</v>
      </c>
      <c r="G62" s="29"/>
      <c r="H62" s="29"/>
    </row>
    <row r="63" spans="1:9">
      <c r="C63" s="5"/>
      <c r="D63" s="5"/>
      <c r="G63" s="29"/>
      <c r="H63" s="29"/>
      <c r="I63" s="29"/>
    </row>
    <row r="64" spans="1:9">
      <c r="G64" s="29"/>
      <c r="H64" s="29"/>
      <c r="I64" s="29"/>
    </row>
    <row r="65" spans="2:9">
      <c r="B65" s="16" t="s">
        <v>1</v>
      </c>
      <c r="C65" s="18">
        <v>1</v>
      </c>
      <c r="D65" s="7">
        <v>5700</v>
      </c>
      <c r="G65" s="34"/>
      <c r="H65" s="31"/>
      <c r="I65" s="32"/>
    </row>
    <row r="66" spans="2:9">
      <c r="B66" s="16" t="s">
        <v>2</v>
      </c>
      <c r="C66" s="20">
        <v>39</v>
      </c>
      <c r="D66" s="7">
        <f>270*C66</f>
        <v>10530</v>
      </c>
      <c r="G66" s="34"/>
      <c r="H66" s="33"/>
      <c r="I66" s="32"/>
    </row>
    <row r="67" spans="2:9">
      <c r="B67" s="16" t="s">
        <v>3</v>
      </c>
      <c r="C67" s="20">
        <v>1</v>
      </c>
      <c r="D67" s="7">
        <f>450*C67</f>
        <v>450</v>
      </c>
      <c r="E67" s="22"/>
      <c r="G67" s="34"/>
      <c r="H67" s="33"/>
      <c r="I67" s="32"/>
    </row>
    <row r="68" spans="2:9">
      <c r="B68" s="16" t="s">
        <v>4</v>
      </c>
      <c r="C68" s="18">
        <f>C66+C67</f>
        <v>40</v>
      </c>
      <c r="D68" s="7">
        <f>D67+D66</f>
        <v>10980</v>
      </c>
      <c r="G68" s="34"/>
      <c r="H68" s="31"/>
      <c r="I68" s="32"/>
    </row>
    <row r="69" spans="2:9">
      <c r="B69" s="28" t="s">
        <v>9</v>
      </c>
      <c r="C69" s="19" t="s">
        <v>40</v>
      </c>
      <c r="D69" s="7">
        <v>0</v>
      </c>
      <c r="E69" s="6"/>
      <c r="G69" s="34"/>
      <c r="H69" s="31"/>
      <c r="I69" s="32"/>
    </row>
    <row r="70" spans="2:9">
      <c r="B70" s="612" t="s">
        <v>5</v>
      </c>
      <c r="C70" s="613"/>
      <c r="D70" s="7">
        <f>D68+D65+D69</f>
        <v>16680</v>
      </c>
      <c r="E70" s="6"/>
      <c r="F70" s="6"/>
      <c r="G70" s="35"/>
      <c r="H70" s="35"/>
      <c r="I70" s="32"/>
    </row>
    <row r="71" spans="2:9">
      <c r="B71" s="612" t="s">
        <v>6</v>
      </c>
      <c r="C71" s="613"/>
      <c r="D71" s="7">
        <f>D62+C62</f>
        <v>27305</v>
      </c>
      <c r="E71" s="6"/>
      <c r="F71" s="6"/>
      <c r="G71" s="35"/>
      <c r="H71" s="35"/>
      <c r="I71" s="32"/>
    </row>
    <row r="72" spans="2:9">
      <c r="B72" s="612" t="s">
        <v>7</v>
      </c>
      <c r="C72" s="613"/>
      <c r="D72" s="61">
        <f>D71-D70</f>
        <v>10625</v>
      </c>
      <c r="E72" s="36"/>
      <c r="F72" s="6"/>
      <c r="G72" s="614"/>
      <c r="H72" s="614"/>
      <c r="I72" s="32"/>
    </row>
    <row r="73" spans="2:9">
      <c r="D73" s="6">
        <f>D72+'16Sep1'!D57</f>
        <v>12593</v>
      </c>
    </row>
  </sheetData>
  <mergeCells count="4">
    <mergeCell ref="B70:C70"/>
    <mergeCell ref="B71:C71"/>
    <mergeCell ref="B72:C72"/>
    <mergeCell ref="G72:H72"/>
  </mergeCells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71"/>
  <sheetViews>
    <sheetView workbookViewId="0">
      <selection activeCell="A28" sqref="A1:XFD1048576"/>
    </sheetView>
  </sheetViews>
  <sheetFormatPr baseColWidth="10" defaultRowHeight="15"/>
  <cols>
    <col min="1" max="1" width="3" bestFit="1" customWidth="1"/>
    <col min="2" max="2" width="33.5703125" bestFit="1" customWidth="1"/>
    <col min="3" max="3" width="11.5703125" bestFit="1" customWidth="1"/>
    <col min="4" max="4" width="10.5703125" bestFit="1" customWidth="1"/>
    <col min="5" max="5" width="17.5703125" bestFit="1" customWidth="1"/>
    <col min="6" max="6" width="12.28515625" bestFit="1" customWidth="1"/>
    <col min="7" max="7" width="2.28515625" bestFit="1" customWidth="1"/>
    <col min="8" max="8" width="11.5703125" bestFit="1" customWidth="1"/>
    <col min="12" max="15" width="11.5703125" bestFit="1" customWidth="1"/>
  </cols>
  <sheetData>
    <row r="1" spans="1:6">
      <c r="A1" s="8">
        <v>1</v>
      </c>
      <c r="B1" s="9"/>
      <c r="C1" s="63">
        <v>540</v>
      </c>
      <c r="D1" s="64">
        <v>0</v>
      </c>
      <c r="E1" s="64"/>
      <c r="F1" s="48"/>
    </row>
    <row r="2" spans="1:6">
      <c r="A2" s="8">
        <v>2</v>
      </c>
      <c r="B2" s="9"/>
      <c r="C2" s="63">
        <v>540</v>
      </c>
      <c r="D2" s="64">
        <v>0</v>
      </c>
      <c r="E2" s="64"/>
      <c r="F2" s="48"/>
    </row>
    <row r="3" spans="1:6">
      <c r="A3" s="8">
        <v>3</v>
      </c>
      <c r="B3" s="9"/>
      <c r="C3" s="63">
        <v>540</v>
      </c>
      <c r="D3" s="64">
        <v>0</v>
      </c>
      <c r="E3" s="64"/>
      <c r="F3" s="48"/>
    </row>
    <row r="4" spans="1:6">
      <c r="A4" s="8">
        <v>4</v>
      </c>
      <c r="B4" s="9"/>
      <c r="C4" s="63">
        <v>540</v>
      </c>
      <c r="D4" s="64">
        <v>0</v>
      </c>
      <c r="E4" s="64"/>
      <c r="F4" s="48"/>
    </row>
    <row r="5" spans="1:6">
      <c r="A5" s="8">
        <v>5</v>
      </c>
      <c r="B5" s="9"/>
      <c r="C5" s="63">
        <v>540</v>
      </c>
      <c r="D5" s="64">
        <v>0</v>
      </c>
      <c r="E5" s="64"/>
      <c r="F5" s="48"/>
    </row>
    <row r="6" spans="1:6">
      <c r="A6" s="8">
        <v>6</v>
      </c>
      <c r="B6" s="1"/>
      <c r="C6" s="63">
        <v>540</v>
      </c>
      <c r="D6" s="64">
        <v>0</v>
      </c>
      <c r="E6" s="64"/>
      <c r="F6" s="48"/>
    </row>
    <row r="7" spans="1:6">
      <c r="A7" s="8">
        <v>7</v>
      </c>
      <c r="B7" s="9"/>
      <c r="C7" s="63">
        <v>540</v>
      </c>
      <c r="D7" s="64">
        <v>0</v>
      </c>
      <c r="E7" s="64"/>
      <c r="F7" s="48"/>
    </row>
    <row r="8" spans="1:6">
      <c r="A8" s="8">
        <v>8</v>
      </c>
      <c r="B8" s="9"/>
      <c r="C8" s="63">
        <v>540</v>
      </c>
      <c r="D8" s="64">
        <v>0</v>
      </c>
      <c r="E8" s="64"/>
      <c r="F8" s="48"/>
    </row>
    <row r="9" spans="1:6">
      <c r="A9" s="8">
        <v>9</v>
      </c>
      <c r="B9" s="9"/>
      <c r="C9" s="63">
        <v>540</v>
      </c>
      <c r="D9" s="64">
        <v>0</v>
      </c>
      <c r="E9" s="64"/>
      <c r="F9" s="48"/>
    </row>
    <row r="10" spans="1:6">
      <c r="A10" s="8">
        <v>10</v>
      </c>
      <c r="B10" s="9"/>
      <c r="C10" s="63">
        <v>540</v>
      </c>
      <c r="D10" s="64">
        <v>0</v>
      </c>
      <c r="E10" s="64"/>
      <c r="F10" s="48"/>
    </row>
    <row r="11" spans="1:6">
      <c r="A11" s="8">
        <v>11</v>
      </c>
      <c r="B11" s="9"/>
      <c r="C11" s="63">
        <v>540</v>
      </c>
      <c r="D11" s="64">
        <v>0</v>
      </c>
      <c r="E11" s="64"/>
      <c r="F11" s="48"/>
    </row>
    <row r="12" spans="1:6">
      <c r="A12" s="8">
        <v>12</v>
      </c>
      <c r="B12" s="9"/>
      <c r="C12" s="63">
        <v>540</v>
      </c>
      <c r="D12" s="64">
        <v>0</v>
      </c>
      <c r="E12" s="64"/>
      <c r="F12" s="1"/>
    </row>
    <row r="13" spans="1:6">
      <c r="A13" s="8">
        <v>13</v>
      </c>
      <c r="B13" s="9"/>
      <c r="C13" s="63">
        <v>540</v>
      </c>
      <c r="D13" s="64">
        <v>0</v>
      </c>
      <c r="E13" s="64"/>
      <c r="F13" s="48"/>
    </row>
    <row r="14" spans="1:6">
      <c r="A14" s="8">
        <v>14</v>
      </c>
      <c r="B14" s="9"/>
      <c r="C14" s="63">
        <v>540</v>
      </c>
      <c r="D14" s="64">
        <v>0</v>
      </c>
      <c r="E14" s="64"/>
      <c r="F14" s="1"/>
    </row>
    <row r="15" spans="1:6">
      <c r="A15" s="8">
        <v>15</v>
      </c>
      <c r="B15" s="1"/>
      <c r="C15" s="63">
        <v>540</v>
      </c>
      <c r="D15" s="64">
        <v>0</v>
      </c>
      <c r="E15" s="64"/>
      <c r="F15" s="1"/>
    </row>
    <row r="16" spans="1:6">
      <c r="A16" s="8">
        <v>16</v>
      </c>
      <c r="B16" s="1"/>
      <c r="C16" s="63">
        <v>540</v>
      </c>
      <c r="D16" s="64">
        <v>0</v>
      </c>
      <c r="E16" s="64"/>
      <c r="F16" s="48"/>
    </row>
    <row r="17" spans="1:15">
      <c r="A17" s="8">
        <v>17</v>
      </c>
      <c r="B17" s="9"/>
      <c r="C17" s="63">
        <v>540</v>
      </c>
      <c r="D17" s="64">
        <v>0</v>
      </c>
      <c r="E17" s="64"/>
      <c r="F17" s="48"/>
    </row>
    <row r="18" spans="1:15">
      <c r="A18" s="8">
        <v>18</v>
      </c>
      <c r="B18" s="9"/>
      <c r="C18" s="63">
        <v>540</v>
      </c>
      <c r="D18" s="64">
        <v>0</v>
      </c>
      <c r="E18" s="64"/>
      <c r="F18" s="48"/>
    </row>
    <row r="19" spans="1:15">
      <c r="A19" s="8">
        <v>19</v>
      </c>
      <c r="B19" s="9"/>
      <c r="C19" s="63">
        <v>540</v>
      </c>
      <c r="D19" s="64">
        <v>0</v>
      </c>
      <c r="E19" s="64"/>
      <c r="F19" s="48"/>
    </row>
    <row r="20" spans="1:15">
      <c r="A20" s="8">
        <v>20</v>
      </c>
      <c r="B20" s="9"/>
      <c r="C20" s="63">
        <v>540</v>
      </c>
      <c r="D20" s="129">
        <v>0</v>
      </c>
      <c r="E20" s="64"/>
      <c r="F20" s="48"/>
    </row>
    <row r="21" spans="1:15">
      <c r="A21" s="8">
        <v>21</v>
      </c>
      <c r="B21" s="1"/>
      <c r="C21" s="63">
        <v>540</v>
      </c>
      <c r="D21" s="129">
        <v>0</v>
      </c>
      <c r="E21" s="64"/>
      <c r="F21" s="8"/>
    </row>
    <row r="22" spans="1:15">
      <c r="A22" s="8">
        <v>22</v>
      </c>
      <c r="B22" s="9"/>
      <c r="C22" s="63">
        <v>540</v>
      </c>
      <c r="D22" s="129">
        <v>0</v>
      </c>
      <c r="E22" s="64"/>
      <c r="F22" s="8"/>
    </row>
    <row r="23" spans="1:15">
      <c r="A23" s="8">
        <v>23</v>
      </c>
      <c r="B23" s="130"/>
      <c r="C23" s="63">
        <v>540</v>
      </c>
      <c r="D23" s="129">
        <v>0</v>
      </c>
      <c r="E23" s="64"/>
      <c r="F23" s="48"/>
      <c r="J23" s="68"/>
    </row>
    <row r="24" spans="1:15">
      <c r="A24" s="8">
        <v>24</v>
      </c>
      <c r="B24" s="9"/>
      <c r="C24" s="63">
        <v>540</v>
      </c>
      <c r="D24" s="129">
        <v>0</v>
      </c>
      <c r="E24" s="64"/>
      <c r="F24" s="48"/>
    </row>
    <row r="25" spans="1:15">
      <c r="A25" s="8">
        <v>25</v>
      </c>
      <c r="B25" s="9"/>
      <c r="C25" s="63">
        <v>540</v>
      </c>
      <c r="D25" s="129">
        <v>0</v>
      </c>
      <c r="E25" s="132"/>
      <c r="F25" s="48"/>
    </row>
    <row r="26" spans="1:15">
      <c r="A26" s="8">
        <v>26</v>
      </c>
      <c r="B26" s="9"/>
      <c r="C26" s="63">
        <v>540</v>
      </c>
      <c r="D26" s="129">
        <v>0</v>
      </c>
      <c r="E26" s="132"/>
      <c r="F26" s="48"/>
    </row>
    <row r="27" spans="1:15">
      <c r="A27" s="8">
        <v>27</v>
      </c>
      <c r="B27" s="9"/>
      <c r="C27" s="63">
        <v>540</v>
      </c>
      <c r="D27" s="129">
        <v>0</v>
      </c>
      <c r="E27" s="64"/>
      <c r="F27" s="48"/>
      <c r="L27" s="37"/>
      <c r="M27" s="62"/>
      <c r="O27" s="62"/>
    </row>
    <row r="28" spans="1:15">
      <c r="A28" s="8">
        <v>28</v>
      </c>
      <c r="B28" s="8"/>
      <c r="C28" s="63">
        <v>540</v>
      </c>
      <c r="D28" s="64">
        <v>0</v>
      </c>
      <c r="E28" s="64"/>
      <c r="F28" s="48"/>
      <c r="J28" s="68"/>
      <c r="L28" s="37"/>
      <c r="M28" s="37"/>
      <c r="N28" s="62"/>
    </row>
    <row r="29" spans="1:15">
      <c r="A29" s="8">
        <v>29</v>
      </c>
      <c r="B29" s="9"/>
      <c r="C29" s="63">
        <v>540</v>
      </c>
      <c r="D29" s="64">
        <v>0</v>
      </c>
      <c r="E29" s="64"/>
      <c r="F29" s="48"/>
    </row>
    <row r="30" spans="1:15">
      <c r="A30" s="8">
        <v>30</v>
      </c>
      <c r="B30" s="9"/>
      <c r="C30" s="63">
        <v>540</v>
      </c>
      <c r="D30" s="64">
        <v>0</v>
      </c>
      <c r="E30" s="64"/>
      <c r="F30" s="48"/>
    </row>
    <row r="31" spans="1:15">
      <c r="A31" s="8">
        <v>31</v>
      </c>
      <c r="B31" s="9"/>
      <c r="C31" s="63">
        <v>540</v>
      </c>
      <c r="D31" s="64">
        <v>0</v>
      </c>
      <c r="E31" s="64"/>
      <c r="F31" s="48"/>
      <c r="J31" s="68"/>
      <c r="M31" s="62"/>
      <c r="O31" s="37"/>
    </row>
    <row r="32" spans="1:15">
      <c r="A32" s="8">
        <v>32</v>
      </c>
      <c r="B32" s="9"/>
      <c r="C32" s="63">
        <v>540</v>
      </c>
      <c r="D32" s="64">
        <v>0</v>
      </c>
      <c r="E32" s="64"/>
      <c r="F32" s="48"/>
      <c r="O32" s="62"/>
    </row>
    <row r="33" spans="1:15">
      <c r="A33" s="8">
        <v>33</v>
      </c>
      <c r="B33" s="9"/>
      <c r="C33" s="63">
        <v>540</v>
      </c>
      <c r="D33" s="64">
        <v>0</v>
      </c>
      <c r="E33" s="64"/>
      <c r="F33" s="48"/>
    </row>
    <row r="34" spans="1:15">
      <c r="A34" s="8">
        <v>34</v>
      </c>
      <c r="B34" s="9"/>
      <c r="C34" s="63">
        <v>540</v>
      </c>
      <c r="D34" s="64">
        <v>0</v>
      </c>
      <c r="E34" s="64"/>
      <c r="F34" s="48"/>
    </row>
    <row r="35" spans="1:15">
      <c r="A35" s="8">
        <v>35</v>
      </c>
      <c r="B35" s="9"/>
      <c r="C35" s="63">
        <v>540</v>
      </c>
      <c r="D35" s="64">
        <v>0</v>
      </c>
      <c r="E35" s="64"/>
      <c r="F35" s="48"/>
      <c r="H35" s="69"/>
      <c r="L35" s="37"/>
      <c r="O35" s="62"/>
    </row>
    <row r="36" spans="1:15">
      <c r="A36" s="8">
        <v>36</v>
      </c>
      <c r="B36" s="9"/>
      <c r="C36" s="63">
        <v>540</v>
      </c>
      <c r="D36" s="64">
        <v>0</v>
      </c>
      <c r="E36" s="64"/>
      <c r="F36" s="48"/>
      <c r="O36" s="37"/>
    </row>
    <row r="37" spans="1:15">
      <c r="A37" s="8">
        <v>37</v>
      </c>
      <c r="B37" s="8"/>
      <c r="C37" s="63">
        <v>540</v>
      </c>
      <c r="D37" s="64">
        <v>0</v>
      </c>
      <c r="E37" s="64"/>
      <c r="F37" s="8"/>
    </row>
    <row r="38" spans="1:15">
      <c r="A38" s="8">
        <v>38</v>
      </c>
      <c r="B38" s="8"/>
      <c r="C38" s="63">
        <v>540</v>
      </c>
      <c r="D38" s="64">
        <v>0</v>
      </c>
      <c r="E38" s="64"/>
      <c r="F38" s="8"/>
    </row>
    <row r="39" spans="1:15">
      <c r="A39" s="8">
        <v>39</v>
      </c>
      <c r="B39" s="8"/>
      <c r="C39" s="63">
        <v>540</v>
      </c>
      <c r="D39" s="64">
        <v>0</v>
      </c>
      <c r="E39" s="64"/>
      <c r="F39" s="8"/>
    </row>
    <row r="40" spans="1:15">
      <c r="A40" s="8">
        <v>40</v>
      </c>
      <c r="B40" s="8"/>
      <c r="C40" s="63">
        <v>540</v>
      </c>
      <c r="D40" s="64">
        <v>0</v>
      </c>
      <c r="E40" s="64"/>
      <c r="F40" s="8"/>
    </row>
    <row r="41" spans="1:15">
      <c r="A41" s="8">
        <v>41</v>
      </c>
      <c r="B41" s="8"/>
      <c r="C41" s="63">
        <v>540</v>
      </c>
      <c r="D41" s="64">
        <v>0</v>
      </c>
      <c r="E41" s="64"/>
      <c r="F41" s="8"/>
      <c r="H41" s="44"/>
      <c r="I41" s="2"/>
      <c r="L41" s="37"/>
      <c r="M41" s="62"/>
      <c r="O41" s="62"/>
    </row>
    <row r="42" spans="1:15">
      <c r="A42" s="8">
        <v>42</v>
      </c>
      <c r="B42" s="8" t="s">
        <v>413</v>
      </c>
      <c r="C42" s="63">
        <v>0</v>
      </c>
      <c r="D42" s="64">
        <v>0</v>
      </c>
      <c r="E42" s="64"/>
      <c r="F42" s="8"/>
      <c r="H42" s="44"/>
      <c r="I42" s="2"/>
      <c r="L42" s="37"/>
      <c r="M42" s="37"/>
      <c r="N42" s="62"/>
    </row>
    <row r="43" spans="1:15">
      <c r="A43" s="8">
        <v>43</v>
      </c>
      <c r="B43" s="8" t="s">
        <v>411</v>
      </c>
      <c r="C43" s="63">
        <v>0</v>
      </c>
      <c r="D43" s="64">
        <v>0</v>
      </c>
      <c r="E43" s="64"/>
      <c r="F43" s="8"/>
      <c r="H43" s="44"/>
      <c r="I43" s="2"/>
    </row>
    <row r="44" spans="1:15">
      <c r="A44" s="8">
        <v>44</v>
      </c>
      <c r="B44" s="8" t="s">
        <v>410</v>
      </c>
      <c r="C44" s="63">
        <v>0</v>
      </c>
      <c r="D44" s="64">
        <v>0</v>
      </c>
      <c r="E44" s="64"/>
      <c r="F44" s="8"/>
      <c r="H44" s="37"/>
      <c r="I44" s="2"/>
    </row>
    <row r="45" spans="1:15">
      <c r="A45" s="8">
        <v>45</v>
      </c>
      <c r="B45" s="8" t="s">
        <v>412</v>
      </c>
      <c r="C45" s="63">
        <v>0</v>
      </c>
      <c r="D45" s="64">
        <v>0</v>
      </c>
      <c r="E45" s="64"/>
      <c r="F45" s="8"/>
      <c r="H45" s="62"/>
      <c r="I45" s="2"/>
      <c r="M45" s="62"/>
      <c r="O45" s="37"/>
    </row>
    <row r="46" spans="1:15">
      <c r="A46" s="8">
        <v>46</v>
      </c>
      <c r="B46" s="8" t="s">
        <v>57</v>
      </c>
      <c r="C46" s="63">
        <v>0</v>
      </c>
      <c r="D46" s="64">
        <v>0</v>
      </c>
      <c r="E46" s="64"/>
      <c r="F46" s="8"/>
      <c r="H46" s="62"/>
      <c r="I46" s="2"/>
      <c r="M46" s="62"/>
      <c r="O46" s="37"/>
    </row>
    <row r="47" spans="1:15">
      <c r="A47" s="8">
        <v>47</v>
      </c>
      <c r="B47" s="8" t="s">
        <v>56</v>
      </c>
      <c r="C47" s="63">
        <v>0</v>
      </c>
      <c r="D47" s="64">
        <v>0</v>
      </c>
      <c r="E47" s="64"/>
      <c r="F47" s="8"/>
      <c r="H47" s="62"/>
      <c r="I47" s="2"/>
      <c r="M47" s="62"/>
      <c r="O47" s="37"/>
    </row>
    <row r="48" spans="1:15">
      <c r="A48" s="8">
        <v>48</v>
      </c>
      <c r="B48" s="8" t="s">
        <v>136</v>
      </c>
      <c r="C48" s="63">
        <v>0</v>
      </c>
      <c r="D48" s="64">
        <v>0</v>
      </c>
      <c r="E48" s="64"/>
      <c r="F48" s="8"/>
      <c r="H48" s="62"/>
      <c r="I48" s="2"/>
      <c r="M48" s="62"/>
      <c r="O48" s="37"/>
    </row>
    <row r="49" spans="1:16">
      <c r="A49" s="8">
        <v>49</v>
      </c>
      <c r="B49" s="8" t="s">
        <v>414</v>
      </c>
      <c r="C49" s="63">
        <v>0</v>
      </c>
      <c r="D49" s="64">
        <v>0</v>
      </c>
      <c r="E49" s="64"/>
      <c r="F49" s="8"/>
      <c r="H49" s="62"/>
      <c r="I49" s="2"/>
      <c r="O49" s="62"/>
    </row>
    <row r="50" spans="1:16">
      <c r="C50" s="37">
        <f>SUM(C1:C49)</f>
        <v>22140</v>
      </c>
      <c r="D50" s="62">
        <f>SUM(D1:D49)</f>
        <v>0</v>
      </c>
      <c r="E50" s="62"/>
      <c r="H50" s="62"/>
      <c r="I50" s="2"/>
    </row>
    <row r="51" spans="1:16">
      <c r="C51" s="615">
        <f>C50+D50</f>
        <v>22140</v>
      </c>
      <c r="D51" s="616"/>
      <c r="E51" s="134"/>
      <c r="H51" s="44"/>
      <c r="I51" s="2"/>
    </row>
    <row r="52" spans="1:16" ht="15.75" thickBot="1">
      <c r="H52" s="62"/>
      <c r="I52" s="2"/>
      <c r="O52" s="62"/>
    </row>
    <row r="53" spans="1:16">
      <c r="B53" s="67" t="s">
        <v>262</v>
      </c>
      <c r="C53" s="63">
        <v>5700</v>
      </c>
      <c r="D53" s="8">
        <v>1</v>
      </c>
      <c r="E53" s="63">
        <f>(D53*C53)</f>
        <v>5700</v>
      </c>
      <c r="G53" s="136" t="s">
        <v>418</v>
      </c>
      <c r="H53" s="140"/>
      <c r="I53" s="142">
        <v>500</v>
      </c>
      <c r="L53" s="69"/>
      <c r="M53" s="37"/>
    </row>
    <row r="54" spans="1:16">
      <c r="B54" s="67" t="s">
        <v>311</v>
      </c>
      <c r="C54" s="63">
        <f>I57+350+500</f>
        <v>1705</v>
      </c>
      <c r="D54" s="8">
        <v>0</v>
      </c>
      <c r="E54" s="63">
        <f>C54</f>
        <v>1705</v>
      </c>
      <c r="G54" s="137" t="s">
        <v>419</v>
      </c>
      <c r="H54" s="138"/>
      <c r="I54" s="143">
        <f>(9*5)+(35)+(35)</f>
        <v>115</v>
      </c>
      <c r="L54" s="69"/>
      <c r="M54" s="37"/>
    </row>
    <row r="55" spans="1:16">
      <c r="B55" s="67" t="s">
        <v>263</v>
      </c>
      <c r="C55" s="63">
        <f>300-(300*10%)</f>
        <v>270</v>
      </c>
      <c r="D55" s="8">
        <v>47</v>
      </c>
      <c r="E55" s="63">
        <f>D55*C55</f>
        <v>12690</v>
      </c>
      <c r="G55" s="137" t="s">
        <v>420</v>
      </c>
      <c r="H55" s="139"/>
      <c r="I55" s="143">
        <f>80+40</f>
        <v>120</v>
      </c>
      <c r="L55" s="69"/>
      <c r="M55" s="37"/>
    </row>
    <row r="56" spans="1:16">
      <c r="B56" s="67" t="s">
        <v>264</v>
      </c>
      <c r="C56" s="63">
        <f>500-(500*10%)</f>
        <v>450</v>
      </c>
      <c r="D56" s="8">
        <v>2</v>
      </c>
      <c r="E56" s="63">
        <f>D56*C56</f>
        <v>900</v>
      </c>
      <c r="G56" s="137" t="s">
        <v>421</v>
      </c>
      <c r="H56" s="138"/>
      <c r="I56" s="143">
        <f>40*3</f>
        <v>120</v>
      </c>
      <c r="L56" s="69"/>
      <c r="M56" s="37"/>
    </row>
    <row r="57" spans="1:16" ht="15.75" thickBot="1">
      <c r="B57" s="67" t="s">
        <v>266</v>
      </c>
      <c r="C57" s="8"/>
      <c r="D57" s="8">
        <f>D56+D55</f>
        <v>49</v>
      </c>
      <c r="E57" s="63">
        <f>E56+E55</f>
        <v>13590</v>
      </c>
      <c r="G57" s="145" t="s">
        <v>8</v>
      </c>
      <c r="H57" s="141"/>
      <c r="I57" s="144">
        <f>SUM(I53:I56)</f>
        <v>855</v>
      </c>
      <c r="O57" s="37"/>
    </row>
    <row r="58" spans="1:16" ht="15.75" thickBot="1">
      <c r="B58" s="67" t="s">
        <v>265</v>
      </c>
      <c r="C58" s="8"/>
      <c r="D58" s="8"/>
      <c r="E58" s="65">
        <f>E57+E53+E54</f>
        <v>20995</v>
      </c>
      <c r="L58" s="37"/>
      <c r="N58" s="69"/>
      <c r="O58" s="37"/>
      <c r="P58" s="62"/>
    </row>
    <row r="59" spans="1:16" ht="15.75" thickBot="1">
      <c r="B59" s="617" t="s">
        <v>7</v>
      </c>
      <c r="C59" s="618"/>
      <c r="D59" s="619"/>
      <c r="E59" s="66">
        <f>C51-E58</f>
        <v>1145</v>
      </c>
      <c r="L59" s="62"/>
      <c r="N59" s="69"/>
      <c r="O59" s="37"/>
      <c r="P59" s="62"/>
    </row>
    <row r="60" spans="1:16">
      <c r="N60" s="70"/>
      <c r="O60" s="37"/>
      <c r="P60" s="62"/>
    </row>
    <row r="61" spans="1:16">
      <c r="N61" s="69"/>
      <c r="O61" s="37"/>
      <c r="P61" s="62"/>
    </row>
    <row r="62" spans="1:16">
      <c r="N62" s="70"/>
      <c r="O62" s="37"/>
      <c r="P62" s="62"/>
    </row>
    <row r="63" spans="1:16">
      <c r="N63" s="71"/>
      <c r="O63" s="37"/>
      <c r="P63" s="62"/>
    </row>
    <row r="64" spans="1:16">
      <c r="N64" s="69"/>
      <c r="O64" s="37"/>
      <c r="P64" s="62"/>
    </row>
    <row r="65" spans="12:16">
      <c r="N65" s="70"/>
      <c r="O65" s="37"/>
      <c r="P65" s="62"/>
    </row>
    <row r="71" spans="12:16" ht="18.75">
      <c r="L71" s="72"/>
    </row>
  </sheetData>
  <mergeCells count="2">
    <mergeCell ref="C51:D51"/>
    <mergeCell ref="B59:D5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E4" sqref="E4"/>
    </sheetView>
  </sheetViews>
  <sheetFormatPr baseColWidth="10" defaultColWidth="22.42578125" defaultRowHeight="15"/>
  <cols>
    <col min="1" max="1" width="3" style="244" bestFit="1" customWidth="1"/>
    <col min="2" max="2" width="22.7109375" style="244" bestFit="1" customWidth="1"/>
    <col min="3" max="3" width="23.7109375" style="244" bestFit="1" customWidth="1"/>
    <col min="4" max="5" width="11.5703125" style="244" bestFit="1" customWidth="1"/>
    <col min="6" max="6" width="17.7109375" style="244" bestFit="1" customWidth="1"/>
    <col min="7" max="7" width="13.7109375" style="244" bestFit="1" customWidth="1"/>
    <col min="8" max="16384" width="22.42578125" style="244"/>
  </cols>
  <sheetData>
    <row r="1" spans="1:7">
      <c r="A1" s="256"/>
      <c r="B1" s="257" t="s">
        <v>353</v>
      </c>
      <c r="C1" s="257" t="s">
        <v>665</v>
      </c>
      <c r="D1" s="257" t="s">
        <v>666</v>
      </c>
      <c r="E1" s="257" t="s">
        <v>667</v>
      </c>
      <c r="F1" s="257" t="s">
        <v>975</v>
      </c>
      <c r="G1" s="257" t="s">
        <v>668</v>
      </c>
    </row>
    <row r="2" spans="1:7">
      <c r="A2" s="255">
        <v>1</v>
      </c>
      <c r="B2" s="244" t="s">
        <v>834</v>
      </c>
      <c r="C2" s="244">
        <v>1400</v>
      </c>
      <c r="D2" s="244">
        <v>0</v>
      </c>
      <c r="E2" s="244" t="s">
        <v>238</v>
      </c>
      <c r="F2" s="244" t="s">
        <v>711</v>
      </c>
      <c r="G2" s="244" t="s">
        <v>988</v>
      </c>
    </row>
    <row r="3" spans="1:7">
      <c r="A3" s="255">
        <v>2</v>
      </c>
      <c r="B3" s="244" t="s">
        <v>835</v>
      </c>
      <c r="C3" s="244">
        <v>1400</v>
      </c>
      <c r="D3" s="244">
        <v>0</v>
      </c>
      <c r="E3" s="244" t="s">
        <v>238</v>
      </c>
      <c r="F3" s="244" t="s">
        <v>211</v>
      </c>
      <c r="G3" s="244" t="s">
        <v>988</v>
      </c>
    </row>
    <row r="4" spans="1:7">
      <c r="A4" s="255">
        <v>3</v>
      </c>
      <c r="B4" s="244" t="s">
        <v>851</v>
      </c>
      <c r="C4" s="244">
        <v>500</v>
      </c>
      <c r="D4" s="244">
        <f>1400-C4</f>
        <v>900</v>
      </c>
      <c r="E4" s="244" t="s">
        <v>852</v>
      </c>
      <c r="F4" s="244" t="s">
        <v>853</v>
      </c>
      <c r="G4" s="244" t="s">
        <v>988</v>
      </c>
    </row>
    <row r="5" spans="1:7">
      <c r="A5" s="255">
        <v>4</v>
      </c>
      <c r="B5" s="244" t="s">
        <v>894</v>
      </c>
      <c r="C5" s="244">
        <v>500</v>
      </c>
      <c r="D5" s="244">
        <f>1400-C5</f>
        <v>900</v>
      </c>
      <c r="E5" s="244" t="s">
        <v>893</v>
      </c>
      <c r="F5" s="244" t="s">
        <v>711</v>
      </c>
      <c r="G5" s="244" t="s">
        <v>989</v>
      </c>
    </row>
    <row r="6" spans="1:7">
      <c r="A6" s="255">
        <v>5</v>
      </c>
      <c r="B6" s="244" t="s">
        <v>895</v>
      </c>
      <c r="C6" s="244">
        <v>500</v>
      </c>
      <c r="D6" s="244">
        <v>900</v>
      </c>
      <c r="E6" s="244" t="s">
        <v>211</v>
      </c>
      <c r="F6" s="244" t="s">
        <v>711</v>
      </c>
      <c r="G6" s="244" t="s">
        <v>989</v>
      </c>
    </row>
    <row r="7" spans="1:7">
      <c r="A7" s="255">
        <v>6</v>
      </c>
      <c r="B7" s="241" t="s">
        <v>859</v>
      </c>
      <c r="C7" s="242">
        <v>165</v>
      </c>
      <c r="D7" s="242">
        <f>595-C7</f>
        <v>430</v>
      </c>
      <c r="E7" s="241" t="s">
        <v>860</v>
      </c>
      <c r="F7" s="241" t="s">
        <v>860</v>
      </c>
      <c r="G7" s="244" t="s">
        <v>989</v>
      </c>
    </row>
    <row r="8" spans="1:7">
      <c r="A8" s="255">
        <v>7</v>
      </c>
      <c r="B8" s="244" t="s">
        <v>972</v>
      </c>
      <c r="C8" s="244">
        <f>350</f>
        <v>350</v>
      </c>
      <c r="D8" s="244">
        <f>1400-C8</f>
        <v>1050</v>
      </c>
      <c r="E8" s="244" t="s">
        <v>974</v>
      </c>
      <c r="F8" s="244" t="s">
        <v>889</v>
      </c>
      <c r="G8" s="244" t="s">
        <v>989</v>
      </c>
    </row>
    <row r="9" spans="1:7">
      <c r="A9" s="255">
        <v>8</v>
      </c>
      <c r="B9" s="348" t="s">
        <v>973</v>
      </c>
      <c r="C9" s="349">
        <v>350</v>
      </c>
      <c r="D9" s="349">
        <f>1400-C9</f>
        <v>1050</v>
      </c>
      <c r="E9" s="244" t="s">
        <v>974</v>
      </c>
      <c r="F9" s="244" t="s">
        <v>890</v>
      </c>
      <c r="G9" s="244" t="s">
        <v>989</v>
      </c>
    </row>
    <row r="10" spans="1:7">
      <c r="A10" s="255">
        <v>9</v>
      </c>
      <c r="B10" s="348"/>
      <c r="C10" s="349"/>
      <c r="D10" s="349"/>
      <c r="E10" s="348"/>
      <c r="F10" s="348"/>
      <c r="G10" s="352"/>
    </row>
    <row r="11" spans="1:7">
      <c r="A11" s="255">
        <v>10</v>
      </c>
      <c r="B11" s="348"/>
      <c r="C11" s="349"/>
      <c r="D11" s="349"/>
      <c r="E11" s="348"/>
      <c r="F11" s="348"/>
      <c r="G11" s="348"/>
    </row>
    <row r="12" spans="1:7">
      <c r="A12" s="255">
        <v>11</v>
      </c>
      <c r="B12" s="348"/>
      <c r="C12" s="349">
        <v>0</v>
      </c>
      <c r="D12" s="349"/>
      <c r="E12" s="348"/>
      <c r="F12" s="348"/>
      <c r="G12" s="352"/>
    </row>
    <row r="13" spans="1:7">
      <c r="A13" s="255">
        <v>12</v>
      </c>
      <c r="B13" s="351"/>
      <c r="C13" s="349">
        <v>0</v>
      </c>
      <c r="D13" s="349"/>
      <c r="E13" s="348"/>
      <c r="F13" s="348"/>
      <c r="G13" s="352"/>
    </row>
    <row r="14" spans="1:7">
      <c r="A14" s="255">
        <v>13</v>
      </c>
      <c r="B14" s="348"/>
      <c r="C14" s="349">
        <v>0</v>
      </c>
      <c r="D14" s="349"/>
      <c r="E14" s="348"/>
      <c r="F14" s="348"/>
      <c r="G14" s="348"/>
    </row>
    <row r="15" spans="1:7">
      <c r="A15" s="255">
        <v>14</v>
      </c>
      <c r="B15" s="348"/>
      <c r="C15" s="349"/>
      <c r="D15" s="349"/>
      <c r="E15" s="348"/>
      <c r="F15" s="348"/>
      <c r="G15" s="348"/>
    </row>
    <row r="16" spans="1:7">
      <c r="C16" s="245">
        <f>SUM(C2:C15)</f>
        <v>5165</v>
      </c>
      <c r="D16" s="245">
        <f>SUM(D2:D15)</f>
        <v>5230</v>
      </c>
    </row>
    <row r="17" spans="2:9">
      <c r="C17" s="652">
        <f>C16+D16</f>
        <v>10395</v>
      </c>
      <c r="D17" s="653"/>
    </row>
    <row r="18" spans="2:9" ht="15.75" thickBot="1">
      <c r="H18" s="244">
        <f>850/4</f>
        <v>212.5</v>
      </c>
    </row>
    <row r="19" spans="2:9">
      <c r="B19" s="249" t="s">
        <v>961</v>
      </c>
      <c r="C19" s="246">
        <v>8000</v>
      </c>
    </row>
    <row r="20" spans="2:9">
      <c r="B20" s="250" t="s">
        <v>962</v>
      </c>
      <c r="C20" s="247">
        <f>C19/C21</f>
        <v>1000</v>
      </c>
      <c r="H20" s="244">
        <v>650</v>
      </c>
      <c r="I20" s="244" t="s">
        <v>958</v>
      </c>
    </row>
    <row r="21" spans="2:9" ht="15.75" thickBot="1">
      <c r="B21" s="251" t="s">
        <v>663</v>
      </c>
      <c r="C21" s="248">
        <v>8</v>
      </c>
      <c r="H21" s="244">
        <v>850</v>
      </c>
      <c r="I21" s="244" t="s">
        <v>959</v>
      </c>
    </row>
    <row r="22" spans="2:9" ht="15.75" thickBot="1">
      <c r="B22" s="253" t="s">
        <v>664</v>
      </c>
      <c r="C22" s="254">
        <f>(140*2)+215</f>
        <v>495</v>
      </c>
      <c r="H22" s="244">
        <v>1100</v>
      </c>
      <c r="I22" s="244" t="s">
        <v>960</v>
      </c>
    </row>
    <row r="23" spans="2:9" ht="15.75" thickBot="1">
      <c r="B23" s="253" t="s">
        <v>670</v>
      </c>
      <c r="C23" s="254">
        <f>((C22*(C21+1)))</f>
        <v>4455</v>
      </c>
    </row>
    <row r="24" spans="2:9" ht="15.75" thickBot="1">
      <c r="B24" s="253" t="s">
        <v>671</v>
      </c>
      <c r="C24" s="254">
        <f>C19+C23</f>
        <v>12455</v>
      </c>
    </row>
    <row r="25" spans="2:9" ht="15.75" thickBot="1">
      <c r="B25" s="355" t="s">
        <v>272</v>
      </c>
      <c r="C25" s="356">
        <f>C17-C24</f>
        <v>-2060</v>
      </c>
      <c r="D25" s="252"/>
    </row>
    <row r="26" spans="2:9" ht="15.75" thickBot="1">
      <c r="B26" s="253" t="s">
        <v>963</v>
      </c>
      <c r="C26" s="254">
        <f>C22+C20</f>
        <v>1495</v>
      </c>
    </row>
    <row r="27" spans="2:9" ht="15.75" thickBot="1">
      <c r="B27" s="253" t="s">
        <v>964</v>
      </c>
      <c r="C27" s="254">
        <v>1400</v>
      </c>
    </row>
    <row r="28" spans="2:9" ht="15.75" thickBot="1">
      <c r="B28" s="253" t="s">
        <v>965</v>
      </c>
      <c r="C28" s="254">
        <f>C27-C26</f>
        <v>-95</v>
      </c>
    </row>
    <row r="29" spans="2:9" ht="15.75" thickBot="1">
      <c r="B29" s="355" t="s">
        <v>272</v>
      </c>
      <c r="C29" s="356">
        <f>C21*C28</f>
        <v>-760</v>
      </c>
    </row>
  </sheetData>
  <mergeCells count="1">
    <mergeCell ref="C17:D17"/>
  </mergeCells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C19" sqref="C19"/>
    </sheetView>
  </sheetViews>
  <sheetFormatPr baseColWidth="10" defaultColWidth="22.42578125" defaultRowHeight="15"/>
  <cols>
    <col min="1" max="1" width="3" style="244" bestFit="1" customWidth="1"/>
    <col min="2" max="2" width="22.7109375" style="244" bestFit="1" customWidth="1"/>
    <col min="3" max="3" width="23.7109375" style="244" bestFit="1" customWidth="1"/>
    <col min="4" max="5" width="11.5703125" style="244" bestFit="1" customWidth="1"/>
    <col min="6" max="6" width="17.7109375" style="244" bestFit="1" customWidth="1"/>
    <col min="7" max="7" width="13.7109375" style="244" bestFit="1" customWidth="1"/>
    <col min="8" max="8" width="10.5703125" style="244" bestFit="1" customWidth="1"/>
    <col min="9" max="16384" width="22.42578125" style="244"/>
  </cols>
  <sheetData>
    <row r="1" spans="1:13">
      <c r="A1" s="256"/>
      <c r="B1" s="257" t="s">
        <v>353</v>
      </c>
      <c r="C1" s="257" t="s">
        <v>665</v>
      </c>
      <c r="D1" s="257" t="s">
        <v>666</v>
      </c>
      <c r="E1" s="257" t="s">
        <v>667</v>
      </c>
      <c r="F1" s="257" t="s">
        <v>441</v>
      </c>
      <c r="G1" s="257" t="s">
        <v>668</v>
      </c>
    </row>
    <row r="2" spans="1:13">
      <c r="A2" s="255">
        <v>1</v>
      </c>
      <c r="B2" s="348" t="s">
        <v>777</v>
      </c>
      <c r="C2" s="349">
        <f>$E$21</f>
        <v>595</v>
      </c>
      <c r="D2" s="349">
        <v>0</v>
      </c>
      <c r="E2" s="348" t="s">
        <v>809</v>
      </c>
      <c r="F2" s="350" t="s">
        <v>778</v>
      </c>
      <c r="G2" s="352" t="s">
        <v>711</v>
      </c>
      <c r="H2" s="357"/>
      <c r="I2" s="357"/>
      <c r="J2" s="357"/>
      <c r="K2" s="357"/>
      <c r="L2" s="357"/>
      <c r="M2" s="357"/>
    </row>
    <row r="3" spans="1:13">
      <c r="A3" s="255">
        <v>2</v>
      </c>
      <c r="B3" s="348" t="s">
        <v>779</v>
      </c>
      <c r="C3" s="349">
        <f>$E$21</f>
        <v>595</v>
      </c>
      <c r="D3" s="349">
        <v>0</v>
      </c>
      <c r="E3" s="348" t="s">
        <v>809</v>
      </c>
      <c r="F3" s="350" t="s">
        <v>950</v>
      </c>
      <c r="G3" s="352" t="s">
        <v>711</v>
      </c>
      <c r="H3" s="357"/>
      <c r="I3" s="357"/>
      <c r="J3" s="357"/>
      <c r="K3" s="357"/>
      <c r="L3" s="357"/>
      <c r="M3" s="357"/>
    </row>
    <row r="4" spans="1:13">
      <c r="A4" s="255">
        <v>3</v>
      </c>
      <c r="B4" s="348" t="s">
        <v>807</v>
      </c>
      <c r="C4" s="349">
        <f>295+295</f>
        <v>590</v>
      </c>
      <c r="D4" s="349">
        <f>595-C4</f>
        <v>5</v>
      </c>
      <c r="E4" s="348" t="s">
        <v>330</v>
      </c>
      <c r="F4" s="350" t="s">
        <v>808</v>
      </c>
      <c r="G4" s="348" t="s">
        <v>957</v>
      </c>
      <c r="H4" s="358"/>
      <c r="I4" s="358"/>
      <c r="J4" s="358"/>
      <c r="K4" s="358"/>
      <c r="L4" s="358"/>
      <c r="M4" s="358"/>
    </row>
    <row r="5" spans="1:13">
      <c r="A5" s="255">
        <v>4</v>
      </c>
      <c r="B5" s="348" t="s">
        <v>813</v>
      </c>
      <c r="C5" s="349">
        <v>295</v>
      </c>
      <c r="D5" s="349">
        <v>300</v>
      </c>
      <c r="E5" s="348" t="s">
        <v>330</v>
      </c>
      <c r="F5" s="350" t="s">
        <v>211</v>
      </c>
      <c r="G5" s="348" t="s">
        <v>810</v>
      </c>
      <c r="H5" s="358"/>
      <c r="I5" s="358"/>
      <c r="J5" s="358"/>
      <c r="K5" s="358"/>
      <c r="L5" s="358"/>
      <c r="M5" s="358"/>
    </row>
    <row r="6" spans="1:13">
      <c r="A6" s="255">
        <v>5</v>
      </c>
      <c r="B6" s="348" t="s">
        <v>861</v>
      </c>
      <c r="C6" s="349">
        <v>595</v>
      </c>
      <c r="D6" s="349">
        <v>0</v>
      </c>
      <c r="E6" s="348" t="s">
        <v>330</v>
      </c>
      <c r="F6" s="348" t="s">
        <v>862</v>
      </c>
      <c r="G6" s="348" t="s">
        <v>810</v>
      </c>
      <c r="H6" s="358"/>
      <c r="I6" s="358"/>
      <c r="J6" s="358"/>
      <c r="K6" s="358"/>
      <c r="L6" s="358"/>
      <c r="M6" s="358"/>
    </row>
    <row r="7" spans="1:13">
      <c r="A7" s="255">
        <v>6</v>
      </c>
      <c r="B7" s="348" t="s">
        <v>867</v>
      </c>
      <c r="C7" s="349">
        <v>300</v>
      </c>
      <c r="D7" s="349">
        <f t="shared" ref="D7:D13" si="0">595-C7</f>
        <v>295</v>
      </c>
      <c r="E7" s="348" t="s">
        <v>258</v>
      </c>
      <c r="F7" s="348" t="s">
        <v>868</v>
      </c>
      <c r="G7" s="352" t="s">
        <v>711</v>
      </c>
      <c r="H7" s="101"/>
      <c r="I7" s="216"/>
      <c r="J7" s="216"/>
      <c r="K7" s="101"/>
      <c r="L7" s="101"/>
      <c r="M7" s="359"/>
    </row>
    <row r="8" spans="1:13">
      <c r="A8" s="255">
        <v>7</v>
      </c>
      <c r="B8" s="348" t="s">
        <v>877</v>
      </c>
      <c r="C8" s="349">
        <v>300</v>
      </c>
      <c r="D8" s="349">
        <f t="shared" si="0"/>
        <v>295</v>
      </c>
      <c r="E8" s="348" t="s">
        <v>258</v>
      </c>
      <c r="F8" s="348" t="s">
        <v>876</v>
      </c>
      <c r="G8" s="348" t="s">
        <v>810</v>
      </c>
      <c r="H8" s="358"/>
      <c r="I8" s="358"/>
      <c r="J8" s="358"/>
      <c r="K8" s="358"/>
      <c r="L8" s="358"/>
      <c r="M8" s="358"/>
    </row>
    <row r="9" spans="1:13">
      <c r="A9" s="255">
        <v>8</v>
      </c>
      <c r="B9" s="348" t="s">
        <v>218</v>
      </c>
      <c r="C9" s="349">
        <v>300</v>
      </c>
      <c r="D9" s="349">
        <f t="shared" si="0"/>
        <v>295</v>
      </c>
      <c r="E9" s="348" t="s">
        <v>258</v>
      </c>
      <c r="F9" s="348" t="s">
        <v>211</v>
      </c>
      <c r="G9" s="348" t="s">
        <v>810</v>
      </c>
      <c r="H9" s="351"/>
      <c r="I9" s="351"/>
      <c r="J9" s="351"/>
      <c r="K9" s="351"/>
      <c r="L9" s="351"/>
      <c r="M9" s="351"/>
    </row>
    <row r="10" spans="1:13">
      <c r="A10" s="255">
        <v>9</v>
      </c>
      <c r="B10" s="348" t="s">
        <v>878</v>
      </c>
      <c r="C10" s="349">
        <f>590/2</f>
        <v>295</v>
      </c>
      <c r="D10" s="349">
        <f t="shared" si="0"/>
        <v>300</v>
      </c>
      <c r="E10" s="348" t="s">
        <v>258</v>
      </c>
      <c r="F10" s="348" t="s">
        <v>880</v>
      </c>
      <c r="G10" s="352" t="s">
        <v>711</v>
      </c>
    </row>
    <row r="11" spans="1:13">
      <c r="A11" s="255">
        <v>10</v>
      </c>
      <c r="B11" s="348" t="s">
        <v>879</v>
      </c>
      <c r="C11" s="349">
        <v>295</v>
      </c>
      <c r="D11" s="349">
        <f t="shared" si="0"/>
        <v>300</v>
      </c>
      <c r="E11" s="348" t="s">
        <v>258</v>
      </c>
      <c r="F11" s="348" t="s">
        <v>211</v>
      </c>
      <c r="G11" s="348" t="s">
        <v>754</v>
      </c>
    </row>
    <row r="12" spans="1:13">
      <c r="A12" s="255">
        <v>11</v>
      </c>
      <c r="B12" s="348" t="s">
        <v>881</v>
      </c>
      <c r="C12" s="349">
        <v>500</v>
      </c>
      <c r="D12" s="349">
        <f t="shared" si="0"/>
        <v>95</v>
      </c>
      <c r="E12" s="348" t="s">
        <v>258</v>
      </c>
      <c r="F12" s="348" t="s">
        <v>129</v>
      </c>
      <c r="G12" s="352" t="s">
        <v>711</v>
      </c>
      <c r="I12" s="245"/>
    </row>
    <row r="13" spans="1:13">
      <c r="A13" s="255">
        <v>12</v>
      </c>
      <c r="B13" s="351" t="s">
        <v>189</v>
      </c>
      <c r="C13" s="349">
        <v>500</v>
      </c>
      <c r="D13" s="349">
        <f t="shared" si="0"/>
        <v>95</v>
      </c>
      <c r="E13" s="348" t="s">
        <v>258</v>
      </c>
      <c r="F13" s="348" t="s">
        <v>211</v>
      </c>
      <c r="G13" s="352" t="s">
        <v>711</v>
      </c>
    </row>
    <row r="14" spans="1:13">
      <c r="A14" s="255">
        <v>13</v>
      </c>
      <c r="B14" s="348" t="s">
        <v>10</v>
      </c>
      <c r="C14" s="349">
        <v>0</v>
      </c>
      <c r="D14" s="349">
        <v>0</v>
      </c>
      <c r="E14" s="348"/>
      <c r="F14" s="348"/>
      <c r="G14" s="348"/>
    </row>
    <row r="15" spans="1:13">
      <c r="A15" s="255">
        <v>14</v>
      </c>
      <c r="B15" s="348" t="s">
        <v>774</v>
      </c>
      <c r="C15" s="349">
        <v>0</v>
      </c>
      <c r="D15" s="349">
        <v>0</v>
      </c>
      <c r="E15" s="348"/>
      <c r="F15" s="348"/>
      <c r="G15" s="348"/>
    </row>
    <row r="16" spans="1:13">
      <c r="C16" s="245">
        <f>SUM(C2:C15)</f>
        <v>5160</v>
      </c>
      <c r="D16" s="245">
        <f>SUM(D2:D15)</f>
        <v>1980</v>
      </c>
    </row>
    <row r="17" spans="2:6">
      <c r="C17" s="652">
        <f>C16+D16</f>
        <v>7140</v>
      </c>
      <c r="D17" s="653"/>
    </row>
    <row r="18" spans="2:6" ht="15.75" thickBot="1"/>
    <row r="19" spans="2:6">
      <c r="B19" s="249" t="s">
        <v>661</v>
      </c>
      <c r="C19" s="246">
        <v>6000</v>
      </c>
    </row>
    <row r="20" spans="2:6">
      <c r="B20" s="250" t="s">
        <v>662</v>
      </c>
      <c r="C20" s="247">
        <f>C19/C21</f>
        <v>500</v>
      </c>
      <c r="E20" s="258">
        <f>C22+C20</f>
        <v>640</v>
      </c>
      <c r="F20" s="259" t="s">
        <v>669</v>
      </c>
    </row>
    <row r="21" spans="2:6" ht="15.75" thickBot="1">
      <c r="B21" s="251" t="s">
        <v>663</v>
      </c>
      <c r="C21" s="248">
        <v>12</v>
      </c>
      <c r="E21" s="258">
        <v>595</v>
      </c>
      <c r="F21" s="259" t="s">
        <v>276</v>
      </c>
    </row>
    <row r="22" spans="2:6" ht="15.75" thickBot="1">
      <c r="B22" s="253" t="s">
        <v>664</v>
      </c>
      <c r="C22" s="254">
        <v>140</v>
      </c>
      <c r="E22" s="258">
        <f>E21-E20</f>
        <v>-45</v>
      </c>
      <c r="F22" s="259" t="s">
        <v>540</v>
      </c>
    </row>
    <row r="23" spans="2:6" ht="15.75" thickBot="1">
      <c r="B23" s="253" t="s">
        <v>670</v>
      </c>
      <c r="C23" s="254">
        <f>((C22*(C21+2)))</f>
        <v>1960</v>
      </c>
      <c r="E23" s="258">
        <f>(E22*C21)-(2*C22)</f>
        <v>-820</v>
      </c>
      <c r="F23" s="259" t="s">
        <v>272</v>
      </c>
    </row>
    <row r="24" spans="2:6" ht="15.75" thickBot="1">
      <c r="B24" s="253" t="s">
        <v>671</v>
      </c>
      <c r="C24" s="254">
        <f>C19+C23</f>
        <v>7960</v>
      </c>
      <c r="E24" s="252"/>
    </row>
    <row r="25" spans="2:6" ht="15.75" thickBot="1">
      <c r="B25" s="253" t="s">
        <v>272</v>
      </c>
      <c r="C25" s="254">
        <f>C17-C24</f>
        <v>-820</v>
      </c>
      <c r="D25" s="252"/>
    </row>
  </sheetData>
  <mergeCells count="1">
    <mergeCell ref="C17:D17"/>
  </mergeCells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45"/>
  <sheetViews>
    <sheetView workbookViewId="0">
      <selection activeCell="A27" sqref="A27:M27"/>
    </sheetView>
  </sheetViews>
  <sheetFormatPr baseColWidth="10" defaultColWidth="4.85546875" defaultRowHeight="15"/>
  <cols>
    <col min="1" max="1" width="19.42578125" style="316" bestFit="1" customWidth="1"/>
    <col min="2" max="12" width="5.85546875" style="328" customWidth="1"/>
    <col min="13" max="16384" width="4.85546875" style="316"/>
  </cols>
  <sheetData>
    <row r="1" spans="1:13" ht="45.75" customHeight="1" thickBot="1">
      <c r="A1" s="333" t="s">
        <v>903</v>
      </c>
      <c r="B1" s="334" t="s">
        <v>938</v>
      </c>
      <c r="C1" s="334" t="s">
        <v>937</v>
      </c>
      <c r="D1" s="334" t="s">
        <v>922</v>
      </c>
      <c r="E1" s="334" t="s">
        <v>937</v>
      </c>
      <c r="F1" s="335" t="s">
        <v>923</v>
      </c>
      <c r="G1" s="334" t="s">
        <v>924</v>
      </c>
      <c r="H1" s="334" t="s">
        <v>925</v>
      </c>
      <c r="I1" s="334" t="s">
        <v>926</v>
      </c>
      <c r="J1" s="334" t="s">
        <v>927</v>
      </c>
      <c r="K1" s="334" t="s">
        <v>929</v>
      </c>
      <c r="L1" s="334" t="s">
        <v>928</v>
      </c>
      <c r="M1" s="334" t="s">
        <v>948</v>
      </c>
    </row>
    <row r="2" spans="1:13">
      <c r="A2" s="317" t="s">
        <v>904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4"/>
    </row>
    <row r="3" spans="1:13">
      <c r="A3" s="344" t="s">
        <v>911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45"/>
    </row>
    <row r="4" spans="1:13">
      <c r="A4" s="318" t="s">
        <v>905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5"/>
    </row>
    <row r="5" spans="1:13">
      <c r="A5" s="344" t="s">
        <v>906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45"/>
    </row>
    <row r="6" spans="1:13">
      <c r="A6" s="318" t="s">
        <v>907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5"/>
    </row>
    <row r="7" spans="1:13">
      <c r="A7" s="344" t="s">
        <v>908</v>
      </c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45"/>
    </row>
    <row r="8" spans="1:13">
      <c r="A8" s="318" t="s">
        <v>909</v>
      </c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5"/>
    </row>
    <row r="9" spans="1:13">
      <c r="A9" s="344" t="s">
        <v>916</v>
      </c>
      <c r="B9" s="332"/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45"/>
    </row>
    <row r="10" spans="1:13">
      <c r="A10" s="318" t="s">
        <v>910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5"/>
    </row>
    <row r="11" spans="1:13">
      <c r="A11" s="344" t="s">
        <v>912</v>
      </c>
      <c r="B11" s="332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45"/>
    </row>
    <row r="12" spans="1:13">
      <c r="A12" s="318" t="s">
        <v>913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5"/>
    </row>
    <row r="13" spans="1:13">
      <c r="A13" s="346" t="s">
        <v>914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31"/>
      <c r="M13" s="347"/>
    </row>
    <row r="14" spans="1:13">
      <c r="A14" s="318" t="s">
        <v>915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5"/>
    </row>
    <row r="15" spans="1:13">
      <c r="A15" s="346" t="s">
        <v>917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47"/>
    </row>
    <row r="16" spans="1:13">
      <c r="A16" s="318" t="s">
        <v>918</v>
      </c>
      <c r="B16" s="322"/>
      <c r="C16" s="322"/>
      <c r="D16" s="322"/>
      <c r="E16" s="322"/>
      <c r="F16" s="322"/>
      <c r="G16" s="322"/>
      <c r="H16" s="322"/>
      <c r="I16" s="322"/>
      <c r="J16" s="322"/>
      <c r="K16" s="322"/>
      <c r="L16" s="322"/>
      <c r="M16" s="325"/>
    </row>
    <row r="17" spans="1:13">
      <c r="A17" s="346" t="s">
        <v>919</v>
      </c>
      <c r="B17" s="331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47"/>
    </row>
    <row r="18" spans="1:13">
      <c r="A18" s="318" t="s">
        <v>155</v>
      </c>
      <c r="B18" s="322"/>
      <c r="C18" s="322"/>
      <c r="D18" s="322"/>
      <c r="E18" s="322"/>
      <c r="F18" s="322"/>
      <c r="G18" s="322"/>
      <c r="H18" s="322"/>
      <c r="I18" s="322"/>
      <c r="J18" s="322"/>
      <c r="K18" s="322"/>
      <c r="L18" s="322"/>
      <c r="M18" s="325"/>
    </row>
    <row r="19" spans="1:13">
      <c r="A19" s="346" t="s">
        <v>920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47"/>
    </row>
    <row r="20" spans="1:13">
      <c r="A20" s="318" t="s">
        <v>921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5"/>
    </row>
    <row r="21" spans="1:13">
      <c r="A21" s="346" t="s">
        <v>930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47"/>
    </row>
    <row r="22" spans="1:13">
      <c r="A22" s="318" t="s">
        <v>931</v>
      </c>
      <c r="B22" s="322"/>
      <c r="C22" s="322"/>
      <c r="D22" s="322"/>
      <c r="E22" s="322"/>
      <c r="F22" s="322"/>
      <c r="G22" s="322"/>
      <c r="H22" s="322"/>
      <c r="I22" s="322"/>
      <c r="J22" s="322"/>
      <c r="K22" s="322"/>
      <c r="L22" s="322"/>
      <c r="M22" s="325"/>
    </row>
    <row r="23" spans="1:13">
      <c r="A23" s="346" t="s">
        <v>932</v>
      </c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47"/>
    </row>
    <row r="24" spans="1:13">
      <c r="A24" s="318" t="s">
        <v>40</v>
      </c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5"/>
    </row>
    <row r="25" spans="1:13">
      <c r="A25" s="346" t="s">
        <v>40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47"/>
    </row>
    <row r="26" spans="1:13">
      <c r="A26" s="318" t="s">
        <v>40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5"/>
    </row>
    <row r="27" spans="1:13">
      <c r="A27" s="346" t="s">
        <v>40</v>
      </c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47"/>
    </row>
    <row r="28" spans="1:13" ht="15.75" thickBot="1">
      <c r="A28" s="320" t="s">
        <v>40</v>
      </c>
      <c r="B28" s="326"/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7"/>
    </row>
    <row r="29" spans="1:13" ht="15" customHeight="1">
      <c r="A29" s="329" t="s">
        <v>933</v>
      </c>
      <c r="B29" s="663" t="s">
        <v>809</v>
      </c>
      <c r="C29" s="664"/>
      <c r="D29" s="661" t="s">
        <v>939</v>
      </c>
      <c r="E29" s="661"/>
      <c r="F29" s="661"/>
      <c r="G29" s="661"/>
      <c r="H29" s="661"/>
      <c r="I29" s="661"/>
      <c r="J29" s="661"/>
      <c r="K29" s="661"/>
      <c r="L29" s="661"/>
      <c r="M29" s="662"/>
    </row>
    <row r="30" spans="1:13" ht="15" customHeight="1">
      <c r="A30" s="329" t="s">
        <v>934</v>
      </c>
      <c r="B30" s="663" t="s">
        <v>330</v>
      </c>
      <c r="C30" s="664"/>
      <c r="D30" s="661" t="s">
        <v>940</v>
      </c>
      <c r="E30" s="661"/>
      <c r="F30" s="661"/>
      <c r="G30" s="661"/>
      <c r="H30" s="661"/>
      <c r="I30" s="661"/>
      <c r="J30" s="661"/>
      <c r="K30" s="661"/>
      <c r="L30" s="661"/>
      <c r="M30" s="662"/>
    </row>
    <row r="31" spans="1:13" ht="15" customHeight="1">
      <c r="A31" s="329" t="s">
        <v>935</v>
      </c>
      <c r="B31" s="663" t="s">
        <v>257</v>
      </c>
      <c r="C31" s="664"/>
      <c r="D31" s="661" t="s">
        <v>941</v>
      </c>
      <c r="E31" s="661"/>
      <c r="F31" s="661"/>
      <c r="G31" s="661"/>
      <c r="H31" s="661"/>
      <c r="I31" s="661"/>
      <c r="J31" s="661"/>
      <c r="K31" s="661"/>
      <c r="L31" s="661"/>
      <c r="M31" s="662"/>
    </row>
    <row r="32" spans="1:13" ht="15.75" customHeight="1" thickBot="1">
      <c r="A32" s="330" t="s">
        <v>936</v>
      </c>
      <c r="B32" s="656" t="s">
        <v>942</v>
      </c>
      <c r="C32" s="657"/>
      <c r="D32" s="654" t="s">
        <v>947</v>
      </c>
      <c r="E32" s="654"/>
      <c r="F32" s="654"/>
      <c r="G32" s="654"/>
      <c r="H32" s="654"/>
      <c r="I32" s="654"/>
      <c r="J32" s="654"/>
      <c r="K32" s="654"/>
      <c r="L32" s="654"/>
      <c r="M32" s="655"/>
    </row>
    <row r="33" spans="1:13" ht="15.75" thickBot="1">
      <c r="A33" s="658" t="s">
        <v>946</v>
      </c>
      <c r="B33" s="659"/>
      <c r="C33" s="659"/>
      <c r="D33" s="659"/>
      <c r="E33" s="659"/>
      <c r="F33" s="659"/>
      <c r="G33" s="659"/>
      <c r="H33" s="659"/>
      <c r="I33" s="659"/>
      <c r="J33" s="659"/>
      <c r="K33" s="659"/>
      <c r="L33" s="659"/>
      <c r="M33" s="660"/>
    </row>
    <row r="34" spans="1:13">
      <c r="A34" s="337" t="s">
        <v>943</v>
      </c>
      <c r="B34" s="338">
        <v>1</v>
      </c>
      <c r="C34" s="338">
        <v>2</v>
      </c>
      <c r="D34" s="338">
        <v>3</v>
      </c>
      <c r="E34" s="338">
        <v>4</v>
      </c>
      <c r="F34" s="338">
        <v>5</v>
      </c>
      <c r="G34" s="338">
        <v>6</v>
      </c>
      <c r="H34" s="338">
        <v>7</v>
      </c>
      <c r="I34" s="338">
        <v>8</v>
      </c>
      <c r="J34" s="338">
        <v>9</v>
      </c>
      <c r="K34" s="338">
        <v>10</v>
      </c>
      <c r="L34" s="338">
        <v>11</v>
      </c>
      <c r="M34" s="339">
        <v>12</v>
      </c>
    </row>
    <row r="35" spans="1:13">
      <c r="A35" s="336" t="s">
        <v>944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19"/>
    </row>
    <row r="36" spans="1:13" ht="15.75" thickBot="1">
      <c r="A36" s="336" t="s">
        <v>945</v>
      </c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19"/>
    </row>
    <row r="37" spans="1:13">
      <c r="A37" s="337" t="s">
        <v>943</v>
      </c>
      <c r="B37" s="340">
        <v>13</v>
      </c>
      <c r="C37" s="340">
        <v>14</v>
      </c>
      <c r="D37" s="340">
        <v>15</v>
      </c>
      <c r="E37" s="340">
        <v>16</v>
      </c>
      <c r="F37" s="340">
        <v>17</v>
      </c>
      <c r="G37" s="340">
        <v>18</v>
      </c>
      <c r="H37" s="340">
        <v>19</v>
      </c>
      <c r="I37" s="340">
        <v>20</v>
      </c>
      <c r="J37" s="340">
        <v>21</v>
      </c>
      <c r="K37" s="340">
        <v>22</v>
      </c>
      <c r="L37" s="340">
        <v>23</v>
      </c>
      <c r="M37" s="340">
        <v>24</v>
      </c>
    </row>
    <row r="38" spans="1:13">
      <c r="A38" s="336" t="s">
        <v>944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19"/>
    </row>
    <row r="39" spans="1:13" ht="15.75" thickBot="1">
      <c r="A39" s="336" t="s">
        <v>945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19"/>
    </row>
    <row r="40" spans="1:13">
      <c r="A40" s="341" t="s">
        <v>943</v>
      </c>
      <c r="B40" s="342">
        <v>25</v>
      </c>
      <c r="C40" s="342">
        <v>26</v>
      </c>
      <c r="D40" s="342">
        <v>27</v>
      </c>
      <c r="E40" s="342">
        <v>28</v>
      </c>
      <c r="F40" s="342">
        <v>29</v>
      </c>
      <c r="G40" s="342">
        <v>30</v>
      </c>
      <c r="H40" s="342">
        <v>31</v>
      </c>
      <c r="I40" s="342">
        <v>32</v>
      </c>
      <c r="J40" s="342">
        <v>33</v>
      </c>
      <c r="K40" s="342">
        <v>34</v>
      </c>
      <c r="L40" s="342">
        <v>35</v>
      </c>
      <c r="M40" s="342">
        <v>36</v>
      </c>
    </row>
    <row r="41" spans="1:13">
      <c r="A41" s="336" t="s">
        <v>944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19"/>
    </row>
    <row r="42" spans="1:13" ht="15.75" thickBot="1">
      <c r="A42" s="336" t="s">
        <v>945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19"/>
    </row>
    <row r="43" spans="1:13">
      <c r="A43" s="341" t="s">
        <v>943</v>
      </c>
      <c r="B43" s="343">
        <v>37</v>
      </c>
      <c r="C43" s="343">
        <v>38</v>
      </c>
      <c r="D43" s="343">
        <v>39</v>
      </c>
      <c r="E43" s="343">
        <v>40</v>
      </c>
      <c r="F43" s="343">
        <v>41</v>
      </c>
      <c r="G43" s="343">
        <v>42</v>
      </c>
      <c r="H43" s="343">
        <v>43</v>
      </c>
      <c r="I43" s="343">
        <v>44</v>
      </c>
      <c r="J43" s="343">
        <v>45</v>
      </c>
      <c r="K43" s="343">
        <v>46</v>
      </c>
      <c r="L43" s="343">
        <v>47</v>
      </c>
      <c r="M43" s="343">
        <v>48</v>
      </c>
    </row>
    <row r="44" spans="1:13">
      <c r="A44" s="336" t="s">
        <v>944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19"/>
    </row>
    <row r="45" spans="1:13" ht="15.75" thickBot="1">
      <c r="A45" s="336" t="s">
        <v>945</v>
      </c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1"/>
    </row>
  </sheetData>
  <mergeCells count="9">
    <mergeCell ref="D32:M32"/>
    <mergeCell ref="B32:C32"/>
    <mergeCell ref="A33:M33"/>
    <mergeCell ref="D29:M29"/>
    <mergeCell ref="D30:M30"/>
    <mergeCell ref="D31:M31"/>
    <mergeCell ref="B29:C29"/>
    <mergeCell ref="B30:C30"/>
    <mergeCell ref="B31:C31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0"/>
  <sheetViews>
    <sheetView topLeftCell="A16" workbookViewId="0">
      <selection activeCell="L52" sqref="L52"/>
    </sheetView>
  </sheetViews>
  <sheetFormatPr baseColWidth="10" defaultRowHeight="15"/>
  <cols>
    <col min="1" max="1" width="3" bestFit="1" customWidth="1"/>
    <col min="2" max="2" width="33.5703125" bestFit="1" customWidth="1"/>
    <col min="3" max="3" width="11.5703125" bestFit="1" customWidth="1"/>
    <col min="4" max="4" width="10.5703125" bestFit="1" customWidth="1"/>
    <col min="5" max="5" width="12.28515625" bestFit="1" customWidth="1"/>
    <col min="6" max="6" width="2.28515625" bestFit="1" customWidth="1"/>
    <col min="11" max="14" width="11.5703125" bestFit="1" customWidth="1"/>
  </cols>
  <sheetData>
    <row r="1" spans="1:6">
      <c r="A1" s="8">
        <v>1</v>
      </c>
      <c r="B1" s="1" t="s">
        <v>207</v>
      </c>
      <c r="C1" s="63">
        <f>377.5+377.5</f>
        <v>755</v>
      </c>
      <c r="D1" s="64">
        <v>0</v>
      </c>
      <c r="E1" s="1" t="s">
        <v>252</v>
      </c>
      <c r="F1" t="s">
        <v>187</v>
      </c>
    </row>
    <row r="2" spans="1:6">
      <c r="A2" s="8">
        <v>2</v>
      </c>
      <c r="B2" s="9" t="s">
        <v>261</v>
      </c>
      <c r="C2" s="63">
        <v>500</v>
      </c>
      <c r="D2" s="64">
        <v>255</v>
      </c>
      <c r="E2" s="48" t="s">
        <v>260</v>
      </c>
      <c r="F2" t="s">
        <v>267</v>
      </c>
    </row>
    <row r="3" spans="1:6">
      <c r="A3" s="8">
        <v>3</v>
      </c>
      <c r="B3" s="9" t="s">
        <v>205</v>
      </c>
      <c r="C3" s="63">
        <v>0</v>
      </c>
      <c r="D3" s="64">
        <v>0</v>
      </c>
      <c r="E3" s="48" t="s">
        <v>211</v>
      </c>
    </row>
    <row r="4" spans="1:6">
      <c r="A4" s="8">
        <v>4</v>
      </c>
      <c r="B4" s="9" t="s">
        <v>189</v>
      </c>
      <c r="C4" s="63">
        <v>0</v>
      </c>
      <c r="D4" s="64">
        <v>0</v>
      </c>
      <c r="E4" s="48" t="s">
        <v>214</v>
      </c>
      <c r="F4" t="s">
        <v>267</v>
      </c>
    </row>
    <row r="5" spans="1:6">
      <c r="A5" s="8">
        <v>5</v>
      </c>
      <c r="B5" s="9" t="s">
        <v>215</v>
      </c>
      <c r="C5" s="63">
        <v>0</v>
      </c>
      <c r="D5" s="64">
        <v>0</v>
      </c>
      <c r="E5" s="48" t="s">
        <v>216</v>
      </c>
    </row>
    <row r="6" spans="1:6">
      <c r="A6" s="8">
        <v>6</v>
      </c>
      <c r="B6" s="9" t="s">
        <v>315</v>
      </c>
      <c r="C6" s="63">
        <v>255</v>
      </c>
      <c r="D6" s="64">
        <v>300</v>
      </c>
      <c r="E6" s="48" t="s">
        <v>316</v>
      </c>
    </row>
    <row r="7" spans="1:6">
      <c r="A7" s="8">
        <v>7</v>
      </c>
      <c r="B7" s="9" t="s">
        <v>218</v>
      </c>
      <c r="C7" s="63">
        <v>0</v>
      </c>
      <c r="D7" s="64">
        <v>0</v>
      </c>
      <c r="E7" s="48" t="s">
        <v>251</v>
      </c>
    </row>
    <row r="8" spans="1:6">
      <c r="A8" s="8">
        <v>8</v>
      </c>
      <c r="B8" s="9" t="s">
        <v>317</v>
      </c>
      <c r="C8" s="63">
        <v>0</v>
      </c>
      <c r="D8" s="64">
        <v>555</v>
      </c>
      <c r="E8" s="48" t="s">
        <v>319</v>
      </c>
    </row>
    <row r="9" spans="1:6">
      <c r="A9" s="8">
        <v>9</v>
      </c>
      <c r="B9" s="9" t="s">
        <v>16</v>
      </c>
      <c r="C9" s="63">
        <v>555</v>
      </c>
      <c r="D9" s="64">
        <v>0</v>
      </c>
      <c r="E9" s="48" t="s">
        <v>80</v>
      </c>
    </row>
    <row r="10" spans="1:6">
      <c r="A10" s="8">
        <v>10</v>
      </c>
      <c r="B10" s="9" t="s">
        <v>70</v>
      </c>
      <c r="C10" s="63">
        <v>255</v>
      </c>
      <c r="D10" s="64">
        <v>300</v>
      </c>
      <c r="E10" s="48" t="s">
        <v>71</v>
      </c>
    </row>
    <row r="11" spans="1:6">
      <c r="A11" s="8">
        <v>11</v>
      </c>
      <c r="B11" s="9" t="s">
        <v>209</v>
      </c>
      <c r="C11" s="63">
        <v>250</v>
      </c>
      <c r="D11" s="64">
        <v>205</v>
      </c>
      <c r="E11" s="48" t="s">
        <v>212</v>
      </c>
    </row>
    <row r="12" spans="1:6">
      <c r="A12" s="8">
        <v>12</v>
      </c>
      <c r="B12" s="9" t="s">
        <v>210</v>
      </c>
      <c r="C12" s="63">
        <v>200</v>
      </c>
      <c r="D12" s="64">
        <v>255</v>
      </c>
      <c r="E12" s="48" t="s">
        <v>211</v>
      </c>
    </row>
    <row r="13" spans="1:6">
      <c r="A13" s="8">
        <v>13</v>
      </c>
      <c r="B13" s="9" t="s">
        <v>248</v>
      </c>
      <c r="C13" s="63">
        <v>255</v>
      </c>
      <c r="D13" s="64">
        <v>300</v>
      </c>
      <c r="E13" s="48" t="s">
        <v>249</v>
      </c>
    </row>
    <row r="14" spans="1:6">
      <c r="A14" s="8">
        <v>14</v>
      </c>
      <c r="B14" s="9" t="s">
        <v>259</v>
      </c>
      <c r="C14" s="73">
        <v>0</v>
      </c>
      <c r="D14" s="64">
        <v>0</v>
      </c>
      <c r="E14" s="1" t="s">
        <v>250</v>
      </c>
    </row>
    <row r="15" spans="1:6">
      <c r="A15" s="8">
        <v>15</v>
      </c>
      <c r="B15" s="1" t="s">
        <v>221</v>
      </c>
      <c r="C15" s="63">
        <v>255</v>
      </c>
      <c r="D15" s="64">
        <v>300</v>
      </c>
      <c r="E15" s="1" t="s">
        <v>220</v>
      </c>
    </row>
    <row r="16" spans="1:6">
      <c r="A16" s="8">
        <v>16</v>
      </c>
      <c r="B16" s="1" t="s">
        <v>318</v>
      </c>
      <c r="C16" s="63">
        <v>0</v>
      </c>
      <c r="D16" s="64">
        <v>555</v>
      </c>
      <c r="E16" s="48" t="s">
        <v>319</v>
      </c>
    </row>
    <row r="17" spans="1:14">
      <c r="A17" s="8">
        <v>17</v>
      </c>
      <c r="B17" s="9" t="s">
        <v>224</v>
      </c>
      <c r="C17" s="63">
        <v>255</v>
      </c>
      <c r="D17" s="64">
        <v>300</v>
      </c>
      <c r="E17" s="48" t="s">
        <v>225</v>
      </c>
    </row>
    <row r="18" spans="1:14">
      <c r="A18" s="8">
        <v>18</v>
      </c>
      <c r="B18" s="9" t="s">
        <v>226</v>
      </c>
      <c r="C18" s="63">
        <v>555</v>
      </c>
      <c r="D18" s="64">
        <v>0</v>
      </c>
      <c r="E18" s="48" t="s">
        <v>227</v>
      </c>
    </row>
    <row r="19" spans="1:14">
      <c r="A19" s="8">
        <v>19</v>
      </c>
      <c r="B19" s="9" t="s">
        <v>228</v>
      </c>
      <c r="C19" s="63">
        <v>255</v>
      </c>
      <c r="D19" s="64">
        <v>300</v>
      </c>
      <c r="E19" s="48" t="s">
        <v>230</v>
      </c>
    </row>
    <row r="20" spans="1:14">
      <c r="A20" s="8">
        <v>20</v>
      </c>
      <c r="B20" s="9" t="s">
        <v>229</v>
      </c>
      <c r="C20" s="63">
        <v>255</v>
      </c>
      <c r="D20" s="64">
        <v>300</v>
      </c>
      <c r="E20" s="48" t="s">
        <v>211</v>
      </c>
    </row>
    <row r="21" spans="1:14">
      <c r="A21" s="8">
        <v>21</v>
      </c>
      <c r="B21" s="9" t="s">
        <v>231</v>
      </c>
      <c r="C21" s="63">
        <v>555</v>
      </c>
      <c r="D21" s="64">
        <v>0</v>
      </c>
      <c r="E21" s="48" t="s">
        <v>232</v>
      </c>
      <c r="H21" t="s">
        <v>278</v>
      </c>
    </row>
    <row r="22" spans="1:14">
      <c r="A22" s="8">
        <v>22</v>
      </c>
      <c r="B22" s="9" t="s">
        <v>234</v>
      </c>
      <c r="C22" s="63">
        <v>555</v>
      </c>
      <c r="D22" s="64">
        <v>0</v>
      </c>
      <c r="E22" s="48" t="s">
        <v>233</v>
      </c>
      <c r="H22">
        <v>3000</v>
      </c>
      <c r="I22">
        <v>100</v>
      </c>
      <c r="K22">
        <f>531*2</f>
        <v>1062</v>
      </c>
    </row>
    <row r="23" spans="1:14">
      <c r="A23" s="8">
        <v>23</v>
      </c>
      <c r="B23" s="9" t="s">
        <v>235</v>
      </c>
      <c r="C23" s="63">
        <v>655</v>
      </c>
      <c r="D23" s="64">
        <v>0</v>
      </c>
      <c r="E23" s="48" t="s">
        <v>236</v>
      </c>
      <c r="F23" t="s">
        <v>187</v>
      </c>
      <c r="H23">
        <v>2700</v>
      </c>
      <c r="I23" s="68">
        <f>100-(H23*I22)/H22</f>
        <v>10</v>
      </c>
    </row>
    <row r="24" spans="1:14">
      <c r="A24" s="8">
        <v>24</v>
      </c>
      <c r="B24" s="9" t="s">
        <v>247</v>
      </c>
      <c r="C24" s="63">
        <v>555</v>
      </c>
      <c r="D24" s="64">
        <v>0</v>
      </c>
      <c r="E24" s="48" t="s">
        <v>237</v>
      </c>
    </row>
    <row r="25" spans="1:14">
      <c r="A25" s="8">
        <v>25</v>
      </c>
      <c r="B25" s="1" t="s">
        <v>240</v>
      </c>
      <c r="C25" s="63">
        <v>555</v>
      </c>
      <c r="D25" s="64">
        <v>0</v>
      </c>
      <c r="E25" s="1" t="s">
        <v>238</v>
      </c>
      <c r="K25" t="s">
        <v>274</v>
      </c>
    </row>
    <row r="26" spans="1:14">
      <c r="A26" s="8">
        <v>26</v>
      </c>
      <c r="B26" s="9" t="s">
        <v>239</v>
      </c>
      <c r="C26" s="63">
        <v>555</v>
      </c>
      <c r="D26" s="64">
        <v>0</v>
      </c>
      <c r="E26" s="48" t="s">
        <v>211</v>
      </c>
      <c r="K26" t="s">
        <v>268</v>
      </c>
      <c r="L26" t="s">
        <v>269</v>
      </c>
      <c r="N26" t="s">
        <v>271</v>
      </c>
    </row>
    <row r="27" spans="1:14">
      <c r="A27" s="8">
        <v>27</v>
      </c>
      <c r="B27" s="9" t="s">
        <v>241</v>
      </c>
      <c r="C27" s="63">
        <v>355</v>
      </c>
      <c r="D27" s="64">
        <v>400</v>
      </c>
      <c r="E27" s="48" t="s">
        <v>242</v>
      </c>
      <c r="H27">
        <v>555</v>
      </c>
      <c r="I27">
        <v>100</v>
      </c>
      <c r="K27" s="37">
        <v>26000</v>
      </c>
      <c r="L27" s="62">
        <f>K27/18</f>
        <v>1444.4444444444443</v>
      </c>
      <c r="N27" s="62">
        <f>L28+L27</f>
        <v>2300.6944444444443</v>
      </c>
    </row>
    <row r="28" spans="1:14">
      <c r="A28" s="8">
        <v>28</v>
      </c>
      <c r="B28" s="9" t="s">
        <v>243</v>
      </c>
      <c r="C28" s="63">
        <v>555</v>
      </c>
      <c r="D28" s="64">
        <v>0</v>
      </c>
      <c r="E28" s="48" t="s">
        <v>244</v>
      </c>
      <c r="H28">
        <v>472</v>
      </c>
      <c r="I28" s="68">
        <f>100-(H28*I27)/H27</f>
        <v>14.954954954954957</v>
      </c>
      <c r="K28" s="37">
        <v>3425</v>
      </c>
      <c r="L28" s="37">
        <f>K28/4</f>
        <v>856.25</v>
      </c>
      <c r="M28" s="62">
        <f>L29*K28</f>
        <v>17125</v>
      </c>
    </row>
    <row r="29" spans="1:14">
      <c r="A29" s="8">
        <v>29</v>
      </c>
      <c r="B29" s="9" t="s">
        <v>245</v>
      </c>
      <c r="C29" s="63">
        <v>555</v>
      </c>
      <c r="D29" s="64">
        <v>0</v>
      </c>
      <c r="E29" s="48" t="s">
        <v>246</v>
      </c>
      <c r="K29" t="s">
        <v>270</v>
      </c>
      <c r="L29">
        <v>5</v>
      </c>
    </row>
    <row r="30" spans="1:14">
      <c r="A30" s="8">
        <v>30</v>
      </c>
      <c r="B30" s="9" t="s">
        <v>248</v>
      </c>
      <c r="C30" s="63">
        <v>255</v>
      </c>
      <c r="D30" s="64">
        <v>300</v>
      </c>
      <c r="E30" s="48" t="s">
        <v>249</v>
      </c>
      <c r="H30">
        <v>755</v>
      </c>
      <c r="I30">
        <v>100</v>
      </c>
      <c r="N30" t="s">
        <v>272</v>
      </c>
    </row>
    <row r="31" spans="1:14">
      <c r="A31" s="8">
        <v>31</v>
      </c>
      <c r="B31" s="9" t="s">
        <v>253</v>
      </c>
      <c r="C31" s="63">
        <v>555</v>
      </c>
      <c r="D31" s="64">
        <v>0</v>
      </c>
      <c r="E31" s="48" t="s">
        <v>255</v>
      </c>
      <c r="H31">
        <v>642</v>
      </c>
      <c r="I31" s="68">
        <f>100-(H31*I30)/H30</f>
        <v>14.966887417218544</v>
      </c>
      <c r="K31" t="s">
        <v>79</v>
      </c>
      <c r="L31" s="62">
        <f>K27+M28</f>
        <v>43125</v>
      </c>
      <c r="N31" s="37">
        <f>600*20</f>
        <v>12000</v>
      </c>
    </row>
    <row r="32" spans="1:14">
      <c r="A32" s="8">
        <v>32</v>
      </c>
      <c r="B32" s="9" t="s">
        <v>254</v>
      </c>
      <c r="C32" s="63">
        <v>555</v>
      </c>
      <c r="D32" s="64">
        <v>0</v>
      </c>
      <c r="E32" s="48" t="s">
        <v>211</v>
      </c>
      <c r="N32" s="62">
        <f>N31-(K28/2)-L33</f>
        <v>8692.5</v>
      </c>
    </row>
    <row r="33" spans="1:15">
      <c r="A33" s="8">
        <v>33</v>
      </c>
      <c r="B33" s="9" t="s">
        <v>324</v>
      </c>
      <c r="C33" s="63">
        <v>495</v>
      </c>
      <c r="D33" s="64">
        <v>200</v>
      </c>
      <c r="E33" s="48" t="s">
        <v>211</v>
      </c>
      <c r="H33">
        <f>555-300</f>
        <v>255</v>
      </c>
      <c r="K33" t="s">
        <v>277</v>
      </c>
      <c r="L33">
        <f>(5*180)+(30)+(15)+(5*30)+(25*20)</f>
        <v>1595</v>
      </c>
    </row>
    <row r="34" spans="1:15">
      <c r="A34" s="8">
        <v>34</v>
      </c>
      <c r="B34" s="9" t="s">
        <v>325</v>
      </c>
      <c r="C34" s="63">
        <v>0</v>
      </c>
      <c r="D34" s="64">
        <v>555</v>
      </c>
      <c r="E34" s="48" t="s">
        <v>211</v>
      </c>
      <c r="H34">
        <f>H33/2</f>
        <v>127.5</v>
      </c>
    </row>
    <row r="35" spans="1:15">
      <c r="A35" s="8">
        <v>35</v>
      </c>
      <c r="B35" s="9" t="s">
        <v>300</v>
      </c>
      <c r="C35" s="63">
        <v>250</v>
      </c>
      <c r="D35" s="64">
        <v>250</v>
      </c>
      <c r="E35" s="48" t="s">
        <v>303</v>
      </c>
      <c r="G35" s="69">
        <v>0.23</v>
      </c>
      <c r="H35">
        <f>H34+300</f>
        <v>427.5</v>
      </c>
      <c r="J35" t="s">
        <v>273</v>
      </c>
      <c r="K35" s="37">
        <f>1212*5</f>
        <v>6060</v>
      </c>
      <c r="M35" t="s">
        <v>275</v>
      </c>
      <c r="N35" s="62">
        <f>N27+600</f>
        <v>2900.6944444444443</v>
      </c>
    </row>
    <row r="36" spans="1:15">
      <c r="A36" s="8">
        <v>36</v>
      </c>
      <c r="B36" s="9" t="s">
        <v>284</v>
      </c>
      <c r="C36" s="63">
        <v>300</v>
      </c>
      <c r="D36" s="64">
        <v>0</v>
      </c>
      <c r="E36" s="48" t="s">
        <v>283</v>
      </c>
      <c r="M36" t="s">
        <v>276</v>
      </c>
      <c r="N36" s="37">
        <v>3000</v>
      </c>
    </row>
    <row r="37" spans="1:15">
      <c r="A37" s="8">
        <v>37</v>
      </c>
      <c r="B37" s="8" t="s">
        <v>326</v>
      </c>
      <c r="C37" s="63">
        <v>300</v>
      </c>
      <c r="D37" s="64">
        <v>0</v>
      </c>
      <c r="E37" s="8" t="s">
        <v>211</v>
      </c>
      <c r="G37">
        <f>555-300</f>
        <v>255</v>
      </c>
    </row>
    <row r="38" spans="1:15">
      <c r="A38" s="8">
        <v>38</v>
      </c>
      <c r="B38" s="8" t="s">
        <v>293</v>
      </c>
      <c r="C38" s="63">
        <v>355</v>
      </c>
      <c r="D38" s="64">
        <v>400</v>
      </c>
      <c r="E38" s="8" t="s">
        <v>292</v>
      </c>
      <c r="G38">
        <f>G37/2</f>
        <v>127.5</v>
      </c>
    </row>
    <row r="39" spans="1:15">
      <c r="A39" s="8">
        <v>39</v>
      </c>
      <c r="B39" s="8" t="s">
        <v>288</v>
      </c>
      <c r="C39" s="63">
        <v>255</v>
      </c>
      <c r="D39" s="64">
        <v>300</v>
      </c>
      <c r="E39" s="8" t="s">
        <v>211</v>
      </c>
      <c r="K39" t="s">
        <v>279</v>
      </c>
    </row>
    <row r="40" spans="1:15">
      <c r="A40" s="8">
        <v>40</v>
      </c>
      <c r="B40" s="8" t="s">
        <v>289</v>
      </c>
      <c r="C40" s="63">
        <v>255</v>
      </c>
      <c r="D40" s="64">
        <v>300</v>
      </c>
      <c r="E40" s="8" t="s">
        <v>211</v>
      </c>
      <c r="K40" t="s">
        <v>268</v>
      </c>
      <c r="L40" t="s">
        <v>269</v>
      </c>
      <c r="N40" t="s">
        <v>271</v>
      </c>
    </row>
    <row r="41" spans="1:15">
      <c r="A41" s="8">
        <v>41</v>
      </c>
      <c r="B41" s="8" t="s">
        <v>290</v>
      </c>
      <c r="C41" s="63">
        <v>255</v>
      </c>
      <c r="D41" s="64">
        <v>300</v>
      </c>
      <c r="E41" s="8" t="s">
        <v>211</v>
      </c>
      <c r="G41" s="44">
        <v>3627</v>
      </c>
      <c r="H41" s="2" t="s">
        <v>256</v>
      </c>
      <c r="K41" s="37">
        <v>26000</v>
      </c>
      <c r="L41" s="62">
        <f>K41/26</f>
        <v>1000</v>
      </c>
      <c r="N41" s="62">
        <f>L42+L41</f>
        <v>1856.25</v>
      </c>
    </row>
    <row r="42" spans="1:15">
      <c r="A42" s="8">
        <v>42</v>
      </c>
      <c r="B42" s="8" t="s">
        <v>291</v>
      </c>
      <c r="C42" s="63">
        <v>225</v>
      </c>
      <c r="D42" s="64">
        <v>270</v>
      </c>
      <c r="E42" s="8" t="s">
        <v>211</v>
      </c>
      <c r="G42" s="44">
        <v>8200</v>
      </c>
      <c r="H42" s="2" t="s">
        <v>305</v>
      </c>
      <c r="K42" s="37">
        <v>3425</v>
      </c>
      <c r="L42" s="37">
        <f>K42/4</f>
        <v>856.25</v>
      </c>
      <c r="M42" s="62">
        <f>L43*K42</f>
        <v>23975</v>
      </c>
    </row>
    <row r="43" spans="1:15">
      <c r="A43" s="8">
        <v>43</v>
      </c>
      <c r="B43" s="8" t="s">
        <v>298</v>
      </c>
      <c r="C43" s="63">
        <v>555</v>
      </c>
      <c r="D43" s="64">
        <v>0</v>
      </c>
      <c r="E43" s="8" t="s">
        <v>299</v>
      </c>
      <c r="G43" s="44">
        <f>(1613+1345+255)-300</f>
        <v>2913</v>
      </c>
      <c r="H43" s="2" t="s">
        <v>258</v>
      </c>
      <c r="K43" t="s">
        <v>270</v>
      </c>
      <c r="L43">
        <v>7</v>
      </c>
      <c r="O43" s="62"/>
    </row>
    <row r="44" spans="1:15">
      <c r="A44" s="8">
        <v>44</v>
      </c>
      <c r="B44" s="8" t="s">
        <v>313</v>
      </c>
      <c r="C44" s="63">
        <v>400</v>
      </c>
      <c r="D44" s="64">
        <v>355</v>
      </c>
      <c r="E44" s="8" t="s">
        <v>314</v>
      </c>
      <c r="G44" s="37">
        <v>1000</v>
      </c>
      <c r="H44" s="2" t="s">
        <v>304</v>
      </c>
      <c r="N44" t="s">
        <v>272</v>
      </c>
    </row>
    <row r="45" spans="1:15">
      <c r="A45" s="8">
        <v>45</v>
      </c>
      <c r="B45" s="8" t="s">
        <v>301</v>
      </c>
      <c r="C45" s="63">
        <v>255</v>
      </c>
      <c r="D45" s="64">
        <v>300</v>
      </c>
      <c r="E45" s="8" t="s">
        <v>302</v>
      </c>
      <c r="F45" t="s">
        <v>267</v>
      </c>
      <c r="G45" s="62">
        <f>D47-E50</f>
        <v>2510</v>
      </c>
      <c r="H45" s="2" t="s">
        <v>309</v>
      </c>
      <c r="I45" s="62">
        <f>G43+800</f>
        <v>3713</v>
      </c>
      <c r="K45" t="s">
        <v>79</v>
      </c>
      <c r="L45" s="62">
        <f>K41+M42</f>
        <v>49975</v>
      </c>
      <c r="N45" s="37">
        <f>600*26</f>
        <v>15600</v>
      </c>
    </row>
    <row r="46" spans="1:15">
      <c r="A46" s="8">
        <v>46</v>
      </c>
      <c r="B46" s="8" t="s">
        <v>312</v>
      </c>
      <c r="C46" s="63">
        <v>400</v>
      </c>
      <c r="D46" s="64">
        <f>755-C46</f>
        <v>355</v>
      </c>
      <c r="E46" s="8" t="s">
        <v>211</v>
      </c>
      <c r="G46" s="62">
        <f>SUM(G41:G45)</f>
        <v>18250</v>
      </c>
      <c r="H46" s="2"/>
      <c r="N46" s="62">
        <f>N45-(K42/2)-L47</f>
        <v>12292.5</v>
      </c>
    </row>
    <row r="47" spans="1:15">
      <c r="C47" s="37">
        <f>SUM(C1:C46)</f>
        <v>15160</v>
      </c>
      <c r="D47" s="62">
        <f>SUM(D1:D46)</f>
        <v>8210</v>
      </c>
      <c r="G47" s="62">
        <f>G46-E53</f>
        <v>6010</v>
      </c>
      <c r="H47" s="2" t="s">
        <v>272</v>
      </c>
      <c r="K47" t="s">
        <v>277</v>
      </c>
      <c r="L47">
        <f>(5*180)+(30)+(15)+(5*30)+(25*20)</f>
        <v>1595</v>
      </c>
    </row>
    <row r="48" spans="1:15">
      <c r="C48" s="615">
        <f>C47+D47</f>
        <v>23370</v>
      </c>
      <c r="D48" s="616"/>
      <c r="G48" s="44">
        <v>0</v>
      </c>
      <c r="H48" s="2" t="s">
        <v>257</v>
      </c>
    </row>
    <row r="49" spans="2:16">
      <c r="G49" s="62">
        <f>G48+G47</f>
        <v>6010</v>
      </c>
      <c r="H49" s="2" t="s">
        <v>310</v>
      </c>
      <c r="M49" t="s">
        <v>280</v>
      </c>
      <c r="N49" s="62">
        <v>2500</v>
      </c>
    </row>
    <row r="50" spans="2:16">
      <c r="B50" s="67" t="s">
        <v>262</v>
      </c>
      <c r="C50" s="63">
        <v>5700</v>
      </c>
      <c r="D50" s="8">
        <v>1</v>
      </c>
      <c r="E50" s="63">
        <f>D50*C50</f>
        <v>5700</v>
      </c>
      <c r="G50" s="62">
        <f>E55-G49</f>
        <v>-580</v>
      </c>
      <c r="H50" s="2" t="s">
        <v>306</v>
      </c>
      <c r="J50" t="s">
        <v>281</v>
      </c>
      <c r="K50" s="69">
        <v>0.1</v>
      </c>
      <c r="L50" s="37">
        <v>2250</v>
      </c>
    </row>
    <row r="51" spans="2:16">
      <c r="B51" s="67" t="s">
        <v>263</v>
      </c>
      <c r="C51" s="63">
        <f>300-(300*10%)</f>
        <v>270</v>
      </c>
      <c r="D51" s="8">
        <f>32</f>
        <v>32</v>
      </c>
      <c r="E51" s="63">
        <f>D51*C51</f>
        <v>8640</v>
      </c>
      <c r="G51" s="37">
        <v>2800</v>
      </c>
      <c r="H51" s="2" t="s">
        <v>307</v>
      </c>
      <c r="J51" t="s">
        <v>282</v>
      </c>
      <c r="K51" s="69">
        <v>0.05</v>
      </c>
      <c r="L51" s="37">
        <v>2375</v>
      </c>
      <c r="P51">
        <v>3627</v>
      </c>
    </row>
    <row r="52" spans="2:16">
      <c r="B52" s="67" t="s">
        <v>264</v>
      </c>
      <c r="C52" s="63">
        <f>500-(500*10%)</f>
        <v>450</v>
      </c>
      <c r="D52" s="8">
        <v>8</v>
      </c>
      <c r="E52" s="63">
        <f>D52*C52</f>
        <v>3600</v>
      </c>
      <c r="G52" s="62">
        <f>(G51+G49)-110</f>
        <v>8700</v>
      </c>
      <c r="H52" s="2" t="s">
        <v>308</v>
      </c>
      <c r="K52" s="69">
        <v>0.2</v>
      </c>
      <c r="L52" s="37">
        <v>2000</v>
      </c>
    </row>
    <row r="53" spans="2:16">
      <c r="B53" s="67" t="s">
        <v>266</v>
      </c>
      <c r="C53" s="8"/>
      <c r="D53" s="8">
        <f>D52+D51</f>
        <v>40</v>
      </c>
      <c r="E53" s="63">
        <f>E52+E51</f>
        <v>12240</v>
      </c>
      <c r="G53" s="62"/>
      <c r="N53" s="37">
        <v>2700</v>
      </c>
    </row>
    <row r="54" spans="2:16" ht="15.75" thickBot="1">
      <c r="B54" s="67" t="s">
        <v>265</v>
      </c>
      <c r="C54" s="8"/>
      <c r="D54" s="8"/>
      <c r="E54" s="65">
        <f>E53+E50</f>
        <v>17940</v>
      </c>
      <c r="J54" t="s">
        <v>219</v>
      </c>
      <c r="K54" s="37">
        <f>1212*7</f>
        <v>8484</v>
      </c>
      <c r="M54" s="69">
        <v>0.2</v>
      </c>
      <c r="N54" s="37">
        <v>2160</v>
      </c>
      <c r="O54" s="62">
        <f>N54-N41</f>
        <v>303.75</v>
      </c>
    </row>
    <row r="55" spans="2:16" ht="15.75" thickBot="1">
      <c r="B55" s="617" t="s">
        <v>7</v>
      </c>
      <c r="C55" s="618"/>
      <c r="D55" s="619"/>
      <c r="E55" s="66">
        <f>C48-E54</f>
        <v>5430</v>
      </c>
      <c r="K55" s="62"/>
      <c r="L55" t="s">
        <v>286</v>
      </c>
      <c r="M55" s="69">
        <v>0.15</v>
      </c>
      <c r="N55" s="37">
        <v>2295</v>
      </c>
      <c r="O55" s="62">
        <f>N55-N41</f>
        <v>438.75</v>
      </c>
    </row>
    <row r="56" spans="2:16">
      <c r="J56">
        <f>800*3</f>
        <v>2400</v>
      </c>
      <c r="L56" t="s">
        <v>295</v>
      </c>
      <c r="M56" s="70">
        <v>0.1195</v>
      </c>
      <c r="N56" s="37">
        <v>2212</v>
      </c>
      <c r="O56" s="62">
        <f>N56-N41</f>
        <v>355.75</v>
      </c>
    </row>
    <row r="57" spans="2:16">
      <c r="B57" t="s">
        <v>328</v>
      </c>
      <c r="J57">
        <f>472*5</f>
        <v>2360</v>
      </c>
      <c r="L57" t="s">
        <v>287</v>
      </c>
      <c r="M57" s="69">
        <v>0.1</v>
      </c>
      <c r="N57" s="37">
        <v>2430</v>
      </c>
      <c r="O57" s="62">
        <f>N57-N41</f>
        <v>573.75</v>
      </c>
    </row>
    <row r="58" spans="2:16">
      <c r="B58">
        <v>10000</v>
      </c>
      <c r="C58">
        <v>1900</v>
      </c>
      <c r="D58" t="s">
        <v>304</v>
      </c>
      <c r="L58" t="s">
        <v>294</v>
      </c>
      <c r="M58" s="70">
        <v>9.9000000000000005E-2</v>
      </c>
      <c r="N58" s="37">
        <v>2277</v>
      </c>
      <c r="O58" s="62">
        <f>N58-N41</f>
        <v>420.75</v>
      </c>
    </row>
    <row r="59" spans="2:16">
      <c r="B59" s="62">
        <f>E53-B58</f>
        <v>2240</v>
      </c>
      <c r="C59">
        <f>3882+1795</f>
        <v>5677</v>
      </c>
      <c r="D59" t="s">
        <v>256</v>
      </c>
      <c r="L59" t="s">
        <v>296</v>
      </c>
      <c r="M59" s="71">
        <v>7.4999999999999997E-2</v>
      </c>
      <c r="N59" s="37">
        <v>2352</v>
      </c>
      <c r="O59" s="62">
        <f>N59-N41</f>
        <v>495.75</v>
      </c>
    </row>
    <row r="60" spans="2:16">
      <c r="C60">
        <v>1476</v>
      </c>
      <c r="D60" t="s">
        <v>330</v>
      </c>
      <c r="L60" t="s">
        <v>285</v>
      </c>
      <c r="M60" s="69">
        <v>0.05</v>
      </c>
      <c r="N60" s="37">
        <v>2565</v>
      </c>
      <c r="O60" s="62">
        <f>N60-N41</f>
        <v>708.75</v>
      </c>
    </row>
    <row r="61" spans="2:16">
      <c r="B61" t="s">
        <v>327</v>
      </c>
      <c r="C61">
        <f>SUM(C58:C60)</f>
        <v>9053</v>
      </c>
      <c r="H61">
        <f>4*555</f>
        <v>2220</v>
      </c>
      <c r="L61" t="s">
        <v>297</v>
      </c>
      <c r="M61" s="70">
        <v>4.4999999999999998E-2</v>
      </c>
      <c r="N61" s="37">
        <v>2446</v>
      </c>
      <c r="O61" s="62">
        <f>N61-N41</f>
        <v>589.75</v>
      </c>
    </row>
    <row r="62" spans="2:16">
      <c r="B62" t="s">
        <v>329</v>
      </c>
    </row>
    <row r="63" spans="2:16">
      <c r="B63">
        <f>1589-650</f>
        <v>939</v>
      </c>
      <c r="C63" s="74">
        <v>43078</v>
      </c>
      <c r="D63">
        <v>5150</v>
      </c>
    </row>
    <row r="64" spans="2:16">
      <c r="H64">
        <f>555*5%</f>
        <v>27.75</v>
      </c>
    </row>
    <row r="65" spans="3:11">
      <c r="C65">
        <f>C61-D63</f>
        <v>3903</v>
      </c>
      <c r="H65">
        <f>555-H64</f>
        <v>527.25</v>
      </c>
    </row>
    <row r="66" spans="3:11">
      <c r="H66">
        <f>H65*4</f>
        <v>2109</v>
      </c>
      <c r="I66">
        <f>H66/6</f>
        <v>351.5</v>
      </c>
    </row>
    <row r="67" spans="3:11" ht="18.75">
      <c r="C67">
        <f>D63-C58</f>
        <v>3250</v>
      </c>
      <c r="D67" t="s">
        <v>331</v>
      </c>
      <c r="H67">
        <v>1778</v>
      </c>
      <c r="I67">
        <f>300*4</f>
        <v>1200</v>
      </c>
      <c r="K67" s="72">
        <v>1837.45</v>
      </c>
    </row>
    <row r="68" spans="3:11">
      <c r="C68">
        <f>C59-C67</f>
        <v>2427</v>
      </c>
      <c r="D68" t="s">
        <v>332</v>
      </c>
      <c r="H68">
        <f>(H66-H67)+(H64*4)</f>
        <v>442</v>
      </c>
      <c r="I68">
        <f>H67-I67</f>
        <v>578</v>
      </c>
    </row>
    <row r="69" spans="3:11">
      <c r="I69">
        <f>I68/4</f>
        <v>144.5</v>
      </c>
    </row>
    <row r="70" spans="3:11">
      <c r="I70">
        <f>I69/2</f>
        <v>72.25</v>
      </c>
    </row>
  </sheetData>
  <mergeCells count="2">
    <mergeCell ref="C48:D48"/>
    <mergeCell ref="B55:D55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6"/>
  <sheetViews>
    <sheetView workbookViewId="0">
      <selection activeCell="H17" sqref="H17"/>
    </sheetView>
  </sheetViews>
  <sheetFormatPr baseColWidth="10" defaultRowHeight="15"/>
  <cols>
    <col min="1" max="1" width="3" bestFit="1" customWidth="1"/>
    <col min="2" max="2" width="33.5703125" bestFit="1" customWidth="1"/>
    <col min="3" max="3" width="11.5703125" bestFit="1" customWidth="1"/>
    <col min="4" max="4" width="10.5703125" bestFit="1" customWidth="1"/>
    <col min="5" max="5" width="20.5703125" bestFit="1" customWidth="1"/>
    <col min="6" max="6" width="12.28515625" bestFit="1" customWidth="1"/>
    <col min="7" max="7" width="2.28515625" bestFit="1" customWidth="1"/>
    <col min="8" max="8" width="11.5703125" bestFit="1" customWidth="1"/>
    <col min="12" max="15" width="11.5703125" bestFit="1" customWidth="1"/>
  </cols>
  <sheetData>
    <row r="1" spans="1:8">
      <c r="A1" s="8">
        <v>1</v>
      </c>
      <c r="B1" s="9" t="s">
        <v>21</v>
      </c>
      <c r="C1" s="63">
        <v>755</v>
      </c>
      <c r="D1" s="64">
        <f>755-C1</f>
        <v>0</v>
      </c>
      <c r="E1" s="64" t="s">
        <v>31</v>
      </c>
      <c r="F1" s="168" t="s">
        <v>32</v>
      </c>
      <c r="G1">
        <v>1</v>
      </c>
    </row>
    <row r="2" spans="1:8">
      <c r="A2" s="8">
        <v>2</v>
      </c>
      <c r="B2" s="9" t="s">
        <v>395</v>
      </c>
      <c r="C2" s="63">
        <v>300</v>
      </c>
      <c r="D2" s="64">
        <v>255</v>
      </c>
      <c r="E2" s="64" t="s">
        <v>396</v>
      </c>
      <c r="F2" s="168" t="s">
        <v>394</v>
      </c>
    </row>
    <row r="3" spans="1:8">
      <c r="A3" s="8">
        <v>3</v>
      </c>
      <c r="B3" s="9" t="s">
        <v>204</v>
      </c>
      <c r="C3" s="63">
        <v>255</v>
      </c>
      <c r="D3" s="64">
        <v>300</v>
      </c>
      <c r="E3" s="64" t="s">
        <v>31</v>
      </c>
      <c r="F3" s="168" t="s">
        <v>213</v>
      </c>
    </row>
    <row r="4" spans="1:8">
      <c r="A4" s="8">
        <v>4</v>
      </c>
      <c r="B4" s="9" t="s">
        <v>206</v>
      </c>
      <c r="C4" s="63">
        <v>500</v>
      </c>
      <c r="D4" s="64">
        <v>255</v>
      </c>
      <c r="E4" s="64" t="s">
        <v>31</v>
      </c>
      <c r="F4" s="168" t="s">
        <v>208</v>
      </c>
      <c r="G4">
        <v>2</v>
      </c>
    </row>
    <row r="5" spans="1:8">
      <c r="A5" s="8">
        <v>5</v>
      </c>
      <c r="B5" s="9" t="s">
        <v>362</v>
      </c>
      <c r="C5" s="63">
        <v>495</v>
      </c>
      <c r="D5" s="64">
        <v>0</v>
      </c>
      <c r="E5" s="64" t="s">
        <v>31</v>
      </c>
      <c r="F5" s="168" t="s">
        <v>361</v>
      </c>
    </row>
    <row r="6" spans="1:8">
      <c r="A6" s="8">
        <v>6</v>
      </c>
      <c r="B6" s="1" t="s">
        <v>222</v>
      </c>
      <c r="C6" s="63">
        <v>550</v>
      </c>
      <c r="D6" s="64">
        <v>5</v>
      </c>
      <c r="E6" s="64" t="s">
        <v>31</v>
      </c>
      <c r="F6" s="168" t="s">
        <v>223</v>
      </c>
    </row>
    <row r="7" spans="1:8">
      <c r="A7" s="8">
        <v>7</v>
      </c>
      <c r="B7" s="9" t="s">
        <v>363</v>
      </c>
      <c r="C7" s="63">
        <v>480</v>
      </c>
      <c r="D7" s="64">
        <v>0</v>
      </c>
      <c r="E7" s="64" t="s">
        <v>31</v>
      </c>
      <c r="F7" s="168" t="s">
        <v>202</v>
      </c>
    </row>
    <row r="8" spans="1:8">
      <c r="A8" s="8">
        <v>8</v>
      </c>
      <c r="B8" s="9" t="s">
        <v>320</v>
      </c>
      <c r="C8" s="63">
        <v>255</v>
      </c>
      <c r="D8" s="64">
        <v>300</v>
      </c>
      <c r="E8" s="64" t="s">
        <v>31</v>
      </c>
      <c r="F8" s="168" t="s">
        <v>211</v>
      </c>
    </row>
    <row r="9" spans="1:8">
      <c r="A9" s="8">
        <v>9</v>
      </c>
      <c r="B9" s="9" t="s">
        <v>321</v>
      </c>
      <c r="C9" s="63">
        <v>355</v>
      </c>
      <c r="D9" s="64">
        <v>400</v>
      </c>
      <c r="E9" s="64" t="s">
        <v>31</v>
      </c>
      <c r="F9" s="168" t="s">
        <v>214</v>
      </c>
    </row>
    <row r="10" spans="1:8">
      <c r="A10" s="8">
        <v>10</v>
      </c>
      <c r="B10" s="9" t="s">
        <v>322</v>
      </c>
      <c r="C10" s="63">
        <v>495</v>
      </c>
      <c r="D10" s="64">
        <v>0</v>
      </c>
      <c r="E10" s="64" t="s">
        <v>31</v>
      </c>
      <c r="F10" s="168" t="s">
        <v>216</v>
      </c>
    </row>
    <row r="11" spans="1:8">
      <c r="A11" s="8">
        <v>11</v>
      </c>
      <c r="B11" s="9" t="s">
        <v>401</v>
      </c>
      <c r="C11" s="63">
        <v>255</v>
      </c>
      <c r="D11" s="64">
        <v>300</v>
      </c>
      <c r="E11" s="64" t="s">
        <v>31</v>
      </c>
      <c r="F11" s="168" t="s">
        <v>251</v>
      </c>
    </row>
    <row r="12" spans="1:8">
      <c r="A12" s="8">
        <v>12</v>
      </c>
      <c r="B12" s="9" t="s">
        <v>323</v>
      </c>
      <c r="C12" s="63">
        <v>300</v>
      </c>
      <c r="D12" s="64">
        <v>255</v>
      </c>
      <c r="E12" s="64" t="s">
        <v>31</v>
      </c>
      <c r="F12" s="13" t="s">
        <v>250</v>
      </c>
    </row>
    <row r="13" spans="1:8">
      <c r="A13" s="8">
        <v>13</v>
      </c>
      <c r="B13" s="9" t="s">
        <v>335</v>
      </c>
      <c r="C13" s="63">
        <v>355</v>
      </c>
      <c r="D13" s="64">
        <v>400</v>
      </c>
      <c r="E13" s="64" t="s">
        <v>31</v>
      </c>
      <c r="F13" s="168" t="s">
        <v>336</v>
      </c>
    </row>
    <row r="14" spans="1:8">
      <c r="A14" s="8">
        <v>14</v>
      </c>
      <c r="B14" s="9" t="s">
        <v>346</v>
      </c>
      <c r="C14" s="63">
        <v>250</v>
      </c>
      <c r="D14" s="64">
        <v>305</v>
      </c>
      <c r="E14" s="64" t="s">
        <v>31</v>
      </c>
      <c r="F14" s="13" t="s">
        <v>446</v>
      </c>
      <c r="H14">
        <f>2350/2</f>
        <v>1175</v>
      </c>
    </row>
    <row r="15" spans="1:8">
      <c r="A15" s="8">
        <v>15</v>
      </c>
      <c r="B15" s="1" t="s">
        <v>364</v>
      </c>
      <c r="C15" s="63">
        <f>255+300</f>
        <v>555</v>
      </c>
      <c r="D15" s="64">
        <v>0</v>
      </c>
      <c r="E15" s="64" t="s">
        <v>31</v>
      </c>
      <c r="F15" s="13" t="s">
        <v>233</v>
      </c>
      <c r="H15">
        <v>1300</v>
      </c>
    </row>
    <row r="16" spans="1:8">
      <c r="A16" s="8">
        <v>16</v>
      </c>
      <c r="B16" s="1" t="s">
        <v>365</v>
      </c>
      <c r="C16" s="63">
        <v>300</v>
      </c>
      <c r="D16" s="64">
        <v>255</v>
      </c>
      <c r="E16" s="64" t="s">
        <v>31</v>
      </c>
      <c r="F16" s="168" t="s">
        <v>366</v>
      </c>
      <c r="H16">
        <f>H15*4</f>
        <v>5200</v>
      </c>
    </row>
    <row r="17" spans="1:15">
      <c r="A17" s="8">
        <v>17</v>
      </c>
      <c r="B17" s="9" t="s">
        <v>367</v>
      </c>
      <c r="C17" s="63">
        <v>255</v>
      </c>
      <c r="D17" s="64">
        <v>300</v>
      </c>
      <c r="E17" s="64" t="s">
        <v>31</v>
      </c>
      <c r="F17" s="168" t="s">
        <v>104</v>
      </c>
    </row>
    <row r="18" spans="1:15">
      <c r="A18" s="8">
        <v>18</v>
      </c>
      <c r="B18" s="9" t="s">
        <v>370</v>
      </c>
      <c r="C18" s="63">
        <v>495</v>
      </c>
      <c r="D18" s="64">
        <v>0</v>
      </c>
      <c r="E18" s="64" t="s">
        <v>369</v>
      </c>
      <c r="F18" s="48" t="s">
        <v>211</v>
      </c>
    </row>
    <row r="19" spans="1:15">
      <c r="A19" s="8">
        <v>19</v>
      </c>
      <c r="B19" s="9" t="s">
        <v>371</v>
      </c>
      <c r="C19" s="63">
        <v>250</v>
      </c>
      <c r="D19" s="64">
        <v>250</v>
      </c>
      <c r="E19" s="64" t="s">
        <v>368</v>
      </c>
      <c r="F19" s="48" t="s">
        <v>211</v>
      </c>
    </row>
    <row r="20" spans="1:15">
      <c r="A20" s="8">
        <v>20</v>
      </c>
      <c r="B20" s="9" t="s">
        <v>378</v>
      </c>
      <c r="C20" s="128">
        <v>200</v>
      </c>
      <c r="D20" s="129">
        <v>300</v>
      </c>
      <c r="E20" s="64" t="s">
        <v>375</v>
      </c>
      <c r="F20" s="168" t="s">
        <v>152</v>
      </c>
    </row>
    <row r="21" spans="1:15">
      <c r="A21" s="8">
        <v>21</v>
      </c>
      <c r="B21" s="1" t="s">
        <v>376</v>
      </c>
      <c r="C21" s="128">
        <v>250</v>
      </c>
      <c r="D21" s="129">
        <v>450</v>
      </c>
      <c r="E21" s="64" t="s">
        <v>375</v>
      </c>
      <c r="F21" s="67" t="s">
        <v>129</v>
      </c>
    </row>
    <row r="22" spans="1:15">
      <c r="A22" s="8">
        <v>22</v>
      </c>
      <c r="B22" s="9" t="s">
        <v>377</v>
      </c>
      <c r="C22" s="128">
        <v>250</v>
      </c>
      <c r="D22" s="129">
        <v>250</v>
      </c>
      <c r="E22" s="64" t="s">
        <v>375</v>
      </c>
      <c r="F22" s="67" t="s">
        <v>129</v>
      </c>
    </row>
    <row r="23" spans="1:15">
      <c r="A23" s="8">
        <v>23</v>
      </c>
      <c r="B23" s="130" t="s">
        <v>380</v>
      </c>
      <c r="C23" s="128">
        <v>300</v>
      </c>
      <c r="D23" s="129">
        <v>200</v>
      </c>
      <c r="E23" s="64" t="s">
        <v>379</v>
      </c>
      <c r="F23" s="168" t="s">
        <v>381</v>
      </c>
      <c r="J23" s="68"/>
    </row>
    <row r="24" spans="1:15">
      <c r="A24" s="8">
        <v>24</v>
      </c>
      <c r="B24" s="9" t="s">
        <v>372</v>
      </c>
      <c r="C24" s="128">
        <v>250</v>
      </c>
      <c r="D24" s="129">
        <v>250</v>
      </c>
      <c r="E24" s="64" t="s">
        <v>382</v>
      </c>
      <c r="F24" s="48" t="s">
        <v>211</v>
      </c>
    </row>
    <row r="25" spans="1:15">
      <c r="A25" s="8">
        <v>25</v>
      </c>
      <c r="B25" s="9" t="s">
        <v>373</v>
      </c>
      <c r="C25" s="128">
        <v>555</v>
      </c>
      <c r="D25" s="129">
        <v>0</v>
      </c>
      <c r="E25" s="132" t="s">
        <v>389</v>
      </c>
      <c r="F25" s="168" t="s">
        <v>374</v>
      </c>
    </row>
    <row r="26" spans="1:15">
      <c r="A26" s="8">
        <v>26</v>
      </c>
      <c r="B26" s="9" t="s">
        <v>284</v>
      </c>
      <c r="C26" s="128">
        <v>300</v>
      </c>
      <c r="D26" s="129">
        <v>200</v>
      </c>
      <c r="E26" s="132" t="s">
        <v>389</v>
      </c>
      <c r="F26" s="168" t="s">
        <v>283</v>
      </c>
    </row>
    <row r="27" spans="1:15">
      <c r="A27" s="8">
        <v>27</v>
      </c>
      <c r="B27" s="9" t="s">
        <v>383</v>
      </c>
      <c r="C27" s="128">
        <v>200</v>
      </c>
      <c r="D27" s="129">
        <v>300</v>
      </c>
      <c r="E27" s="64" t="s">
        <v>388</v>
      </c>
      <c r="F27" s="168" t="s">
        <v>384</v>
      </c>
      <c r="L27" s="37"/>
      <c r="M27" s="62"/>
      <c r="O27" s="62"/>
    </row>
    <row r="28" spans="1:15">
      <c r="A28" s="8">
        <v>28</v>
      </c>
      <c r="B28" s="8" t="s">
        <v>391</v>
      </c>
      <c r="C28" s="63">
        <v>255</v>
      </c>
      <c r="D28" s="64">
        <v>300</v>
      </c>
      <c r="E28" s="64" t="s">
        <v>387</v>
      </c>
      <c r="F28" s="168" t="s">
        <v>385</v>
      </c>
      <c r="J28" s="68"/>
      <c r="L28" s="37"/>
      <c r="M28" s="37"/>
      <c r="N28" s="62"/>
    </row>
    <row r="29" spans="1:15">
      <c r="A29" s="8">
        <v>29</v>
      </c>
      <c r="B29" s="9" t="s">
        <v>392</v>
      </c>
      <c r="C29" s="63">
        <v>255</v>
      </c>
      <c r="D29" s="64">
        <v>300</v>
      </c>
      <c r="E29" s="64" t="s">
        <v>387</v>
      </c>
      <c r="F29" s="48" t="s">
        <v>386</v>
      </c>
    </row>
    <row r="30" spans="1:15">
      <c r="A30" s="8">
        <v>30</v>
      </c>
      <c r="B30" s="9" t="s">
        <v>398</v>
      </c>
      <c r="C30" s="63">
        <v>400</v>
      </c>
      <c r="D30" s="64">
        <f>755-C30</f>
        <v>355</v>
      </c>
      <c r="E30" s="64" t="s">
        <v>400</v>
      </c>
      <c r="F30" s="168" t="s">
        <v>399</v>
      </c>
      <c r="G30">
        <v>3</v>
      </c>
    </row>
    <row r="31" spans="1:15">
      <c r="A31" s="8">
        <v>31</v>
      </c>
      <c r="B31" s="9" t="s">
        <v>402</v>
      </c>
      <c r="C31" s="63">
        <v>255</v>
      </c>
      <c r="D31" s="64">
        <v>300</v>
      </c>
      <c r="E31" s="135" t="s">
        <v>404</v>
      </c>
      <c r="F31" s="168" t="s">
        <v>405</v>
      </c>
      <c r="J31" s="68"/>
      <c r="M31" s="62"/>
      <c r="O31" s="37"/>
    </row>
    <row r="32" spans="1:15">
      <c r="A32" s="8">
        <v>32</v>
      </c>
      <c r="B32" s="9" t="s">
        <v>403</v>
      </c>
      <c r="C32" s="63">
        <v>255</v>
      </c>
      <c r="D32" s="64">
        <v>300</v>
      </c>
      <c r="E32" s="132" t="s">
        <v>404</v>
      </c>
      <c r="F32" s="168" t="s">
        <v>211</v>
      </c>
      <c r="O32" s="62"/>
    </row>
    <row r="33" spans="1:15">
      <c r="A33" s="8">
        <v>33</v>
      </c>
      <c r="B33" s="9" t="s">
        <v>408</v>
      </c>
      <c r="C33" s="63">
        <v>300</v>
      </c>
      <c r="D33" s="64">
        <v>200</v>
      </c>
      <c r="E33" s="64" t="s">
        <v>407</v>
      </c>
      <c r="F33" s="168" t="s">
        <v>406</v>
      </c>
    </row>
    <row r="34" spans="1:15">
      <c r="A34" s="8">
        <v>34</v>
      </c>
      <c r="B34" s="9" t="s">
        <v>424</v>
      </c>
      <c r="C34" s="63">
        <v>255</v>
      </c>
      <c r="D34" s="64">
        <v>300</v>
      </c>
      <c r="E34" s="64" t="s">
        <v>423</v>
      </c>
      <c r="F34" s="168" t="s">
        <v>422</v>
      </c>
    </row>
    <row r="35" spans="1:15">
      <c r="A35" s="8">
        <v>35</v>
      </c>
      <c r="B35" s="9" t="s">
        <v>0</v>
      </c>
      <c r="C35" s="63">
        <v>0</v>
      </c>
      <c r="D35" s="64">
        <v>0</v>
      </c>
      <c r="E35" s="64"/>
      <c r="F35" s="168" t="s">
        <v>37</v>
      </c>
      <c r="H35" s="69"/>
      <c r="L35" s="37"/>
      <c r="O35" s="62"/>
    </row>
    <row r="36" spans="1:15">
      <c r="A36" s="8">
        <v>36</v>
      </c>
      <c r="B36" s="9" t="s">
        <v>136</v>
      </c>
      <c r="C36" s="63">
        <v>0</v>
      </c>
      <c r="D36" s="64">
        <v>0</v>
      </c>
      <c r="E36" s="64"/>
      <c r="F36" s="168" t="s">
        <v>37</v>
      </c>
      <c r="G36">
        <v>4</v>
      </c>
      <c r="O36" s="37"/>
    </row>
    <row r="37" spans="1:15">
      <c r="A37" s="8">
        <v>37</v>
      </c>
      <c r="B37" s="8" t="s">
        <v>436</v>
      </c>
      <c r="C37" s="63">
        <v>0</v>
      </c>
      <c r="D37" s="64">
        <v>555</v>
      </c>
      <c r="E37" s="64" t="s">
        <v>437</v>
      </c>
      <c r="F37" s="67" t="s">
        <v>438</v>
      </c>
    </row>
    <row r="38" spans="1:15">
      <c r="A38" s="8">
        <v>38</v>
      </c>
      <c r="B38" s="8" t="s">
        <v>443</v>
      </c>
      <c r="C38" s="63">
        <v>0</v>
      </c>
      <c r="D38" s="64">
        <v>555</v>
      </c>
      <c r="E38" s="64" t="s">
        <v>437</v>
      </c>
      <c r="F38" s="67" t="s">
        <v>444</v>
      </c>
    </row>
    <row r="39" spans="1:15">
      <c r="A39" s="8">
        <v>39</v>
      </c>
      <c r="B39" s="8" t="s">
        <v>445</v>
      </c>
      <c r="C39" s="63">
        <v>0</v>
      </c>
      <c r="D39" s="64">
        <v>555</v>
      </c>
      <c r="E39" s="64" t="s">
        <v>437</v>
      </c>
      <c r="F39" s="67" t="s">
        <v>211</v>
      </c>
    </row>
    <row r="40" spans="1:15">
      <c r="A40" s="8">
        <v>40</v>
      </c>
      <c r="B40" s="8"/>
      <c r="C40" s="63">
        <v>0</v>
      </c>
      <c r="D40" s="64">
        <v>0</v>
      </c>
      <c r="E40" s="64"/>
      <c r="F40" s="8"/>
    </row>
    <row r="41" spans="1:15">
      <c r="A41" s="8">
        <v>41</v>
      </c>
      <c r="B41" s="8"/>
      <c r="C41" s="63">
        <v>0</v>
      </c>
      <c r="D41" s="64">
        <v>0</v>
      </c>
      <c r="E41" s="64"/>
      <c r="F41" s="8"/>
      <c r="H41" s="44"/>
      <c r="I41" s="2"/>
      <c r="L41" s="37"/>
      <c r="M41" s="62"/>
      <c r="O41" s="62"/>
    </row>
    <row r="42" spans="1:15">
      <c r="A42" s="8">
        <v>42</v>
      </c>
      <c r="B42" s="8"/>
      <c r="C42" s="63">
        <v>0</v>
      </c>
      <c r="D42" s="64">
        <v>0</v>
      </c>
      <c r="E42" s="64"/>
      <c r="F42" s="8"/>
      <c r="H42" s="44"/>
      <c r="I42" s="2"/>
      <c r="L42" s="37"/>
      <c r="M42" s="37"/>
      <c r="N42" s="62"/>
    </row>
    <row r="43" spans="1:15">
      <c r="A43" s="8">
        <v>43</v>
      </c>
      <c r="B43" s="159" t="s">
        <v>57</v>
      </c>
      <c r="C43" s="160">
        <v>0</v>
      </c>
      <c r="D43" s="161">
        <v>0</v>
      </c>
      <c r="E43" s="161"/>
      <c r="F43" s="159"/>
      <c r="H43" s="44"/>
      <c r="I43" s="2"/>
    </row>
    <row r="44" spans="1:15">
      <c r="A44" s="8">
        <v>44</v>
      </c>
      <c r="B44" s="159" t="s">
        <v>56</v>
      </c>
      <c r="C44" s="160">
        <v>0</v>
      </c>
      <c r="D44" s="161">
        <v>0</v>
      </c>
      <c r="E44" s="161"/>
      <c r="F44" s="159"/>
      <c r="H44" s="37"/>
      <c r="I44" s="2"/>
    </row>
    <row r="45" spans="1:15">
      <c r="C45" s="37">
        <f>SUM(C1:C44)</f>
        <v>11735</v>
      </c>
      <c r="D45" s="62">
        <f>SUM(D1:D44)</f>
        <v>9250</v>
      </c>
      <c r="E45" s="62"/>
      <c r="H45" s="62"/>
      <c r="I45" s="2"/>
    </row>
    <row r="46" spans="1:15">
      <c r="C46" s="615">
        <f>C45+D45</f>
        <v>20985</v>
      </c>
      <c r="D46" s="616"/>
      <c r="E46" s="133"/>
      <c r="H46" s="44"/>
      <c r="I46" s="2"/>
    </row>
    <row r="47" spans="1:15">
      <c r="H47" s="62"/>
      <c r="I47" s="2"/>
      <c r="O47" s="62"/>
    </row>
    <row r="48" spans="1:15">
      <c r="B48" s="67" t="s">
        <v>262</v>
      </c>
      <c r="C48" s="63">
        <v>5700</v>
      </c>
      <c r="D48" s="8">
        <v>1</v>
      </c>
      <c r="E48" s="63">
        <f>(D48*C48)</f>
        <v>5700</v>
      </c>
      <c r="H48" s="62"/>
      <c r="I48" s="2"/>
      <c r="L48" s="69"/>
      <c r="M48" s="37"/>
    </row>
    <row r="49" spans="2:16">
      <c r="B49" s="67" t="s">
        <v>311</v>
      </c>
      <c r="C49" s="63">
        <f>(2*250)+(50)+350</f>
        <v>900</v>
      </c>
      <c r="D49" s="8">
        <v>0</v>
      </c>
      <c r="E49" s="63">
        <f>C49</f>
        <v>900</v>
      </c>
      <c r="H49" s="62"/>
      <c r="I49" s="2"/>
      <c r="L49" s="69"/>
      <c r="M49" s="37"/>
    </row>
    <row r="50" spans="2:16">
      <c r="B50" s="67" t="s">
        <v>263</v>
      </c>
      <c r="C50" s="63">
        <f>300-(300*10%)</f>
        <v>270</v>
      </c>
      <c r="D50" s="8">
        <v>35</v>
      </c>
      <c r="E50" s="63">
        <f>D50*C50</f>
        <v>9450</v>
      </c>
      <c r="H50" s="37"/>
      <c r="I50" s="2"/>
      <c r="L50" s="69"/>
      <c r="M50" s="37"/>
    </row>
    <row r="51" spans="2:16">
      <c r="B51" s="67" t="s">
        <v>264</v>
      </c>
      <c r="C51" s="63">
        <f>500-(500*10%)</f>
        <v>450</v>
      </c>
      <c r="D51" s="8">
        <v>4</v>
      </c>
      <c r="E51" s="63">
        <f>D51*C51</f>
        <v>1800</v>
      </c>
      <c r="H51" s="62"/>
      <c r="I51" s="2"/>
      <c r="L51" s="69"/>
      <c r="M51" s="37"/>
    </row>
    <row r="52" spans="2:16">
      <c r="B52" s="67" t="s">
        <v>266</v>
      </c>
      <c r="C52" s="8"/>
      <c r="D52" s="8">
        <f>D51+D50</f>
        <v>39</v>
      </c>
      <c r="E52" s="63">
        <f>E51+E50</f>
        <v>11250</v>
      </c>
      <c r="H52" s="62"/>
      <c r="O52" s="37"/>
    </row>
    <row r="53" spans="2:16" ht="15.75" thickBot="1">
      <c r="B53" s="67" t="s">
        <v>265</v>
      </c>
      <c r="C53" s="8"/>
      <c r="D53" s="8"/>
      <c r="E53" s="65">
        <f>E52+E48+E49</f>
        <v>17850</v>
      </c>
      <c r="L53" s="37"/>
      <c r="N53" s="69"/>
      <c r="O53" s="37"/>
      <c r="P53" s="62"/>
    </row>
    <row r="54" spans="2:16" ht="15.75" thickBot="1">
      <c r="B54" s="617" t="s">
        <v>7</v>
      </c>
      <c r="C54" s="618"/>
      <c r="D54" s="619"/>
      <c r="E54" s="66">
        <f>C46-E53</f>
        <v>3135</v>
      </c>
      <c r="H54" s="62"/>
      <c r="L54" s="62"/>
      <c r="N54" s="69"/>
      <c r="O54" s="37"/>
      <c r="P54" s="62"/>
    </row>
    <row r="55" spans="2:16">
      <c r="N55" s="70"/>
      <c r="O55" s="37"/>
      <c r="P55" s="62"/>
    </row>
    <row r="56" spans="2:16">
      <c r="N56" s="69"/>
      <c r="O56" s="37"/>
      <c r="P56" s="62"/>
    </row>
    <row r="57" spans="2:16">
      <c r="N57" s="70"/>
      <c r="O57" s="37"/>
      <c r="P57" s="62"/>
    </row>
    <row r="58" spans="2:16">
      <c r="N58" s="71"/>
      <c r="O58" s="37"/>
      <c r="P58" s="62"/>
    </row>
    <row r="59" spans="2:16">
      <c r="N59" s="69"/>
      <c r="O59" s="37"/>
      <c r="P59" s="62"/>
    </row>
    <row r="60" spans="2:16">
      <c r="N60" s="70"/>
      <c r="O60" s="37"/>
      <c r="P60" s="62"/>
    </row>
    <row r="66" spans="12:12" ht="18.75">
      <c r="L66" s="72"/>
    </row>
  </sheetData>
  <mergeCells count="2">
    <mergeCell ref="C46:D46"/>
    <mergeCell ref="B54:D5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1"/>
  <sheetViews>
    <sheetView topLeftCell="A24" workbookViewId="0">
      <selection activeCell="B44" sqref="B28:B44"/>
    </sheetView>
  </sheetViews>
  <sheetFormatPr baseColWidth="10" defaultRowHeight="15"/>
  <cols>
    <col min="1" max="1" width="13.140625" bestFit="1" customWidth="1"/>
    <col min="2" max="2" width="27" bestFit="1" customWidth="1"/>
    <col min="3" max="3" width="11.5703125" bestFit="1" customWidth="1"/>
    <col min="5" max="5" width="12.28515625" bestFit="1" customWidth="1"/>
    <col min="6" max="6" width="11.5703125" bestFit="1" customWidth="1"/>
    <col min="11" max="11" width="11.5703125" bestFit="1" customWidth="1"/>
  </cols>
  <sheetData>
    <row r="1" spans="1:10">
      <c r="A1" t="s">
        <v>425</v>
      </c>
      <c r="B1" s="37">
        <v>585</v>
      </c>
    </row>
    <row r="2" spans="1:10">
      <c r="A2" t="s">
        <v>426</v>
      </c>
      <c r="B2" s="37">
        <v>585</v>
      </c>
      <c r="D2" t="s">
        <v>428</v>
      </c>
    </row>
    <row r="3" spans="1:10">
      <c r="A3" t="s">
        <v>427</v>
      </c>
      <c r="B3" s="37">
        <f xml:space="preserve"> 4209/4</f>
        <v>1052.25</v>
      </c>
      <c r="H3" t="s">
        <v>525</v>
      </c>
    </row>
    <row r="4" spans="1:10">
      <c r="A4" s="170" t="s">
        <v>350</v>
      </c>
      <c r="B4" s="171">
        <f>SUM(B1:B3)</f>
        <v>2222.25</v>
      </c>
      <c r="D4" s="62"/>
    </row>
    <row r="5" spans="1:10">
      <c r="B5" s="62"/>
    </row>
    <row r="6" spans="1:10">
      <c r="A6">
        <v>11</v>
      </c>
      <c r="B6" t="s">
        <v>455</v>
      </c>
      <c r="D6">
        <f>13000/4</f>
        <v>3250</v>
      </c>
    </row>
    <row r="7" spans="1:10">
      <c r="A7">
        <v>2350</v>
      </c>
      <c r="B7" s="62" t="s">
        <v>457</v>
      </c>
      <c r="D7">
        <f>585*24</f>
        <v>14040</v>
      </c>
    </row>
    <row r="8" spans="1:10">
      <c r="A8">
        <f>A7*A6</f>
        <v>25850</v>
      </c>
      <c r="B8" t="s">
        <v>459</v>
      </c>
      <c r="D8">
        <f>16000/16</f>
        <v>1000</v>
      </c>
      <c r="J8">
        <f>2800/4</f>
        <v>700</v>
      </c>
    </row>
    <row r="9" spans="1:10">
      <c r="A9">
        <v>16000</v>
      </c>
      <c r="B9" t="s">
        <v>458</v>
      </c>
    </row>
    <row r="10" spans="1:10">
      <c r="A10">
        <f>A8-A9</f>
        <v>9850</v>
      </c>
      <c r="B10" t="s">
        <v>461</v>
      </c>
      <c r="J10" t="s">
        <v>454</v>
      </c>
    </row>
    <row r="11" spans="1:10">
      <c r="A11">
        <v>5000</v>
      </c>
      <c r="B11" t="s">
        <v>460</v>
      </c>
      <c r="J11" t="s">
        <v>456</v>
      </c>
    </row>
    <row r="12" spans="1:10">
      <c r="A12" s="37">
        <f>A10-A11</f>
        <v>4850</v>
      </c>
      <c r="B12" t="s">
        <v>462</v>
      </c>
      <c r="F12" s="37">
        <v>19000</v>
      </c>
      <c r="J12">
        <f>20000/14</f>
        <v>1428.5714285714287</v>
      </c>
    </row>
    <row r="13" spans="1:10">
      <c r="A13" s="37">
        <f>A12+(2300*3)</f>
        <v>11750</v>
      </c>
      <c r="B13" t="s">
        <v>463</v>
      </c>
      <c r="F13" s="37">
        <f>100*100</f>
        <v>10000</v>
      </c>
    </row>
    <row r="14" spans="1:10">
      <c r="F14" s="37">
        <f>100*100</f>
        <v>10000</v>
      </c>
    </row>
    <row r="15" spans="1:10">
      <c r="F15" s="37">
        <f>100*100</f>
        <v>10000</v>
      </c>
    </row>
    <row r="16" spans="1:10">
      <c r="F16" s="62">
        <f>30000-F12</f>
        <v>11000</v>
      </c>
    </row>
    <row r="18" spans="1:9">
      <c r="B18" t="s">
        <v>468</v>
      </c>
      <c r="C18" s="37">
        <v>2455</v>
      </c>
      <c r="D18" s="37">
        <v>2352</v>
      </c>
      <c r="I18">
        <v>555</v>
      </c>
    </row>
    <row r="19" spans="1:9">
      <c r="B19" t="s">
        <v>467</v>
      </c>
      <c r="C19" s="37">
        <v>2600</v>
      </c>
      <c r="D19" s="37">
        <v>2355</v>
      </c>
      <c r="I19" s="146">
        <v>6.3E-2</v>
      </c>
    </row>
    <row r="20" spans="1:9">
      <c r="B20" t="s">
        <v>464</v>
      </c>
      <c r="C20" s="37">
        <v>2700</v>
      </c>
      <c r="D20" s="37">
        <v>2352</v>
      </c>
      <c r="I20">
        <f>I18*I19</f>
        <v>34.965000000000003</v>
      </c>
    </row>
    <row r="21" spans="1:9">
      <c r="B21" t="s">
        <v>466</v>
      </c>
      <c r="C21" s="37">
        <v>2790</v>
      </c>
      <c r="D21" s="37">
        <v>2353</v>
      </c>
      <c r="I21">
        <f>I18+I20</f>
        <v>589.96500000000003</v>
      </c>
    </row>
    <row r="22" spans="1:9">
      <c r="B22" t="s">
        <v>465</v>
      </c>
      <c r="C22" s="37">
        <v>2870</v>
      </c>
      <c r="D22" s="37">
        <v>2352</v>
      </c>
    </row>
    <row r="23" spans="1:9">
      <c r="H23">
        <v>120</v>
      </c>
    </row>
    <row r="24" spans="1:9">
      <c r="H24">
        <v>35</v>
      </c>
    </row>
    <row r="25" spans="1:9">
      <c r="H25">
        <v>180</v>
      </c>
    </row>
    <row r="26" spans="1:9">
      <c r="B26">
        <f>C26-A9</f>
        <v>1700</v>
      </c>
      <c r="C26">
        <v>17700</v>
      </c>
      <c r="D26">
        <f>C26-C27</f>
        <v>4825</v>
      </c>
      <c r="H26" s="37">
        <v>60</v>
      </c>
    </row>
    <row r="27" spans="1:9">
      <c r="C27">
        <v>12875</v>
      </c>
      <c r="H27">
        <v>105</v>
      </c>
    </row>
    <row r="28" spans="1:9">
      <c r="A28" s="81">
        <v>1</v>
      </c>
      <c r="B28" s="81" t="s">
        <v>523</v>
      </c>
      <c r="C28" s="82">
        <f>1200+1200</f>
        <v>2400</v>
      </c>
      <c r="D28" s="82">
        <v>0</v>
      </c>
      <c r="E28" s="81" t="s">
        <v>524</v>
      </c>
      <c r="H28">
        <v>60</v>
      </c>
    </row>
    <row r="29" spans="1:9">
      <c r="A29" s="81">
        <v>2</v>
      </c>
      <c r="B29" s="81" t="s">
        <v>636</v>
      </c>
      <c r="C29" s="82">
        <f>500+1850</f>
        <v>2350</v>
      </c>
      <c r="D29" s="82">
        <f>2350-C29</f>
        <v>0</v>
      </c>
      <c r="E29" s="81" t="s">
        <v>616</v>
      </c>
      <c r="H29">
        <v>180</v>
      </c>
    </row>
    <row r="30" spans="1:9">
      <c r="A30" s="81">
        <v>3</v>
      </c>
      <c r="B30" s="81" t="s">
        <v>617</v>
      </c>
      <c r="C30" s="82">
        <v>2000</v>
      </c>
      <c r="D30" s="82">
        <v>0</v>
      </c>
      <c r="E30" s="81" t="s">
        <v>409</v>
      </c>
      <c r="H30">
        <v>70</v>
      </c>
    </row>
    <row r="31" spans="1:9">
      <c r="A31" s="81">
        <v>4</v>
      </c>
      <c r="B31" s="81" t="s">
        <v>548</v>
      </c>
      <c r="C31" s="82">
        <f>500+1200</f>
        <v>1700</v>
      </c>
      <c r="D31" s="82">
        <f>2350-C31</f>
        <v>650</v>
      </c>
      <c r="E31" s="81" t="s">
        <v>547</v>
      </c>
      <c r="H31">
        <v>80</v>
      </c>
    </row>
    <row r="32" spans="1:9">
      <c r="A32" s="184">
        <v>5</v>
      </c>
      <c r="B32" s="184" t="s">
        <v>612</v>
      </c>
      <c r="C32" s="172">
        <v>2350</v>
      </c>
      <c r="D32" s="172">
        <v>0</v>
      </c>
      <c r="E32" s="184" t="s">
        <v>238</v>
      </c>
      <c r="G32">
        <f>2350/2</f>
        <v>1175</v>
      </c>
      <c r="H32">
        <v>180</v>
      </c>
    </row>
    <row r="33" spans="1:13">
      <c r="A33" s="184">
        <v>6</v>
      </c>
      <c r="B33" s="184" t="s">
        <v>623</v>
      </c>
      <c r="C33" s="172">
        <f>1200+1150</f>
        <v>2350</v>
      </c>
      <c r="D33" s="172">
        <f>2350-C33</f>
        <v>0</v>
      </c>
      <c r="E33" s="184" t="s">
        <v>624</v>
      </c>
      <c r="G33">
        <f>2350/2</f>
        <v>1175</v>
      </c>
      <c r="H33">
        <v>10</v>
      </c>
    </row>
    <row r="34" spans="1:13">
      <c r="A34" s="184">
        <v>7</v>
      </c>
      <c r="B34" s="184" t="s">
        <v>625</v>
      </c>
      <c r="C34" s="172">
        <f>1175+1175</f>
        <v>2350</v>
      </c>
      <c r="D34" s="172">
        <f>2350-C34</f>
        <v>0</v>
      </c>
      <c r="E34" s="184" t="s">
        <v>632</v>
      </c>
      <c r="G34">
        <f>2350/2</f>
        <v>1175</v>
      </c>
      <c r="H34">
        <v>60</v>
      </c>
    </row>
    <row r="35" spans="1:13">
      <c r="A35" s="239">
        <v>8</v>
      </c>
      <c r="B35" s="239" t="s">
        <v>609</v>
      </c>
      <c r="C35" s="240">
        <v>1550</v>
      </c>
      <c r="D35" s="172"/>
      <c r="E35" s="184"/>
      <c r="H35">
        <v>35</v>
      </c>
      <c r="L35" t="s">
        <v>618</v>
      </c>
      <c r="M35" s="37">
        <v>5900</v>
      </c>
    </row>
    <row r="36" spans="1:13">
      <c r="A36" s="206">
        <v>9</v>
      </c>
      <c r="B36" s="206" t="s">
        <v>639</v>
      </c>
      <c r="C36" s="207">
        <f>SUM(C28:C35)</f>
        <v>17050</v>
      </c>
      <c r="D36" s="207">
        <f>SUM(D28:D35)</f>
        <v>650</v>
      </c>
      <c r="E36" s="206"/>
      <c r="H36">
        <v>60</v>
      </c>
      <c r="I36">
        <v>1235</v>
      </c>
      <c r="L36" t="s">
        <v>600</v>
      </c>
      <c r="M36" s="37">
        <v>2350</v>
      </c>
    </row>
    <row r="37" spans="1:13">
      <c r="A37" s="206">
        <v>10</v>
      </c>
      <c r="B37" s="206" t="s">
        <v>640</v>
      </c>
      <c r="C37" s="208">
        <f>C36+D36</f>
        <v>17700</v>
      </c>
      <c r="D37" s="208"/>
      <c r="E37" s="206"/>
      <c r="I37">
        <v>300</v>
      </c>
    </row>
    <row r="38" spans="1:13">
      <c r="A38" s="206">
        <v>11</v>
      </c>
      <c r="B38" s="206" t="s">
        <v>641</v>
      </c>
      <c r="C38" s="206"/>
      <c r="D38" s="206"/>
      <c r="E38" s="206"/>
      <c r="G38" t="s">
        <v>685</v>
      </c>
    </row>
    <row r="39" spans="1:13">
      <c r="A39" s="206">
        <v>12</v>
      </c>
      <c r="B39" s="206" t="s">
        <v>641</v>
      </c>
      <c r="C39" s="208"/>
      <c r="D39" s="208"/>
      <c r="E39" s="206"/>
      <c r="G39" t="s">
        <v>686</v>
      </c>
    </row>
    <row r="40" spans="1:13">
      <c r="A40" s="88">
        <v>13</v>
      </c>
      <c r="B40" s="88">
        <v>1</v>
      </c>
      <c r="C40" s="88"/>
      <c r="D40" s="88"/>
      <c r="E40" s="88"/>
    </row>
    <row r="41" spans="1:13">
      <c r="A41" s="88">
        <v>14</v>
      </c>
      <c r="B41" s="88">
        <v>2</v>
      </c>
      <c r="C41" s="88"/>
      <c r="D41" s="88"/>
      <c r="E41" s="88"/>
      <c r="G41" s="238">
        <v>18300</v>
      </c>
    </row>
    <row r="42" spans="1:13">
      <c r="A42" s="236">
        <v>15</v>
      </c>
      <c r="B42" s="236"/>
      <c r="C42" s="236"/>
      <c r="D42" s="236"/>
      <c r="E42" s="236"/>
      <c r="J42">
        <v>5900</v>
      </c>
    </row>
    <row r="43" spans="1:13">
      <c r="A43" s="236">
        <v>16</v>
      </c>
      <c r="B43" s="236"/>
      <c r="C43" s="237"/>
      <c r="D43" s="236"/>
      <c r="E43" s="236"/>
      <c r="G43">
        <v>19850</v>
      </c>
      <c r="J43">
        <v>9673</v>
      </c>
    </row>
    <row r="44" spans="1:13">
      <c r="A44" s="234">
        <v>17</v>
      </c>
      <c r="B44" s="234"/>
      <c r="C44" s="234"/>
      <c r="D44" s="234"/>
      <c r="E44" s="234"/>
      <c r="J44">
        <v>4400</v>
      </c>
    </row>
    <row r="45" spans="1:13">
      <c r="A45" s="234"/>
      <c r="B45" s="234"/>
      <c r="C45" s="234"/>
      <c r="D45" s="234"/>
      <c r="E45" s="234"/>
    </row>
    <row r="46" spans="1:13">
      <c r="A46" s="234">
        <v>19</v>
      </c>
      <c r="B46" s="234"/>
      <c r="C46" s="234"/>
      <c r="D46" s="234"/>
      <c r="E46" s="234"/>
    </row>
    <row r="47" spans="1:13">
      <c r="A47" s="234">
        <v>20</v>
      </c>
      <c r="B47" s="234"/>
      <c r="C47" s="234"/>
      <c r="D47" s="234"/>
      <c r="E47" s="234"/>
    </row>
    <row r="51" spans="12:12">
      <c r="L51">
        <f>I36-I37</f>
        <v>935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88"/>
  <sheetViews>
    <sheetView topLeftCell="A43" workbookViewId="0">
      <selection activeCell="E61" sqref="E61"/>
    </sheetView>
  </sheetViews>
  <sheetFormatPr baseColWidth="10" defaultRowHeight="15"/>
  <cols>
    <col min="1" max="1" width="3" bestFit="1" customWidth="1"/>
    <col min="2" max="2" width="29.7109375" bestFit="1" customWidth="1"/>
    <col min="3" max="4" width="11.5703125" bestFit="1" customWidth="1"/>
    <col min="5" max="5" width="14.28515625" customWidth="1"/>
    <col min="6" max="6" width="13.7109375" bestFit="1" customWidth="1"/>
    <col min="7" max="7" width="2.28515625" bestFit="1" customWidth="1"/>
    <col min="8" max="8" width="11.5703125" bestFit="1" customWidth="1"/>
    <col min="11" max="11" width="11.85546875" bestFit="1" customWidth="1"/>
    <col min="12" max="15" width="11.5703125" bestFit="1" customWidth="1"/>
  </cols>
  <sheetData>
    <row r="1" spans="1:7">
      <c r="A1" s="8">
        <v>1</v>
      </c>
      <c r="B1" s="8" t="s">
        <v>634</v>
      </c>
      <c r="C1" s="63">
        <v>255</v>
      </c>
      <c r="D1" s="64">
        <f>565-C1</f>
        <v>310</v>
      </c>
      <c r="E1" s="64" t="s">
        <v>635</v>
      </c>
      <c r="F1" s="48" t="s">
        <v>633</v>
      </c>
    </row>
    <row r="2" spans="1:7">
      <c r="A2" s="8">
        <v>2</v>
      </c>
      <c r="B2" s="8" t="s">
        <v>615</v>
      </c>
      <c r="C2" s="63">
        <f>355-155</f>
        <v>200</v>
      </c>
      <c r="D2" s="64"/>
      <c r="E2" s="64" t="s">
        <v>613</v>
      </c>
      <c r="F2" s="48" t="s">
        <v>614</v>
      </c>
    </row>
    <row r="3" spans="1:7">
      <c r="A3" s="8">
        <v>3</v>
      </c>
      <c r="B3" s="8" t="s">
        <v>611</v>
      </c>
      <c r="C3" s="63">
        <v>600</v>
      </c>
      <c r="D3" s="64">
        <f>755-C3</f>
        <v>155</v>
      </c>
      <c r="E3" s="64" t="s">
        <v>610</v>
      </c>
      <c r="F3" s="64" t="s">
        <v>608</v>
      </c>
      <c r="G3" s="169" t="s">
        <v>187</v>
      </c>
    </row>
    <row r="4" spans="1:7">
      <c r="A4" s="8">
        <v>4</v>
      </c>
      <c r="B4" s="8" t="s">
        <v>592</v>
      </c>
      <c r="C4" s="63">
        <v>255</v>
      </c>
      <c r="D4" s="64">
        <v>310</v>
      </c>
      <c r="E4" s="64" t="s">
        <v>584</v>
      </c>
      <c r="F4" s="48" t="s">
        <v>591</v>
      </c>
    </row>
    <row r="5" spans="1:7">
      <c r="A5" s="8">
        <v>5</v>
      </c>
      <c r="B5" s="265" t="s">
        <v>203</v>
      </c>
      <c r="C5" s="262">
        <v>655</v>
      </c>
      <c r="D5" s="263">
        <v>0</v>
      </c>
      <c r="E5" s="263" t="s">
        <v>393</v>
      </c>
      <c r="F5" s="266" t="s">
        <v>217</v>
      </c>
      <c r="G5" s="267" t="s">
        <v>187</v>
      </c>
    </row>
    <row r="6" spans="1:7">
      <c r="A6" s="8">
        <v>6</v>
      </c>
      <c r="B6" s="9" t="s">
        <v>453</v>
      </c>
      <c r="C6" s="63">
        <v>505</v>
      </c>
      <c r="D6" s="64">
        <v>250</v>
      </c>
      <c r="E6" s="64" t="s">
        <v>452</v>
      </c>
      <c r="F6" s="48" t="s">
        <v>451</v>
      </c>
      <c r="G6" s="169" t="s">
        <v>187</v>
      </c>
    </row>
    <row r="7" spans="1:7">
      <c r="A7" s="8">
        <v>7</v>
      </c>
      <c r="B7" s="9" t="s">
        <v>483</v>
      </c>
      <c r="C7" s="63">
        <v>300</v>
      </c>
      <c r="D7" s="64">
        <f>565-C7</f>
        <v>265</v>
      </c>
      <c r="E7" s="64" t="s">
        <v>484</v>
      </c>
      <c r="F7" s="48" t="s">
        <v>283</v>
      </c>
    </row>
    <row r="8" spans="1:7">
      <c r="A8" s="8">
        <v>8</v>
      </c>
      <c r="B8" s="9" t="s">
        <v>372</v>
      </c>
      <c r="C8" s="63">
        <v>300</v>
      </c>
      <c r="D8" s="64">
        <v>265</v>
      </c>
      <c r="E8" s="64" t="s">
        <v>485</v>
      </c>
      <c r="F8" s="48" t="s">
        <v>211</v>
      </c>
    </row>
    <row r="9" spans="1:7">
      <c r="A9" s="8">
        <v>9</v>
      </c>
      <c r="B9" s="9" t="s">
        <v>488</v>
      </c>
      <c r="C9" s="63">
        <v>250</v>
      </c>
      <c r="D9" s="64">
        <f>565-C9</f>
        <v>315</v>
      </c>
      <c r="E9" s="64" t="s">
        <v>487</v>
      </c>
      <c r="F9" s="48" t="s">
        <v>486</v>
      </c>
    </row>
    <row r="10" spans="1:7">
      <c r="A10" s="8">
        <v>10</v>
      </c>
      <c r="B10" s="9" t="s">
        <v>489</v>
      </c>
      <c r="C10" s="63">
        <v>250</v>
      </c>
      <c r="D10" s="64">
        <v>315</v>
      </c>
      <c r="E10" s="64" t="s">
        <v>487</v>
      </c>
      <c r="F10" s="48" t="s">
        <v>211</v>
      </c>
    </row>
    <row r="11" spans="1:7">
      <c r="A11" s="8">
        <v>11</v>
      </c>
      <c r="B11" s="9" t="s">
        <v>490</v>
      </c>
      <c r="C11" s="63">
        <v>300</v>
      </c>
      <c r="D11" s="64">
        <f>565-C11</f>
        <v>265</v>
      </c>
      <c r="E11" s="169" t="s">
        <v>492</v>
      </c>
      <c r="F11" s="64" t="s">
        <v>491</v>
      </c>
    </row>
    <row r="12" spans="1:7">
      <c r="A12" s="8">
        <v>12</v>
      </c>
      <c r="B12" s="9" t="s">
        <v>499</v>
      </c>
      <c r="C12" s="63">
        <v>300</v>
      </c>
      <c r="D12" s="64">
        <v>265</v>
      </c>
      <c r="E12" s="64" t="s">
        <v>500</v>
      </c>
      <c r="F12" s="48" t="s">
        <v>211</v>
      </c>
    </row>
    <row r="13" spans="1:7">
      <c r="A13" s="8">
        <v>13</v>
      </c>
      <c r="B13" s="9" t="s">
        <v>513</v>
      </c>
      <c r="C13" s="63">
        <v>265</v>
      </c>
      <c r="D13" s="64">
        <v>300</v>
      </c>
      <c r="E13" s="64" t="s">
        <v>511</v>
      </c>
      <c r="F13" s="1" t="s">
        <v>512</v>
      </c>
    </row>
    <row r="14" spans="1:7">
      <c r="A14" s="8">
        <v>14</v>
      </c>
      <c r="B14" s="9" t="s">
        <v>514</v>
      </c>
      <c r="C14" s="63">
        <v>265</v>
      </c>
      <c r="D14" s="64">
        <v>300</v>
      </c>
      <c r="E14" s="64" t="s">
        <v>515</v>
      </c>
      <c r="F14" s="1" t="s">
        <v>211</v>
      </c>
    </row>
    <row r="15" spans="1:7">
      <c r="A15" s="8">
        <v>15</v>
      </c>
      <c r="B15" s="9" t="s">
        <v>526</v>
      </c>
      <c r="C15" s="63">
        <f>365+200</f>
        <v>565</v>
      </c>
      <c r="D15" s="64">
        <f>565-C15</f>
        <v>0</v>
      </c>
      <c r="E15" s="64" t="s">
        <v>527</v>
      </c>
      <c r="F15" s="48" t="s">
        <v>528</v>
      </c>
    </row>
    <row r="16" spans="1:7">
      <c r="A16" s="8">
        <v>16</v>
      </c>
      <c r="B16" s="9" t="s">
        <v>654</v>
      </c>
      <c r="C16" s="63">
        <f>565/2</f>
        <v>282.5</v>
      </c>
      <c r="D16" s="64">
        <f>555-C16</f>
        <v>272.5</v>
      </c>
      <c r="E16" s="64" t="s">
        <v>501</v>
      </c>
      <c r="F16" s="1" t="s">
        <v>508</v>
      </c>
    </row>
    <row r="17" spans="1:15">
      <c r="A17" s="8">
        <v>17</v>
      </c>
      <c r="B17" s="9" t="s">
        <v>507</v>
      </c>
      <c r="C17" s="63">
        <v>282.5</v>
      </c>
      <c r="D17" s="64">
        <v>272.5</v>
      </c>
      <c r="E17" s="64" t="s">
        <v>501</v>
      </c>
      <c r="F17" s="1" t="s">
        <v>508</v>
      </c>
    </row>
    <row r="18" spans="1:15">
      <c r="A18" s="8">
        <v>18</v>
      </c>
      <c r="B18" s="9" t="s">
        <v>365</v>
      </c>
      <c r="C18" s="174">
        <v>300</v>
      </c>
      <c r="D18" s="175">
        <v>255</v>
      </c>
      <c r="E18" s="175" t="s">
        <v>501</v>
      </c>
      <c r="F18" s="48" t="s">
        <v>366</v>
      </c>
      <c r="I18" s="69"/>
    </row>
    <row r="19" spans="1:15">
      <c r="A19" s="8">
        <v>19</v>
      </c>
      <c r="B19" s="9" t="s">
        <v>115</v>
      </c>
      <c r="C19" s="63">
        <v>255</v>
      </c>
      <c r="D19" s="64">
        <v>300</v>
      </c>
      <c r="E19" s="64" t="s">
        <v>470</v>
      </c>
      <c r="F19" s="48" t="s">
        <v>104</v>
      </c>
    </row>
    <row r="20" spans="1:15">
      <c r="A20" s="8">
        <v>20</v>
      </c>
      <c r="B20" s="9" t="s">
        <v>21</v>
      </c>
      <c r="C20" s="174">
        <v>355</v>
      </c>
      <c r="D20" s="175">
        <f>755-C20</f>
        <v>400</v>
      </c>
      <c r="E20" s="175" t="s">
        <v>450</v>
      </c>
      <c r="F20" s="48" t="s">
        <v>32</v>
      </c>
    </row>
    <row r="21" spans="1:15">
      <c r="A21" s="8">
        <v>21</v>
      </c>
      <c r="B21" s="9" t="s">
        <v>677</v>
      </c>
      <c r="C21" s="174">
        <v>255</v>
      </c>
      <c r="D21" s="175">
        <v>300</v>
      </c>
      <c r="E21" s="175" t="s">
        <v>479</v>
      </c>
      <c r="F21" s="48" t="s">
        <v>480</v>
      </c>
      <c r="G21" s="169" t="s">
        <v>187</v>
      </c>
    </row>
    <row r="22" spans="1:15">
      <c r="A22" s="8">
        <v>22</v>
      </c>
      <c r="B22" s="9" t="s">
        <v>493</v>
      </c>
      <c r="C22" s="63">
        <v>255</v>
      </c>
      <c r="D22" s="64"/>
      <c r="E22" s="64" t="s">
        <v>495</v>
      </c>
      <c r="F22" s="48" t="s">
        <v>494</v>
      </c>
    </row>
    <row r="23" spans="1:15">
      <c r="A23" s="8">
        <v>23</v>
      </c>
      <c r="B23" s="9" t="s">
        <v>534</v>
      </c>
      <c r="C23" s="63">
        <f>510/2</f>
        <v>255</v>
      </c>
      <c r="D23" s="64">
        <f>565-C23</f>
        <v>310</v>
      </c>
      <c r="E23" s="64" t="s">
        <v>536</v>
      </c>
      <c r="F23" s="48" t="s">
        <v>533</v>
      </c>
      <c r="J23" s="68"/>
    </row>
    <row r="24" spans="1:15">
      <c r="A24" s="8">
        <v>24</v>
      </c>
      <c r="B24" s="9" t="s">
        <v>535</v>
      </c>
      <c r="C24" s="128">
        <v>255</v>
      </c>
      <c r="D24" s="129">
        <v>310</v>
      </c>
      <c r="E24" s="64" t="s">
        <v>536</v>
      </c>
      <c r="F24" s="48" t="s">
        <v>211</v>
      </c>
    </row>
    <row r="25" spans="1:15">
      <c r="A25" s="8">
        <v>25</v>
      </c>
      <c r="B25" s="9" t="s">
        <v>496</v>
      </c>
      <c r="C25" s="174">
        <v>255</v>
      </c>
      <c r="D25" s="175">
        <v>300</v>
      </c>
      <c r="E25" s="175" t="s">
        <v>498</v>
      </c>
      <c r="F25" s="48" t="s">
        <v>497</v>
      </c>
    </row>
    <row r="26" spans="1:15">
      <c r="A26" s="8">
        <v>26</v>
      </c>
      <c r="B26" s="9" t="s">
        <v>519</v>
      </c>
      <c r="C26" s="63">
        <f>355+200</f>
        <v>555</v>
      </c>
      <c r="D26" s="64">
        <f>555-C26</f>
        <v>0</v>
      </c>
      <c r="E26" s="64" t="s">
        <v>520</v>
      </c>
      <c r="F26" s="1" t="s">
        <v>521</v>
      </c>
    </row>
    <row r="27" spans="1:15">
      <c r="A27" s="8">
        <v>27</v>
      </c>
      <c r="B27" s="9" t="s">
        <v>561</v>
      </c>
      <c r="C27" s="63">
        <v>565</v>
      </c>
      <c r="D27" s="64">
        <v>0</v>
      </c>
      <c r="E27" s="64" t="s">
        <v>562</v>
      </c>
      <c r="F27" s="48" t="s">
        <v>560</v>
      </c>
      <c r="L27" s="37"/>
      <c r="M27" s="62"/>
      <c r="O27" s="62"/>
    </row>
    <row r="28" spans="1:15">
      <c r="A28" s="8">
        <v>28</v>
      </c>
      <c r="B28" s="9" t="s">
        <v>566</v>
      </c>
      <c r="C28" s="63">
        <v>565</v>
      </c>
      <c r="D28" s="64">
        <v>0</v>
      </c>
      <c r="E28" s="64" t="s">
        <v>674</v>
      </c>
      <c r="F28" s="48" t="s">
        <v>565</v>
      </c>
      <c r="J28" s="68"/>
      <c r="L28" s="37"/>
      <c r="M28" s="37"/>
      <c r="N28" s="62"/>
    </row>
    <row r="29" spans="1:15">
      <c r="A29" s="8">
        <v>29</v>
      </c>
      <c r="B29" s="9" t="s">
        <v>566</v>
      </c>
      <c r="C29" s="63">
        <f>555+100</f>
        <v>655</v>
      </c>
      <c r="D29" s="64">
        <f>755-C29</f>
        <v>100</v>
      </c>
      <c r="E29" s="64" t="s">
        <v>674</v>
      </c>
      <c r="F29" s="48" t="s">
        <v>211</v>
      </c>
      <c r="G29" s="169" t="s">
        <v>267</v>
      </c>
    </row>
    <row r="30" spans="1:15">
      <c r="A30" s="8">
        <v>30</v>
      </c>
      <c r="B30" s="9" t="s">
        <v>583</v>
      </c>
      <c r="C30" s="63">
        <v>565</v>
      </c>
      <c r="D30" s="64">
        <v>0</v>
      </c>
      <c r="E30" s="64" t="s">
        <v>584</v>
      </c>
      <c r="F30" s="48" t="s">
        <v>145</v>
      </c>
    </row>
    <row r="31" spans="1:15">
      <c r="A31" s="8">
        <v>31</v>
      </c>
      <c r="B31" s="8" t="s">
        <v>587</v>
      </c>
      <c r="C31" s="63">
        <v>350</v>
      </c>
      <c r="D31" s="64">
        <f>565-C31</f>
        <v>215</v>
      </c>
      <c r="E31" s="64" t="s">
        <v>589</v>
      </c>
      <c r="F31" s="48" t="s">
        <v>590</v>
      </c>
      <c r="J31" s="68"/>
      <c r="M31" s="62"/>
      <c r="O31" s="37"/>
    </row>
    <row r="32" spans="1:15">
      <c r="A32" s="8">
        <v>32</v>
      </c>
      <c r="B32" s="8" t="s">
        <v>588</v>
      </c>
      <c r="C32" s="63">
        <v>350</v>
      </c>
      <c r="D32" s="64">
        <f>565-C32</f>
        <v>215</v>
      </c>
      <c r="E32" s="64" t="s">
        <v>589</v>
      </c>
      <c r="F32" s="48" t="s">
        <v>211</v>
      </c>
      <c r="O32" s="62"/>
    </row>
    <row r="33" spans="1:15">
      <c r="A33" s="8">
        <v>33</v>
      </c>
      <c r="B33" s="9" t="s">
        <v>620</v>
      </c>
      <c r="C33" s="63">
        <v>255</v>
      </c>
      <c r="D33" s="64"/>
      <c r="E33" s="64" t="s">
        <v>619</v>
      </c>
      <c r="F33" s="48" t="s">
        <v>622</v>
      </c>
    </row>
    <row r="34" spans="1:15">
      <c r="A34" s="8">
        <v>34</v>
      </c>
      <c r="B34" s="9" t="s">
        <v>621</v>
      </c>
      <c r="C34" s="63">
        <f>255</f>
        <v>255</v>
      </c>
      <c r="D34" s="64"/>
      <c r="E34" s="64" t="s">
        <v>619</v>
      </c>
      <c r="F34" s="48" t="s">
        <v>211</v>
      </c>
      <c r="I34">
        <v>2500</v>
      </c>
    </row>
    <row r="35" spans="1:15">
      <c r="A35" s="8">
        <v>35</v>
      </c>
      <c r="B35" s="8" t="s">
        <v>626</v>
      </c>
      <c r="C35" s="63">
        <v>255</v>
      </c>
      <c r="D35" s="64">
        <f>565-C35</f>
        <v>310</v>
      </c>
      <c r="E35" s="64" t="s">
        <v>619</v>
      </c>
      <c r="F35" s="8" t="s">
        <v>627</v>
      </c>
      <c r="H35" s="69"/>
      <c r="I35" s="69">
        <v>0.2</v>
      </c>
      <c r="O35" s="62"/>
    </row>
    <row r="36" spans="1:15">
      <c r="A36" s="8">
        <v>36</v>
      </c>
      <c r="B36" s="209" t="s">
        <v>644</v>
      </c>
      <c r="C36" s="63">
        <v>255</v>
      </c>
      <c r="D36" s="64">
        <v>310</v>
      </c>
      <c r="E36" s="64" t="s">
        <v>645</v>
      </c>
      <c r="F36" s="8" t="s">
        <v>646</v>
      </c>
      <c r="I36">
        <f>I34*I35</f>
        <v>500</v>
      </c>
      <c r="O36" s="37"/>
    </row>
    <row r="37" spans="1:15">
      <c r="A37" s="8">
        <v>37</v>
      </c>
      <c r="B37" s="8" t="s">
        <v>577</v>
      </c>
      <c r="C37" s="63">
        <f>200</f>
        <v>200</v>
      </c>
      <c r="D37" s="64">
        <v>0</v>
      </c>
      <c r="E37" s="64" t="s">
        <v>642</v>
      </c>
      <c r="F37" s="8" t="s">
        <v>547</v>
      </c>
    </row>
    <row r="38" spans="1:15">
      <c r="A38" s="209">
        <v>38</v>
      </c>
      <c r="B38" s="209" t="s">
        <v>623</v>
      </c>
      <c r="C38" s="174">
        <v>565</v>
      </c>
      <c r="D38" s="175"/>
      <c r="E38" s="169" t="s">
        <v>684</v>
      </c>
      <c r="F38" s="209" t="s">
        <v>647</v>
      </c>
    </row>
    <row r="39" spans="1:15">
      <c r="A39" s="8">
        <v>39</v>
      </c>
      <c r="B39" s="8" t="s">
        <v>648</v>
      </c>
      <c r="C39" s="63">
        <v>255</v>
      </c>
      <c r="D39" s="64">
        <f>565-C39</f>
        <v>310</v>
      </c>
      <c r="E39" s="64" t="s">
        <v>649</v>
      </c>
      <c r="F39" s="8" t="s">
        <v>650</v>
      </c>
    </row>
    <row r="40" spans="1:15">
      <c r="A40" s="8">
        <v>40</v>
      </c>
      <c r="B40" s="8" t="s">
        <v>652</v>
      </c>
      <c r="C40" s="63">
        <v>255</v>
      </c>
      <c r="D40" s="64">
        <v>310</v>
      </c>
      <c r="E40" s="64" t="s">
        <v>653</v>
      </c>
      <c r="F40" s="8" t="s">
        <v>651</v>
      </c>
    </row>
    <row r="41" spans="1:15">
      <c r="A41" s="8">
        <v>41</v>
      </c>
      <c r="B41" s="8" t="s">
        <v>655</v>
      </c>
      <c r="C41" s="63">
        <v>565</v>
      </c>
      <c r="D41" s="64">
        <v>0</v>
      </c>
      <c r="E41" s="64" t="s">
        <v>656</v>
      </c>
      <c r="F41" s="8" t="s">
        <v>657</v>
      </c>
      <c r="H41" s="44"/>
      <c r="O41" s="62"/>
    </row>
    <row r="42" spans="1:15">
      <c r="A42" s="8">
        <v>42</v>
      </c>
      <c r="B42" s="8" t="s">
        <v>207</v>
      </c>
      <c r="C42" s="63">
        <v>355</v>
      </c>
      <c r="D42" s="64">
        <f>755-C42</f>
        <v>400</v>
      </c>
      <c r="E42" s="64" t="s">
        <v>658</v>
      </c>
      <c r="F42" s="48" t="s">
        <v>252</v>
      </c>
      <c r="G42" s="169" t="s">
        <v>267</v>
      </c>
      <c r="H42" s="44"/>
      <c r="N42" s="62"/>
    </row>
    <row r="43" spans="1:15">
      <c r="A43" s="8">
        <v>43</v>
      </c>
      <c r="B43" s="8" t="s">
        <v>628</v>
      </c>
      <c r="C43" s="63">
        <v>765</v>
      </c>
      <c r="D43" s="63">
        <f>765-C43</f>
        <v>0</v>
      </c>
      <c r="E43" s="8" t="s">
        <v>675</v>
      </c>
      <c r="F43" s="8" t="s">
        <v>676</v>
      </c>
      <c r="G43" t="s">
        <v>187</v>
      </c>
      <c r="H43" s="44"/>
    </row>
    <row r="44" spans="1:15">
      <c r="A44" s="8">
        <v>44</v>
      </c>
      <c r="B44" s="8" t="s">
        <v>629</v>
      </c>
      <c r="C44" s="63">
        <v>765</v>
      </c>
      <c r="D44" s="63">
        <f>765-C44</f>
        <v>0</v>
      </c>
      <c r="E44" s="8" t="s">
        <v>675</v>
      </c>
      <c r="F44" s="8" t="s">
        <v>211</v>
      </c>
      <c r="G44" t="s">
        <v>187</v>
      </c>
      <c r="H44" s="37"/>
    </row>
    <row r="45" spans="1:15">
      <c r="A45" s="8">
        <v>45</v>
      </c>
      <c r="B45" s="8" t="s">
        <v>630</v>
      </c>
      <c r="C45" s="63">
        <v>565</v>
      </c>
      <c r="D45" s="63">
        <f>565-C45</f>
        <v>0</v>
      </c>
      <c r="E45" s="8" t="s">
        <v>675</v>
      </c>
      <c r="F45" s="8" t="s">
        <v>211</v>
      </c>
      <c r="H45" s="62"/>
      <c r="O45" s="37"/>
    </row>
    <row r="46" spans="1:15">
      <c r="A46" s="8">
        <v>46</v>
      </c>
      <c r="B46" s="8" t="s">
        <v>631</v>
      </c>
      <c r="C46" s="63">
        <v>555</v>
      </c>
      <c r="D46" s="63">
        <f>565-C46</f>
        <v>10</v>
      </c>
      <c r="E46" s="8" t="s">
        <v>675</v>
      </c>
      <c r="F46" s="8" t="s">
        <v>211</v>
      </c>
      <c r="G46" s="260"/>
      <c r="H46" s="62"/>
      <c r="I46">
        <v>36</v>
      </c>
      <c r="O46" s="37"/>
    </row>
    <row r="47" spans="1:15">
      <c r="A47" s="8">
        <v>47</v>
      </c>
      <c r="B47" s="209" t="s">
        <v>680</v>
      </c>
      <c r="C47" s="174">
        <v>565</v>
      </c>
      <c r="D47" s="8">
        <v>0</v>
      </c>
      <c r="E47" s="209" t="s">
        <v>679</v>
      </c>
      <c r="F47" s="8" t="s">
        <v>678</v>
      </c>
      <c r="H47" s="62"/>
      <c r="I47">
        <v>9</v>
      </c>
      <c r="O47" s="62"/>
    </row>
    <row r="48" spans="1:15">
      <c r="A48" s="209">
        <v>48</v>
      </c>
      <c r="B48" s="261" t="s">
        <v>606</v>
      </c>
      <c r="C48" s="262"/>
      <c r="D48" s="263">
        <v>565</v>
      </c>
      <c r="E48" s="263"/>
      <c r="F48" s="263" t="s">
        <v>607</v>
      </c>
      <c r="G48" s="102"/>
      <c r="H48" s="62"/>
      <c r="I48" s="2"/>
      <c r="O48" s="62"/>
    </row>
    <row r="49" spans="1:16">
      <c r="A49" s="209">
        <v>49</v>
      </c>
      <c r="B49" s="241" t="s">
        <v>687</v>
      </c>
      <c r="C49" s="242"/>
      <c r="D49" s="243">
        <v>565</v>
      </c>
      <c r="E49" s="243"/>
      <c r="F49" s="243" t="s">
        <v>211</v>
      </c>
      <c r="G49" s="102"/>
      <c r="H49" s="62"/>
      <c r="I49" s="2"/>
      <c r="O49" s="62"/>
    </row>
    <row r="50" spans="1:16">
      <c r="A50" s="209">
        <v>50</v>
      </c>
      <c r="B50" s="241" t="s">
        <v>688</v>
      </c>
      <c r="C50" s="242"/>
      <c r="D50" s="243">
        <v>765</v>
      </c>
      <c r="E50" s="243"/>
      <c r="F50" s="243" t="s">
        <v>211</v>
      </c>
      <c r="G50" s="102"/>
      <c r="I50" s="2"/>
      <c r="O50" s="62"/>
    </row>
    <row r="51" spans="1:16">
      <c r="A51" s="209">
        <v>51</v>
      </c>
      <c r="B51" s="241" t="s">
        <v>689</v>
      </c>
      <c r="C51" s="242">
        <v>300</v>
      </c>
      <c r="D51" s="243">
        <v>265</v>
      </c>
      <c r="E51" s="243"/>
      <c r="F51" s="243" t="s">
        <v>211</v>
      </c>
      <c r="G51" s="102"/>
      <c r="I51" s="2"/>
      <c r="O51" s="62"/>
    </row>
    <row r="52" spans="1:16">
      <c r="C52" s="37">
        <f>SUM(C1:C47)</f>
        <v>18050</v>
      </c>
      <c r="D52" s="62">
        <f>SUM(D1:D46)</f>
        <v>8215</v>
      </c>
      <c r="E52" s="62"/>
      <c r="H52" s="62"/>
      <c r="I52" s="2"/>
    </row>
    <row r="53" spans="1:16">
      <c r="C53" s="615">
        <f>C52+D52</f>
        <v>26265</v>
      </c>
      <c r="D53" s="616"/>
      <c r="E53" s="131"/>
      <c r="F53" s="62"/>
      <c r="H53" s="44"/>
      <c r="I53" s="2"/>
    </row>
    <row r="54" spans="1:16">
      <c r="H54" s="62"/>
      <c r="I54" s="2"/>
      <c r="O54" s="62"/>
    </row>
    <row r="55" spans="1:16">
      <c r="B55" s="67" t="s">
        <v>262</v>
      </c>
      <c r="C55" s="63">
        <v>5700</v>
      </c>
      <c r="D55" s="8">
        <v>1</v>
      </c>
      <c r="E55" s="63">
        <f>(D55*C55)</f>
        <v>5700</v>
      </c>
      <c r="H55" s="62"/>
      <c r="I55" s="2"/>
      <c r="L55" s="69"/>
      <c r="M55" s="37"/>
    </row>
    <row r="56" spans="1:16">
      <c r="B56" s="67" t="s">
        <v>311</v>
      </c>
      <c r="C56" s="63">
        <f>(2*200)+(30)+(10*30)</f>
        <v>730</v>
      </c>
      <c r="D56" s="8">
        <v>1</v>
      </c>
      <c r="E56" s="63">
        <v>320</v>
      </c>
      <c r="H56" s="62"/>
      <c r="I56" s="2"/>
      <c r="L56" s="69"/>
      <c r="M56" s="37"/>
    </row>
    <row r="57" spans="1:16">
      <c r="B57" s="67" t="s">
        <v>263</v>
      </c>
      <c r="C57" s="63">
        <f>300-(300*10%)</f>
        <v>270</v>
      </c>
      <c r="D57" s="8">
        <f>45-D58</f>
        <v>36</v>
      </c>
      <c r="E57" s="63">
        <f>D57*C57</f>
        <v>9720</v>
      </c>
      <c r="H57" s="37"/>
      <c r="L57" s="69"/>
      <c r="M57" s="37"/>
    </row>
    <row r="58" spans="1:16">
      <c r="B58" s="67" t="s">
        <v>264</v>
      </c>
      <c r="C58" s="63">
        <f>500-(500*10%)</f>
        <v>450</v>
      </c>
      <c r="D58" s="8">
        <v>9</v>
      </c>
      <c r="E58" s="63">
        <f>D58*C58</f>
        <v>4050</v>
      </c>
      <c r="H58" s="62"/>
      <c r="L58" s="69"/>
      <c r="M58" s="37"/>
    </row>
    <row r="59" spans="1:16">
      <c r="B59" s="67" t="s">
        <v>266</v>
      </c>
      <c r="C59" s="8"/>
      <c r="D59" s="8">
        <f>D58+D57</f>
        <v>45</v>
      </c>
      <c r="E59" s="63">
        <f>E58+E57</f>
        <v>13770</v>
      </c>
      <c r="H59" s="62"/>
      <c r="O59" s="37"/>
    </row>
    <row r="60" spans="1:16" ht="15.75" thickBot="1">
      <c r="B60" s="67" t="s">
        <v>265</v>
      </c>
      <c r="C60" s="8"/>
      <c r="D60" s="8"/>
      <c r="E60" s="65">
        <f>E59+E55+E56</f>
        <v>19790</v>
      </c>
      <c r="H60" s="62"/>
      <c r="L60" s="37"/>
      <c r="N60" s="69"/>
      <c r="O60" s="37"/>
      <c r="P60" s="62"/>
    </row>
    <row r="61" spans="1:16" ht="15.75" thickBot="1">
      <c r="B61" s="617" t="s">
        <v>7</v>
      </c>
      <c r="C61" s="618"/>
      <c r="D61" s="619"/>
      <c r="E61" s="66">
        <f>C53-E60</f>
        <v>6475</v>
      </c>
      <c r="H61" s="62"/>
      <c r="L61" s="62"/>
      <c r="N61" s="69"/>
      <c r="O61" s="37"/>
      <c r="P61" s="62"/>
    </row>
    <row r="62" spans="1:16">
      <c r="H62" s="62"/>
      <c r="N62" s="70"/>
      <c r="O62" s="37"/>
      <c r="P62" s="62"/>
    </row>
    <row r="63" spans="1:16">
      <c r="N63" s="69"/>
      <c r="O63" s="37"/>
      <c r="P63" s="62"/>
    </row>
    <row r="64" spans="1:16">
      <c r="N64" s="70"/>
      <c r="O64" s="37"/>
      <c r="P64" s="62"/>
    </row>
    <row r="65" spans="2:16">
      <c r="B65" s="2" t="s">
        <v>637</v>
      </c>
      <c r="C65" s="264">
        <f>320+99</f>
        <v>419</v>
      </c>
      <c r="N65" s="71"/>
      <c r="O65" s="37"/>
      <c r="P65" s="62"/>
    </row>
    <row r="66" spans="2:16">
      <c r="B66" s="2" t="s">
        <v>599</v>
      </c>
      <c r="C66">
        <v>0</v>
      </c>
      <c r="N66" s="69"/>
      <c r="O66" s="37"/>
      <c r="P66" s="62"/>
    </row>
    <row r="67" spans="2:16">
      <c r="B67" s="2" t="s">
        <v>659</v>
      </c>
      <c r="C67">
        <v>0</v>
      </c>
      <c r="N67" s="70"/>
      <c r="O67" s="37"/>
      <c r="P67" s="62"/>
    </row>
    <row r="68" spans="2:16">
      <c r="B68" s="2" t="s">
        <v>660</v>
      </c>
      <c r="C68">
        <v>2560</v>
      </c>
      <c r="E68" s="62"/>
    </row>
    <row r="69" spans="2:16">
      <c r="B69" s="2"/>
    </row>
    <row r="70" spans="2:16">
      <c r="B70" s="2" t="s">
        <v>638</v>
      </c>
      <c r="C70">
        <v>800</v>
      </c>
      <c r="D70">
        <v>5000</v>
      </c>
    </row>
    <row r="71" spans="2:16">
      <c r="B71" s="2" t="s">
        <v>603</v>
      </c>
      <c r="C71">
        <v>0</v>
      </c>
      <c r="D71">
        <v>13000</v>
      </c>
    </row>
    <row r="72" spans="2:16">
      <c r="B72" s="2" t="s">
        <v>604</v>
      </c>
      <c r="C72">
        <f>3000-2140</f>
        <v>860</v>
      </c>
      <c r="D72">
        <v>10000</v>
      </c>
      <c r="K72" s="264" t="s">
        <v>694</v>
      </c>
    </row>
    <row r="73" spans="2:16" ht="18.75">
      <c r="B73" s="2" t="s">
        <v>605</v>
      </c>
      <c r="C73">
        <v>255</v>
      </c>
      <c r="D73">
        <v>20000</v>
      </c>
      <c r="I73">
        <v>600</v>
      </c>
      <c r="K73" s="264" t="s">
        <v>690</v>
      </c>
      <c r="L73" s="72"/>
    </row>
    <row r="74" spans="2:16">
      <c r="C74">
        <f>SUM(C65:C73)</f>
        <v>4894</v>
      </c>
      <c r="D74">
        <f>(SUM(D70:D73))-1995</f>
        <v>46005</v>
      </c>
      <c r="I74">
        <v>20</v>
      </c>
      <c r="K74" s="264" t="s">
        <v>691</v>
      </c>
    </row>
    <row r="75" spans="2:16">
      <c r="I75">
        <f>I73/I74</f>
        <v>30</v>
      </c>
      <c r="K75" s="264" t="s">
        <v>692</v>
      </c>
    </row>
    <row r="76" spans="2:16">
      <c r="K76" s="264" t="s">
        <v>693</v>
      </c>
    </row>
    <row r="77" spans="2:16">
      <c r="K77" s="264" t="s">
        <v>695</v>
      </c>
    </row>
    <row r="78" spans="2:16">
      <c r="C78">
        <f>920/2</f>
        <v>460</v>
      </c>
    </row>
    <row r="79" spans="2:16">
      <c r="C79">
        <f>C78/8</f>
        <v>57.5</v>
      </c>
      <c r="D79">
        <v>28</v>
      </c>
    </row>
    <row r="80" spans="2:16">
      <c r="C80">
        <f>C79*2</f>
        <v>115</v>
      </c>
      <c r="H80">
        <v>565</v>
      </c>
    </row>
    <row r="81" spans="8:12">
      <c r="H81">
        <v>7</v>
      </c>
    </row>
    <row r="82" spans="8:12">
      <c r="H82">
        <v>10</v>
      </c>
      <c r="J82" s="264" t="s">
        <v>703</v>
      </c>
    </row>
    <row r="83" spans="8:12">
      <c r="H83">
        <v>30</v>
      </c>
      <c r="J83" s="264" t="s">
        <v>696</v>
      </c>
    </row>
    <row r="84" spans="8:12">
      <c r="H84">
        <v>250</v>
      </c>
      <c r="J84" s="264" t="s">
        <v>697</v>
      </c>
      <c r="K84" s="264" t="s">
        <v>698</v>
      </c>
      <c r="L84" s="264" t="s">
        <v>699</v>
      </c>
    </row>
    <row r="85" spans="8:12">
      <c r="H85">
        <v>250</v>
      </c>
      <c r="J85" s="264" t="s">
        <v>700</v>
      </c>
      <c r="K85" s="264" t="s">
        <v>701</v>
      </c>
      <c r="L85" s="264" t="s">
        <v>702</v>
      </c>
    </row>
    <row r="86" spans="8:12">
      <c r="H86">
        <v>40</v>
      </c>
      <c r="J86" s="264" t="s">
        <v>704</v>
      </c>
      <c r="K86" s="264" t="s">
        <v>705</v>
      </c>
    </row>
    <row r="87" spans="8:12">
      <c r="H87">
        <v>45</v>
      </c>
      <c r="J87" s="264" t="s">
        <v>706</v>
      </c>
      <c r="K87" s="264" t="s">
        <v>709</v>
      </c>
    </row>
    <row r="88" spans="8:12">
      <c r="J88" s="264" t="s">
        <v>707</v>
      </c>
      <c r="K88" s="264" t="s">
        <v>708</v>
      </c>
    </row>
  </sheetData>
  <mergeCells count="2">
    <mergeCell ref="C53:D53"/>
    <mergeCell ref="B61:D61"/>
  </mergeCells>
  <pageMargins left="0.70866141732283472" right="0.70866141732283472" top="0.19685039370078741" bottom="0.19685039370078741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8"/>
  <sheetViews>
    <sheetView topLeftCell="A34" workbookViewId="0">
      <selection activeCell="E40" sqref="A40:E41"/>
    </sheetView>
  </sheetViews>
  <sheetFormatPr baseColWidth="10" defaultRowHeight="12.75"/>
  <cols>
    <col min="1" max="1" width="31.140625" style="2" bestFit="1" customWidth="1"/>
    <col min="2" max="3" width="11.5703125" style="2" bestFit="1" customWidth="1"/>
    <col min="4" max="4" width="18.7109375" style="2" bestFit="1" customWidth="1"/>
    <col min="5" max="5" width="12.28515625" style="2" bestFit="1" customWidth="1"/>
    <col min="6" max="6" width="12.28515625" style="2" customWidth="1"/>
    <col min="7" max="16384" width="11.42578125" style="2"/>
  </cols>
  <sheetData>
    <row r="1" spans="1:7" ht="14.25">
      <c r="A1" s="282" t="s">
        <v>475</v>
      </c>
      <c r="B1" s="283">
        <v>255</v>
      </c>
      <c r="C1" s="283">
        <v>300</v>
      </c>
      <c r="D1" s="284" t="s">
        <v>476</v>
      </c>
      <c r="E1" s="285" t="s">
        <v>477</v>
      </c>
      <c r="F1" s="282" t="s">
        <v>211</v>
      </c>
      <c r="G1" s="286"/>
    </row>
    <row r="2" spans="1:7" ht="14.25">
      <c r="A2" s="287" t="s">
        <v>844</v>
      </c>
      <c r="B2" s="288">
        <v>365</v>
      </c>
      <c r="C2" s="288">
        <f>565-B2</f>
        <v>200</v>
      </c>
      <c r="D2" s="287" t="s">
        <v>211</v>
      </c>
      <c r="E2" s="289" t="s">
        <v>122</v>
      </c>
      <c r="F2" s="282" t="s">
        <v>211</v>
      </c>
      <c r="G2" s="286"/>
    </row>
    <row r="3" spans="1:7" ht="14.25">
      <c r="A3" s="290" t="s">
        <v>805</v>
      </c>
      <c r="B3" s="291">
        <v>265</v>
      </c>
      <c r="C3" s="291">
        <v>300</v>
      </c>
      <c r="D3" s="290" t="s">
        <v>806</v>
      </c>
      <c r="E3" s="292" t="s">
        <v>804</v>
      </c>
      <c r="F3" s="282" t="s">
        <v>755</v>
      </c>
      <c r="G3" s="286"/>
    </row>
    <row r="4" spans="1:7" ht="14.25">
      <c r="A4" s="290" t="s">
        <v>832</v>
      </c>
      <c r="B4" s="291">
        <v>250</v>
      </c>
      <c r="C4" s="291">
        <f>565-B4</f>
        <v>315</v>
      </c>
      <c r="D4" s="290" t="s">
        <v>811</v>
      </c>
      <c r="E4" s="292" t="s">
        <v>812</v>
      </c>
      <c r="F4" s="282" t="s">
        <v>755</v>
      </c>
      <c r="G4" s="286"/>
    </row>
    <row r="5" spans="1:7" ht="14.25">
      <c r="A5" s="287" t="s">
        <v>769</v>
      </c>
      <c r="B5" s="288">
        <v>0</v>
      </c>
      <c r="C5" s="288">
        <v>0</v>
      </c>
      <c r="D5" s="287" t="s">
        <v>211</v>
      </c>
      <c r="E5" s="287" t="s">
        <v>211</v>
      </c>
      <c r="F5" s="282" t="s">
        <v>768</v>
      </c>
      <c r="G5" s="286"/>
    </row>
    <row r="6" spans="1:7" ht="14.25">
      <c r="A6" s="293" t="s">
        <v>471</v>
      </c>
      <c r="B6" s="294">
        <v>355</v>
      </c>
      <c r="C6" s="294"/>
      <c r="D6" s="295" t="s">
        <v>470</v>
      </c>
      <c r="E6" s="296" t="s">
        <v>469</v>
      </c>
      <c r="F6" s="282" t="s">
        <v>211</v>
      </c>
      <c r="G6" s="286"/>
    </row>
    <row r="7" spans="1:7" ht="14.25">
      <c r="A7" s="287" t="s">
        <v>681</v>
      </c>
      <c r="B7" s="288">
        <f>630</f>
        <v>630</v>
      </c>
      <c r="C7" s="288">
        <f>565-B7</f>
        <v>-65</v>
      </c>
      <c r="D7" s="287" t="s">
        <v>682</v>
      </c>
      <c r="E7" s="289" t="s">
        <v>683</v>
      </c>
      <c r="F7" s="282" t="s">
        <v>211</v>
      </c>
      <c r="G7" s="286"/>
    </row>
    <row r="8" spans="1:7" ht="14.25">
      <c r="A8" s="287" t="s">
        <v>615</v>
      </c>
      <c r="B8" s="288">
        <v>155</v>
      </c>
      <c r="C8" s="288"/>
      <c r="D8" s="297" t="s">
        <v>613</v>
      </c>
      <c r="E8" s="296" t="s">
        <v>614</v>
      </c>
      <c r="F8" s="282" t="s">
        <v>211</v>
      </c>
      <c r="G8" s="286"/>
    </row>
    <row r="9" spans="1:7" ht="14.25">
      <c r="A9" s="1" t="s">
        <v>845</v>
      </c>
      <c r="B9" s="1">
        <v>565</v>
      </c>
      <c r="C9" s="1">
        <v>0</v>
      </c>
      <c r="D9" s="1" t="s">
        <v>846</v>
      </c>
      <c r="E9" s="1" t="s">
        <v>381</v>
      </c>
      <c r="F9" s="1" t="s">
        <v>711</v>
      </c>
      <c r="G9" s="298" t="s">
        <v>187</v>
      </c>
    </row>
    <row r="10" spans="1:7" ht="14.25">
      <c r="A10" s="299" t="s">
        <v>21</v>
      </c>
      <c r="B10" s="288">
        <v>365</v>
      </c>
      <c r="C10" s="288">
        <f>765-B10</f>
        <v>400</v>
      </c>
      <c r="D10" s="287" t="s">
        <v>710</v>
      </c>
      <c r="E10" s="289" t="s">
        <v>32</v>
      </c>
      <c r="F10" s="287" t="s">
        <v>711</v>
      </c>
      <c r="G10" s="286" t="s">
        <v>187</v>
      </c>
    </row>
    <row r="11" spans="1:7" ht="14.25">
      <c r="A11" s="299" t="s">
        <v>712</v>
      </c>
      <c r="B11" s="288">
        <v>0</v>
      </c>
      <c r="C11" s="288">
        <v>0</v>
      </c>
      <c r="D11" s="299" t="s">
        <v>713</v>
      </c>
      <c r="E11" s="289" t="s">
        <v>714</v>
      </c>
      <c r="F11" s="282" t="s">
        <v>720</v>
      </c>
      <c r="G11" s="286"/>
    </row>
    <row r="12" spans="1:7" ht="14.25">
      <c r="A12" s="299" t="s">
        <v>716</v>
      </c>
      <c r="B12" s="288">
        <v>0</v>
      </c>
      <c r="C12" s="288">
        <v>765</v>
      </c>
      <c r="D12" s="299" t="s">
        <v>718</v>
      </c>
      <c r="E12" s="289" t="s">
        <v>719</v>
      </c>
      <c r="F12" s="282" t="s">
        <v>711</v>
      </c>
      <c r="G12" s="300" t="s">
        <v>187</v>
      </c>
    </row>
    <row r="13" spans="1:7" ht="14.25">
      <c r="A13" s="299" t="s">
        <v>717</v>
      </c>
      <c r="B13" s="288">
        <v>0</v>
      </c>
      <c r="C13" s="288">
        <v>565</v>
      </c>
      <c r="D13" s="299" t="s">
        <v>718</v>
      </c>
      <c r="E13" s="299" t="s">
        <v>211</v>
      </c>
      <c r="F13" s="282" t="s">
        <v>711</v>
      </c>
      <c r="G13" s="286"/>
    </row>
    <row r="14" spans="1:7" ht="14.25">
      <c r="A14" s="299" t="s">
        <v>721</v>
      </c>
      <c r="B14" s="288">
        <v>265</v>
      </c>
      <c r="C14" s="288">
        <f>565-B14</f>
        <v>300</v>
      </c>
      <c r="D14" s="299" t="s">
        <v>723</v>
      </c>
      <c r="E14" s="301" t="s">
        <v>724</v>
      </c>
      <c r="F14" s="282" t="s">
        <v>722</v>
      </c>
      <c r="G14" s="286"/>
    </row>
    <row r="15" spans="1:7" ht="14.25">
      <c r="A15" s="299" t="s">
        <v>725</v>
      </c>
      <c r="B15" s="288">
        <v>270</v>
      </c>
      <c r="C15" s="288"/>
      <c r="D15" s="299" t="s">
        <v>330</v>
      </c>
      <c r="E15" s="301" t="s">
        <v>726</v>
      </c>
      <c r="F15" s="282" t="s">
        <v>722</v>
      </c>
      <c r="G15" s="286"/>
    </row>
    <row r="16" spans="1:7" ht="14.25">
      <c r="A16" s="299" t="s">
        <v>735</v>
      </c>
      <c r="B16" s="288">
        <v>100</v>
      </c>
      <c r="C16" s="288">
        <f>265-B16</f>
        <v>165</v>
      </c>
      <c r="D16" s="299" t="s">
        <v>728</v>
      </c>
      <c r="E16" s="301" t="s">
        <v>727</v>
      </c>
      <c r="F16" s="282" t="s">
        <v>711</v>
      </c>
      <c r="G16" s="286"/>
    </row>
    <row r="17" spans="1:8" ht="14.25">
      <c r="A17" s="299" t="s">
        <v>732</v>
      </c>
      <c r="B17" s="288">
        <v>265</v>
      </c>
      <c r="C17" s="288">
        <f>565-B17</f>
        <v>300</v>
      </c>
      <c r="D17" s="299" t="s">
        <v>731</v>
      </c>
      <c r="E17" s="289" t="s">
        <v>730</v>
      </c>
      <c r="F17" s="282" t="s">
        <v>711</v>
      </c>
      <c r="G17" s="286"/>
    </row>
    <row r="18" spans="1:8" ht="14.25">
      <c r="A18" s="299" t="s">
        <v>752</v>
      </c>
      <c r="B18" s="288">
        <v>265</v>
      </c>
      <c r="C18" s="288">
        <v>300</v>
      </c>
      <c r="D18" s="299" t="s">
        <v>733</v>
      </c>
      <c r="E18" s="287" t="s">
        <v>734</v>
      </c>
      <c r="F18" s="282" t="s">
        <v>722</v>
      </c>
      <c r="G18" s="286"/>
    </row>
    <row r="19" spans="1:8" ht="14.25">
      <c r="A19" s="299" t="s">
        <v>566</v>
      </c>
      <c r="B19" s="288">
        <v>300</v>
      </c>
      <c r="C19" s="288">
        <f>765-B19</f>
        <v>465</v>
      </c>
      <c r="D19" s="299" t="s">
        <v>744</v>
      </c>
      <c r="E19" s="289" t="s">
        <v>565</v>
      </c>
      <c r="F19" s="282" t="s">
        <v>711</v>
      </c>
      <c r="G19" s="286" t="s">
        <v>187</v>
      </c>
    </row>
    <row r="20" spans="1:8" ht="14.25">
      <c r="A20" s="299" t="s">
        <v>566</v>
      </c>
      <c r="B20" s="288">
        <v>200</v>
      </c>
      <c r="C20" s="288">
        <f>565-B20</f>
        <v>365</v>
      </c>
      <c r="D20" s="299" t="s">
        <v>744</v>
      </c>
      <c r="E20" s="282" t="s">
        <v>211</v>
      </c>
      <c r="F20" s="282" t="s">
        <v>711</v>
      </c>
      <c r="G20" s="286"/>
    </row>
    <row r="21" spans="1:8" ht="14.25">
      <c r="A21" s="299" t="s">
        <v>745</v>
      </c>
      <c r="B21" s="288">
        <v>465</v>
      </c>
      <c r="C21" s="288">
        <f>765-B21</f>
        <v>300</v>
      </c>
      <c r="D21" s="299" t="s">
        <v>749</v>
      </c>
      <c r="E21" s="289" t="s">
        <v>747</v>
      </c>
      <c r="F21" s="282" t="s">
        <v>748</v>
      </c>
      <c r="G21" s="286" t="s">
        <v>187</v>
      </c>
    </row>
    <row r="22" spans="1:8" ht="14.25">
      <c r="A22" s="299" t="s">
        <v>746</v>
      </c>
      <c r="B22" s="288">
        <v>265</v>
      </c>
      <c r="C22" s="288">
        <f>565-B22</f>
        <v>300</v>
      </c>
      <c r="D22" s="299" t="s">
        <v>749</v>
      </c>
      <c r="E22" s="287" t="s">
        <v>211</v>
      </c>
      <c r="F22" s="282" t="s">
        <v>758</v>
      </c>
      <c r="G22" s="286"/>
    </row>
    <row r="23" spans="1:8" ht="14.25">
      <c r="A23" s="299" t="s">
        <v>526</v>
      </c>
      <c r="B23" s="288">
        <v>300</v>
      </c>
      <c r="C23" s="288">
        <f>565-B23</f>
        <v>265</v>
      </c>
      <c r="D23" s="299" t="s">
        <v>751</v>
      </c>
      <c r="E23" s="289" t="s">
        <v>528</v>
      </c>
      <c r="F23" s="282" t="s">
        <v>750</v>
      </c>
      <c r="G23" s="286"/>
    </row>
    <row r="24" spans="1:8" ht="14.25">
      <c r="A24" s="299" t="s">
        <v>756</v>
      </c>
      <c r="B24" s="288">
        <v>765</v>
      </c>
      <c r="C24" s="288">
        <v>0</v>
      </c>
      <c r="D24" s="299" t="s">
        <v>757</v>
      </c>
      <c r="E24" s="289" t="s">
        <v>145</v>
      </c>
      <c r="F24" s="282" t="s">
        <v>711</v>
      </c>
      <c r="G24" s="286" t="s">
        <v>267</v>
      </c>
    </row>
    <row r="25" spans="1:8" ht="14.25">
      <c r="A25" s="299" t="s">
        <v>759</v>
      </c>
      <c r="B25" s="288">
        <v>565</v>
      </c>
      <c r="C25" s="288">
        <v>0</v>
      </c>
      <c r="D25" s="299" t="s">
        <v>757</v>
      </c>
      <c r="E25" s="299" t="s">
        <v>211</v>
      </c>
      <c r="F25" s="282" t="s">
        <v>758</v>
      </c>
      <c r="G25" s="286"/>
    </row>
    <row r="26" spans="1:8" ht="14.25">
      <c r="A26" s="302" t="s">
        <v>830</v>
      </c>
      <c r="B26" s="303">
        <v>565</v>
      </c>
      <c r="C26" s="303">
        <v>0</v>
      </c>
      <c r="D26" s="302" t="s">
        <v>831</v>
      </c>
      <c r="E26" s="302" t="s">
        <v>211</v>
      </c>
      <c r="F26" s="304" t="s">
        <v>758</v>
      </c>
      <c r="G26" s="286"/>
    </row>
    <row r="27" spans="1:8" ht="14.25">
      <c r="A27" s="287" t="s">
        <v>761</v>
      </c>
      <c r="B27" s="294">
        <v>365</v>
      </c>
      <c r="C27" s="288">
        <f>765-B27</f>
        <v>400</v>
      </c>
      <c r="D27" s="299" t="s">
        <v>760</v>
      </c>
      <c r="E27" s="289" t="s">
        <v>762</v>
      </c>
      <c r="F27" s="282" t="s">
        <v>763</v>
      </c>
      <c r="G27" s="286" t="s">
        <v>187</v>
      </c>
    </row>
    <row r="28" spans="1:8" ht="14.25">
      <c r="A28" s="287" t="s">
        <v>764</v>
      </c>
      <c r="B28" s="294">
        <v>765</v>
      </c>
      <c r="C28" s="288">
        <v>0</v>
      </c>
      <c r="D28" s="299" t="s">
        <v>760</v>
      </c>
      <c r="E28" s="289" t="s">
        <v>765</v>
      </c>
      <c r="F28" s="282" t="s">
        <v>750</v>
      </c>
      <c r="G28" s="286" t="s">
        <v>187</v>
      </c>
    </row>
    <row r="29" spans="1:8" ht="14.25">
      <c r="A29" s="299" t="s">
        <v>833</v>
      </c>
      <c r="B29" s="294">
        <v>765</v>
      </c>
      <c r="C29" s="305">
        <v>0</v>
      </c>
      <c r="D29" s="299" t="s">
        <v>767</v>
      </c>
      <c r="E29" s="289" t="s">
        <v>766</v>
      </c>
      <c r="F29" s="282" t="s">
        <v>711</v>
      </c>
      <c r="G29" s="300" t="s">
        <v>187</v>
      </c>
    </row>
    <row r="30" spans="1:8" ht="14.25">
      <c r="A30" s="299" t="s">
        <v>833</v>
      </c>
      <c r="B30" s="288">
        <f>1200-B29</f>
        <v>435</v>
      </c>
      <c r="C30" s="288">
        <f>565-B30</f>
        <v>130</v>
      </c>
      <c r="D30" s="299" t="s">
        <v>767</v>
      </c>
      <c r="E30" s="299" t="s">
        <v>211</v>
      </c>
      <c r="F30" s="282" t="s">
        <v>758</v>
      </c>
      <c r="G30" s="286"/>
      <c r="H30" s="281"/>
    </row>
    <row r="31" spans="1:8" ht="14.25">
      <c r="A31" s="302" t="s">
        <v>847</v>
      </c>
      <c r="B31" s="303">
        <v>565</v>
      </c>
      <c r="C31" s="303">
        <v>0</v>
      </c>
      <c r="D31" s="302" t="s">
        <v>846</v>
      </c>
      <c r="E31" s="306" t="s">
        <v>848</v>
      </c>
      <c r="F31" s="282" t="s">
        <v>758</v>
      </c>
      <c r="G31" s="286"/>
      <c r="H31" s="281"/>
    </row>
    <row r="32" spans="1:8" ht="14.25">
      <c r="A32" s="299" t="s">
        <v>780</v>
      </c>
      <c r="B32" s="288">
        <v>265</v>
      </c>
      <c r="C32" s="288">
        <f>565-B32</f>
        <v>300</v>
      </c>
      <c r="D32" s="299" t="s">
        <v>783</v>
      </c>
      <c r="E32" s="289" t="s">
        <v>782</v>
      </c>
      <c r="F32" s="282" t="s">
        <v>755</v>
      </c>
      <c r="G32" s="286"/>
    </row>
    <row r="33" spans="1:7" ht="14.25">
      <c r="A33" s="287" t="s">
        <v>781</v>
      </c>
      <c r="B33" s="288">
        <v>265</v>
      </c>
      <c r="C33" s="288">
        <v>300</v>
      </c>
      <c r="D33" s="299" t="s">
        <v>783</v>
      </c>
      <c r="E33" s="287" t="s">
        <v>211</v>
      </c>
      <c r="F33" s="282" t="s">
        <v>758</v>
      </c>
      <c r="G33" s="286"/>
    </row>
    <row r="34" spans="1:7" ht="14.25">
      <c r="A34" s="299" t="s">
        <v>786</v>
      </c>
      <c r="B34" s="288">
        <v>265</v>
      </c>
      <c r="C34" s="294">
        <v>300</v>
      </c>
      <c r="D34" s="299" t="s">
        <v>785</v>
      </c>
      <c r="E34" s="289" t="s">
        <v>784</v>
      </c>
      <c r="F34" s="282" t="s">
        <v>758</v>
      </c>
      <c r="G34" s="286"/>
    </row>
    <row r="35" spans="1:7" ht="14.25">
      <c r="A35" s="287" t="s">
        <v>788</v>
      </c>
      <c r="B35" s="288">
        <v>265</v>
      </c>
      <c r="C35" s="294">
        <v>300</v>
      </c>
      <c r="D35" s="299" t="s">
        <v>789</v>
      </c>
      <c r="E35" s="289" t="s">
        <v>787</v>
      </c>
      <c r="F35" s="282" t="s">
        <v>755</v>
      </c>
      <c r="G35" s="286"/>
    </row>
    <row r="36" spans="1:7" ht="14.25">
      <c r="A36" s="1" t="s">
        <v>849</v>
      </c>
      <c r="B36" s="1">
        <v>0</v>
      </c>
      <c r="C36" s="1">
        <v>565</v>
      </c>
      <c r="D36" s="1" t="s">
        <v>846</v>
      </c>
      <c r="E36" s="1" t="s">
        <v>850</v>
      </c>
      <c r="F36" s="282" t="s">
        <v>755</v>
      </c>
    </row>
    <row r="37" spans="1:7" ht="14.25">
      <c r="A37" s="287" t="s">
        <v>794</v>
      </c>
      <c r="B37" s="288">
        <v>265</v>
      </c>
      <c r="C37" s="288">
        <f>565-B37</f>
        <v>300</v>
      </c>
      <c r="D37" s="299" t="s">
        <v>793</v>
      </c>
      <c r="E37" s="289" t="s">
        <v>792</v>
      </c>
      <c r="F37" s="282" t="s">
        <v>755</v>
      </c>
      <c r="G37" s="286"/>
    </row>
    <row r="38" spans="1:7" ht="14.25">
      <c r="A38" s="287" t="s">
        <v>795</v>
      </c>
      <c r="B38" s="288">
        <v>265</v>
      </c>
      <c r="C38" s="288">
        <v>300</v>
      </c>
      <c r="D38" s="299" t="s">
        <v>793</v>
      </c>
      <c r="E38" s="299" t="s">
        <v>211</v>
      </c>
      <c r="F38" s="282" t="s">
        <v>758</v>
      </c>
      <c r="G38" s="286"/>
    </row>
    <row r="39" spans="1:7" ht="14.25">
      <c r="A39" s="287" t="s">
        <v>796</v>
      </c>
      <c r="B39" s="288">
        <f>365+400</f>
        <v>765</v>
      </c>
      <c r="C39" s="288">
        <f>765-B39</f>
        <v>0</v>
      </c>
      <c r="D39" s="299" t="s">
        <v>789</v>
      </c>
      <c r="E39" s="289" t="s">
        <v>797</v>
      </c>
      <c r="F39" s="282" t="s">
        <v>711</v>
      </c>
      <c r="G39" s="286"/>
    </row>
    <row r="40" spans="1:7" ht="14.25">
      <c r="A40" s="287" t="s">
        <v>800</v>
      </c>
      <c r="B40" s="288">
        <f>765</f>
        <v>765</v>
      </c>
      <c r="C40" s="288">
        <v>0</v>
      </c>
      <c r="D40" s="299" t="s">
        <v>799</v>
      </c>
      <c r="E40" s="289" t="s">
        <v>798</v>
      </c>
      <c r="F40" s="282" t="s">
        <v>755</v>
      </c>
      <c r="G40" s="300" t="s">
        <v>267</v>
      </c>
    </row>
    <row r="41" spans="1:7" ht="14.25">
      <c r="A41" s="287" t="s">
        <v>801</v>
      </c>
      <c r="B41" s="288">
        <f>765</f>
        <v>765</v>
      </c>
      <c r="C41" s="288">
        <v>0</v>
      </c>
      <c r="D41" s="299" t="s">
        <v>799</v>
      </c>
      <c r="E41" s="287" t="s">
        <v>211</v>
      </c>
      <c r="F41" s="282" t="s">
        <v>758</v>
      </c>
      <c r="G41" s="300" t="s">
        <v>267</v>
      </c>
    </row>
    <row r="42" spans="1:7" ht="14.25">
      <c r="A42" s="287" t="s">
        <v>814</v>
      </c>
      <c r="B42" s="288">
        <v>265</v>
      </c>
      <c r="C42" s="294">
        <v>300</v>
      </c>
      <c r="D42" s="299" t="s">
        <v>816</v>
      </c>
      <c r="E42" s="289" t="s">
        <v>815</v>
      </c>
      <c r="F42" s="282" t="s">
        <v>755</v>
      </c>
      <c r="G42" s="286"/>
    </row>
    <row r="43" spans="1:7" ht="14.25">
      <c r="A43" s="287" t="s">
        <v>817</v>
      </c>
      <c r="B43" s="288">
        <v>565</v>
      </c>
      <c r="C43" s="294">
        <v>0</v>
      </c>
      <c r="D43" s="299" t="s">
        <v>821</v>
      </c>
      <c r="E43" s="289" t="s">
        <v>134</v>
      </c>
      <c r="F43" s="282" t="s">
        <v>711</v>
      </c>
      <c r="G43" s="286"/>
    </row>
    <row r="44" spans="1:7" ht="14.25">
      <c r="A44" s="287" t="s">
        <v>818</v>
      </c>
      <c r="B44" s="288">
        <v>565</v>
      </c>
      <c r="C44" s="294">
        <v>0</v>
      </c>
      <c r="D44" s="299" t="s">
        <v>821</v>
      </c>
      <c r="E44" s="287" t="s">
        <v>822</v>
      </c>
      <c r="F44" s="282" t="s">
        <v>758</v>
      </c>
      <c r="G44" s="286"/>
    </row>
    <row r="45" spans="1:7" ht="14.25">
      <c r="A45" s="287" t="s">
        <v>819</v>
      </c>
      <c r="B45" s="288">
        <v>565</v>
      </c>
      <c r="C45" s="294">
        <v>0</v>
      </c>
      <c r="D45" s="299" t="s">
        <v>821</v>
      </c>
      <c r="E45" s="287" t="s">
        <v>822</v>
      </c>
      <c r="F45" s="282" t="s">
        <v>758</v>
      </c>
      <c r="G45" s="286"/>
    </row>
    <row r="46" spans="1:7" ht="14.25">
      <c r="A46" s="287" t="s">
        <v>820</v>
      </c>
      <c r="B46" s="288">
        <v>565</v>
      </c>
      <c r="C46" s="294">
        <v>0</v>
      </c>
      <c r="D46" s="299" t="s">
        <v>821</v>
      </c>
      <c r="E46" s="287" t="s">
        <v>211</v>
      </c>
      <c r="F46" s="282" t="s">
        <v>758</v>
      </c>
      <c r="G46" s="286"/>
    </row>
    <row r="47" spans="1:7" ht="14.25">
      <c r="A47" s="287" t="s">
        <v>827</v>
      </c>
      <c r="B47" s="288">
        <v>0</v>
      </c>
      <c r="C47" s="294">
        <v>565</v>
      </c>
      <c r="D47" s="299" t="s">
        <v>824</v>
      </c>
      <c r="E47" s="289" t="s">
        <v>823</v>
      </c>
      <c r="F47" s="282" t="s">
        <v>711</v>
      </c>
      <c r="G47" s="286" t="s">
        <v>187</v>
      </c>
    </row>
    <row r="48" spans="1:7" ht="14.25">
      <c r="A48" s="287" t="s">
        <v>826</v>
      </c>
      <c r="B48" s="288">
        <v>650</v>
      </c>
      <c r="C48" s="294">
        <f>765-B48</f>
        <v>115</v>
      </c>
      <c r="D48" s="299" t="s">
        <v>824</v>
      </c>
      <c r="E48" s="299" t="s">
        <v>211</v>
      </c>
      <c r="F48" s="282" t="s">
        <v>758</v>
      </c>
      <c r="G48" s="286"/>
    </row>
    <row r="49" spans="1:7" ht="14.25">
      <c r="A49" s="287" t="s">
        <v>841</v>
      </c>
      <c r="B49" s="288">
        <v>265</v>
      </c>
      <c r="C49" s="294">
        <v>300</v>
      </c>
      <c r="D49" s="299" t="s">
        <v>842</v>
      </c>
      <c r="E49" s="287" t="s">
        <v>843</v>
      </c>
      <c r="F49" s="282" t="s">
        <v>711</v>
      </c>
      <c r="G49" s="286"/>
    </row>
    <row r="50" spans="1:7" ht="14.25">
      <c r="A50" s="286"/>
      <c r="B50" s="307">
        <f>SUM(B1:B49)</f>
        <v>18015</v>
      </c>
      <c r="C50" s="307">
        <f>SUM(C1:C49)</f>
        <v>9715</v>
      </c>
      <c r="D50" s="286"/>
      <c r="E50" s="286"/>
      <c r="F50" s="286"/>
      <c r="G50" s="286"/>
    </row>
    <row r="51" spans="1:7" ht="14.25">
      <c r="A51" s="286"/>
      <c r="B51" s="623">
        <f>B50+C50</f>
        <v>27730</v>
      </c>
      <c r="C51" s="624"/>
      <c r="D51" s="286"/>
      <c r="E51" s="286"/>
      <c r="F51" s="286"/>
      <c r="G51" s="286"/>
    </row>
    <row r="52" spans="1:7" ht="14.25">
      <c r="A52" s="289" t="s">
        <v>262</v>
      </c>
      <c r="B52" s="288">
        <v>6700</v>
      </c>
      <c r="C52" s="287">
        <v>1</v>
      </c>
      <c r="D52" s="288">
        <f>(C52*B52)</f>
        <v>6700</v>
      </c>
      <c r="E52" s="286"/>
      <c r="F52" s="286"/>
      <c r="G52" s="286"/>
    </row>
    <row r="53" spans="1:7" ht="14.25">
      <c r="A53" s="289" t="s">
        <v>311</v>
      </c>
      <c r="B53" s="288">
        <v>0</v>
      </c>
      <c r="C53" s="287">
        <v>1</v>
      </c>
      <c r="D53" s="288">
        <f>B53</f>
        <v>0</v>
      </c>
      <c r="E53" s="286"/>
      <c r="F53" s="286"/>
      <c r="G53" s="286"/>
    </row>
    <row r="54" spans="1:7" ht="14.25">
      <c r="A54" s="289" t="s">
        <v>263</v>
      </c>
      <c r="B54" s="288">
        <f>300-(300*10%)</f>
        <v>270</v>
      </c>
      <c r="C54" s="287">
        <v>37</v>
      </c>
      <c r="D54" s="288">
        <f>C54*B54</f>
        <v>9990</v>
      </c>
      <c r="E54" s="286"/>
      <c r="F54" s="286"/>
      <c r="G54" s="286"/>
    </row>
    <row r="55" spans="1:7" ht="14.25">
      <c r="A55" s="289" t="s">
        <v>264</v>
      </c>
      <c r="B55" s="288">
        <f>500-(500*10%)</f>
        <v>450</v>
      </c>
      <c r="C55" s="287">
        <v>11</v>
      </c>
      <c r="D55" s="288">
        <f>C55*B55</f>
        <v>4950</v>
      </c>
      <c r="E55" s="286"/>
      <c r="F55" s="286"/>
      <c r="G55" s="286"/>
    </row>
    <row r="56" spans="1:7" ht="14.25">
      <c r="A56" s="289" t="s">
        <v>266</v>
      </c>
      <c r="B56" s="287"/>
      <c r="C56" s="287">
        <f>C55+C54</f>
        <v>48</v>
      </c>
      <c r="D56" s="288">
        <f>D55+D54</f>
        <v>14940</v>
      </c>
      <c r="E56" s="286"/>
      <c r="F56" s="286"/>
      <c r="G56" s="286"/>
    </row>
    <row r="57" spans="1:7" ht="15" thickBot="1">
      <c r="A57" s="289" t="s">
        <v>265</v>
      </c>
      <c r="B57" s="287"/>
      <c r="C57" s="287"/>
      <c r="D57" s="308">
        <f>D56+D52+D53</f>
        <v>21640</v>
      </c>
      <c r="E57" s="286"/>
      <c r="F57" s="286"/>
      <c r="G57" s="286"/>
    </row>
    <row r="58" spans="1:7" ht="15" thickBot="1">
      <c r="A58" s="620" t="s">
        <v>7</v>
      </c>
      <c r="B58" s="621"/>
      <c r="C58" s="622"/>
      <c r="D58" s="309">
        <f>B51-D57</f>
        <v>6090</v>
      </c>
      <c r="E58" s="286"/>
      <c r="F58" s="286"/>
      <c r="G58" s="286"/>
    </row>
  </sheetData>
  <mergeCells count="2">
    <mergeCell ref="A58:C58"/>
    <mergeCell ref="B51:C5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7"/>
  <sheetViews>
    <sheetView topLeftCell="A40" workbookViewId="0">
      <selection activeCell="D57" sqref="D57"/>
    </sheetView>
  </sheetViews>
  <sheetFormatPr baseColWidth="10" defaultRowHeight="15"/>
  <cols>
    <col min="1" max="1" width="31.140625" bestFit="1" customWidth="1"/>
    <col min="2" max="3" width="11.42578125" style="37"/>
    <col min="5" max="5" width="14.28515625" bestFit="1" customWidth="1"/>
    <col min="6" max="6" width="2.28515625" bestFit="1" customWidth="1"/>
    <col min="7" max="7" width="23" bestFit="1" customWidth="1"/>
  </cols>
  <sheetData>
    <row r="1" spans="1:7">
      <c r="A1" s="9" t="s">
        <v>472</v>
      </c>
      <c r="B1" s="174">
        <v>255</v>
      </c>
      <c r="C1" s="174">
        <v>300</v>
      </c>
      <c r="D1" s="48" t="s">
        <v>474</v>
      </c>
      <c r="E1" s="175"/>
      <c r="G1" s="175" t="s">
        <v>473</v>
      </c>
    </row>
    <row r="2" spans="1:7">
      <c r="A2" s="209" t="s">
        <v>791</v>
      </c>
      <c r="B2" s="174">
        <v>365</v>
      </c>
      <c r="C2" s="174">
        <f>765-B2</f>
        <v>400</v>
      </c>
      <c r="D2" s="209" t="s">
        <v>790</v>
      </c>
      <c r="E2" s="48" t="s">
        <v>755</v>
      </c>
      <c r="F2" s="101" t="s">
        <v>187</v>
      </c>
      <c r="G2" s="209" t="s">
        <v>789</v>
      </c>
    </row>
    <row r="3" spans="1:7">
      <c r="A3" s="293" t="s">
        <v>203</v>
      </c>
      <c r="B3" s="294">
        <v>655</v>
      </c>
      <c r="C3" s="294">
        <v>0</v>
      </c>
      <c r="D3" s="296" t="s">
        <v>217</v>
      </c>
      <c r="E3" s="293"/>
      <c r="G3" s="295" t="s">
        <v>393</v>
      </c>
    </row>
    <row r="4" spans="1:7">
      <c r="A4" s="299" t="s">
        <v>398</v>
      </c>
      <c r="B4" s="294">
        <v>500</v>
      </c>
      <c r="C4" s="294">
        <f>765-B4</f>
        <v>265</v>
      </c>
      <c r="D4" s="301" t="s">
        <v>840</v>
      </c>
      <c r="E4" s="293" t="s">
        <v>711</v>
      </c>
      <c r="F4" s="300"/>
      <c r="G4" s="299" t="s">
        <v>839</v>
      </c>
    </row>
    <row r="5" spans="1:7">
      <c r="A5" s="293" t="s">
        <v>471</v>
      </c>
      <c r="B5" s="294">
        <v>155</v>
      </c>
      <c r="C5" s="294">
        <f>565-B5</f>
        <v>410</v>
      </c>
      <c r="D5" s="296" t="s">
        <v>469</v>
      </c>
      <c r="E5" s="293" t="s">
        <v>211</v>
      </c>
      <c r="G5" s="295" t="s">
        <v>470</v>
      </c>
    </row>
    <row r="6" spans="1:7">
      <c r="A6" s="209" t="s">
        <v>866</v>
      </c>
      <c r="B6" s="174">
        <v>520</v>
      </c>
      <c r="C6" s="174">
        <f>565-B6</f>
        <v>45</v>
      </c>
      <c r="D6" s="209" t="s">
        <v>864</v>
      </c>
      <c r="E6" s="293" t="s">
        <v>711</v>
      </c>
      <c r="G6" s="209" t="s">
        <v>874</v>
      </c>
    </row>
    <row r="7" spans="1:7">
      <c r="A7" s="209" t="s">
        <v>865</v>
      </c>
      <c r="B7" s="174">
        <v>520</v>
      </c>
      <c r="C7" s="174">
        <f>765-B7</f>
        <v>245</v>
      </c>
      <c r="D7" s="209" t="s">
        <v>211</v>
      </c>
      <c r="E7" s="293" t="s">
        <v>755</v>
      </c>
      <c r="G7" s="209" t="s">
        <v>873</v>
      </c>
    </row>
    <row r="8" spans="1:7">
      <c r="A8" s="209" t="s">
        <v>871</v>
      </c>
      <c r="B8" s="174">
        <v>265</v>
      </c>
      <c r="C8" s="174">
        <v>300</v>
      </c>
      <c r="D8" s="209"/>
      <c r="E8" s="293" t="s">
        <v>711</v>
      </c>
      <c r="G8" s="209" t="s">
        <v>872</v>
      </c>
    </row>
    <row r="9" spans="1:7">
      <c r="A9" s="209" t="s">
        <v>882</v>
      </c>
      <c r="B9" s="174">
        <v>0</v>
      </c>
      <c r="C9" s="174">
        <v>0</v>
      </c>
      <c r="D9" s="209" t="s">
        <v>883</v>
      </c>
      <c r="E9" s="293" t="s">
        <v>673</v>
      </c>
      <c r="G9" s="209" t="s">
        <v>211</v>
      </c>
    </row>
    <row r="10" spans="1:7">
      <c r="A10" s="209" t="s">
        <v>21</v>
      </c>
      <c r="B10" s="174">
        <v>365</v>
      </c>
      <c r="C10" s="174">
        <f>765-B10</f>
        <v>400</v>
      </c>
      <c r="D10" s="209" t="s">
        <v>884</v>
      </c>
      <c r="E10" s="293" t="s">
        <v>711</v>
      </c>
      <c r="F10" s="264" t="s">
        <v>187</v>
      </c>
      <c r="G10" s="209" t="s">
        <v>809</v>
      </c>
    </row>
    <row r="11" spans="1:7">
      <c r="A11" s="209" t="s">
        <v>898</v>
      </c>
      <c r="B11" s="174">
        <v>250</v>
      </c>
      <c r="C11" s="174">
        <v>315</v>
      </c>
      <c r="D11" s="209" t="s">
        <v>896</v>
      </c>
      <c r="E11" s="293" t="s">
        <v>897</v>
      </c>
      <c r="G11" s="209" t="s">
        <v>809</v>
      </c>
    </row>
    <row r="12" spans="1:7">
      <c r="A12" s="209" t="s">
        <v>899</v>
      </c>
      <c r="B12" s="174">
        <v>250</v>
      </c>
      <c r="C12" s="174">
        <v>315</v>
      </c>
      <c r="D12" s="209" t="s">
        <v>900</v>
      </c>
      <c r="E12" s="293" t="s">
        <v>901</v>
      </c>
      <c r="G12" s="209" t="s">
        <v>902</v>
      </c>
    </row>
    <row r="13" spans="1:7">
      <c r="A13" s="209" t="s">
        <v>949</v>
      </c>
      <c r="B13" s="174">
        <v>265</v>
      </c>
      <c r="C13" s="174">
        <v>300</v>
      </c>
      <c r="D13" s="209" t="s">
        <v>497</v>
      </c>
      <c r="E13" s="293" t="s">
        <v>711</v>
      </c>
      <c r="G13" s="209" t="s">
        <v>951</v>
      </c>
    </row>
    <row r="14" spans="1:7">
      <c r="A14" s="209" t="s">
        <v>952</v>
      </c>
      <c r="B14" s="174">
        <v>565</v>
      </c>
      <c r="C14" s="174">
        <v>0</v>
      </c>
      <c r="D14" s="209" t="s">
        <v>954</v>
      </c>
      <c r="E14" s="293" t="s">
        <v>955</v>
      </c>
      <c r="G14" s="209" t="s">
        <v>951</v>
      </c>
    </row>
    <row r="15" spans="1:7">
      <c r="A15" s="209" t="s">
        <v>953</v>
      </c>
      <c r="B15" s="174">
        <v>0</v>
      </c>
      <c r="C15" s="174">
        <v>565</v>
      </c>
      <c r="D15" s="209" t="s">
        <v>211</v>
      </c>
      <c r="E15" s="293" t="s">
        <v>956</v>
      </c>
      <c r="G15" s="209" t="s">
        <v>211</v>
      </c>
    </row>
    <row r="16" spans="1:7">
      <c r="A16" s="209" t="s">
        <v>968</v>
      </c>
      <c r="B16" s="174">
        <v>295</v>
      </c>
      <c r="C16" s="174">
        <v>300</v>
      </c>
      <c r="D16" s="209" t="s">
        <v>967</v>
      </c>
      <c r="E16" s="293" t="s">
        <v>955</v>
      </c>
      <c r="G16" s="209"/>
    </row>
    <row r="17" spans="1:7">
      <c r="A17" s="209" t="s">
        <v>966</v>
      </c>
      <c r="B17" s="174">
        <v>295</v>
      </c>
      <c r="C17" s="174">
        <v>300</v>
      </c>
      <c r="D17" s="209" t="s">
        <v>211</v>
      </c>
      <c r="E17" s="293" t="s">
        <v>956</v>
      </c>
      <c r="G17" s="209"/>
    </row>
    <row r="18" spans="1:7">
      <c r="A18" s="209" t="s">
        <v>977</v>
      </c>
      <c r="B18" s="174">
        <v>565</v>
      </c>
      <c r="C18" s="174">
        <v>0</v>
      </c>
      <c r="D18" s="348" t="s">
        <v>238</v>
      </c>
      <c r="E18" s="293" t="s">
        <v>711</v>
      </c>
      <c r="G18" s="209" t="s">
        <v>902</v>
      </c>
    </row>
    <row r="19" spans="1:7">
      <c r="A19" s="209" t="s">
        <v>976</v>
      </c>
      <c r="B19" s="174">
        <v>765</v>
      </c>
      <c r="C19" s="174">
        <v>0</v>
      </c>
      <c r="D19" s="209" t="s">
        <v>211</v>
      </c>
      <c r="E19" s="293" t="s">
        <v>956</v>
      </c>
      <c r="F19" s="264" t="s">
        <v>267</v>
      </c>
      <c r="G19" s="209" t="s">
        <v>902</v>
      </c>
    </row>
    <row r="20" spans="1:7">
      <c r="A20" s="209" t="s">
        <v>980</v>
      </c>
      <c r="B20" s="174">
        <v>365</v>
      </c>
      <c r="C20" s="174">
        <f>765-B20</f>
        <v>400</v>
      </c>
      <c r="D20" s="209" t="s">
        <v>981</v>
      </c>
      <c r="E20" s="293" t="s">
        <v>711</v>
      </c>
      <c r="F20" s="264" t="s">
        <v>267</v>
      </c>
      <c r="G20" s="209" t="s">
        <v>969</v>
      </c>
    </row>
    <row r="21" spans="1:7">
      <c r="A21" s="209" t="s">
        <v>982</v>
      </c>
      <c r="B21" s="174">
        <v>265</v>
      </c>
      <c r="C21" s="174">
        <v>300</v>
      </c>
      <c r="D21" s="209" t="s">
        <v>983</v>
      </c>
      <c r="E21" s="293" t="s">
        <v>755</v>
      </c>
      <c r="G21" s="209" t="s">
        <v>984</v>
      </c>
    </row>
    <row r="22" spans="1:7">
      <c r="A22" s="209" t="s">
        <v>986</v>
      </c>
      <c r="B22" s="174">
        <v>365</v>
      </c>
      <c r="C22" s="174">
        <v>400</v>
      </c>
      <c r="D22" s="209" t="s">
        <v>985</v>
      </c>
      <c r="E22" s="293" t="s">
        <v>755</v>
      </c>
      <c r="F22" s="264" t="s">
        <v>267</v>
      </c>
      <c r="G22" s="209" t="s">
        <v>902</v>
      </c>
    </row>
    <row r="23" spans="1:7">
      <c r="A23" s="209" t="s">
        <v>978</v>
      </c>
      <c r="B23" s="174">
        <v>265</v>
      </c>
      <c r="C23" s="174">
        <v>300</v>
      </c>
      <c r="D23" s="209" t="s">
        <v>992</v>
      </c>
      <c r="E23" s="293" t="s">
        <v>711</v>
      </c>
      <c r="G23" s="209" t="s">
        <v>991</v>
      </c>
    </row>
    <row r="24" spans="1:7">
      <c r="A24" s="209" t="s">
        <v>978</v>
      </c>
      <c r="B24" s="174">
        <v>265</v>
      </c>
      <c r="C24" s="174">
        <v>300</v>
      </c>
      <c r="D24" s="209" t="s">
        <v>211</v>
      </c>
      <c r="E24" s="293" t="s">
        <v>956</v>
      </c>
      <c r="G24" s="209" t="s">
        <v>991</v>
      </c>
    </row>
    <row r="25" spans="1:7">
      <c r="A25" s="209" t="s">
        <v>259</v>
      </c>
      <c r="B25" s="174">
        <v>300</v>
      </c>
      <c r="C25" s="174">
        <v>265</v>
      </c>
      <c r="D25" s="209" t="s">
        <v>250</v>
      </c>
      <c r="E25" s="293" t="s">
        <v>711</v>
      </c>
      <c r="G25" s="209" t="s">
        <v>993</v>
      </c>
    </row>
    <row r="26" spans="1:7">
      <c r="A26" s="209" t="s">
        <v>115</v>
      </c>
      <c r="B26" s="174">
        <v>265</v>
      </c>
      <c r="C26" s="174">
        <v>300</v>
      </c>
      <c r="D26" s="209" t="s">
        <v>104</v>
      </c>
      <c r="E26" s="293" t="s">
        <v>711</v>
      </c>
      <c r="G26" s="209" t="s">
        <v>993</v>
      </c>
    </row>
    <row r="27" spans="1:7">
      <c r="A27" s="209" t="s">
        <v>995</v>
      </c>
      <c r="B27" s="174">
        <v>265</v>
      </c>
      <c r="C27" s="174">
        <v>300</v>
      </c>
      <c r="D27" s="209" t="s">
        <v>994</v>
      </c>
      <c r="E27" s="293" t="s">
        <v>755</v>
      </c>
      <c r="G27" s="209" t="s">
        <v>991</v>
      </c>
    </row>
    <row r="28" spans="1:7">
      <c r="A28" s="209" t="s">
        <v>996</v>
      </c>
      <c r="B28" s="174">
        <v>265</v>
      </c>
      <c r="C28" s="174">
        <v>300</v>
      </c>
      <c r="D28" s="209" t="s">
        <v>211</v>
      </c>
      <c r="E28" s="293" t="s">
        <v>956</v>
      </c>
      <c r="G28" s="209" t="s">
        <v>991</v>
      </c>
    </row>
    <row r="29" spans="1:7">
      <c r="A29" s="209" t="s">
        <v>829</v>
      </c>
      <c r="B29" s="174">
        <v>400</v>
      </c>
      <c r="C29" s="174">
        <f>565-B29</f>
        <v>165</v>
      </c>
      <c r="D29" s="209" t="s">
        <v>997</v>
      </c>
      <c r="E29" s="293" t="s">
        <v>998</v>
      </c>
      <c r="G29" s="209" t="s">
        <v>969</v>
      </c>
    </row>
    <row r="30" spans="1:7" s="264" customFormat="1">
      <c r="A30" s="209" t="s">
        <v>829</v>
      </c>
      <c r="B30" s="174">
        <v>300</v>
      </c>
      <c r="C30" s="174">
        <f>565-B30</f>
        <v>265</v>
      </c>
      <c r="D30" s="209" t="s">
        <v>211</v>
      </c>
      <c r="E30" s="293" t="s">
        <v>956</v>
      </c>
      <c r="G30" s="209" t="s">
        <v>951</v>
      </c>
    </row>
    <row r="31" spans="1:7">
      <c r="A31" s="209" t="s">
        <v>1000</v>
      </c>
      <c r="B31" s="174">
        <v>300</v>
      </c>
      <c r="C31" s="174">
        <v>265</v>
      </c>
      <c r="D31" s="209" t="s">
        <v>999</v>
      </c>
      <c r="E31" s="293" t="s">
        <v>998</v>
      </c>
      <c r="G31" s="209" t="s">
        <v>969</v>
      </c>
    </row>
    <row r="32" spans="1:7">
      <c r="A32" s="209" t="s">
        <v>1001</v>
      </c>
      <c r="B32" s="174">
        <v>300</v>
      </c>
      <c r="C32" s="174">
        <v>265</v>
      </c>
      <c r="D32" s="209" t="s">
        <v>211</v>
      </c>
      <c r="E32" s="293" t="s">
        <v>956</v>
      </c>
      <c r="G32" s="209" t="s">
        <v>969</v>
      </c>
    </row>
    <row r="33" spans="1:7">
      <c r="A33" s="209" t="s">
        <v>1028</v>
      </c>
      <c r="B33" s="174">
        <v>565</v>
      </c>
      <c r="C33" s="174">
        <v>0</v>
      </c>
      <c r="D33" s="209" t="s">
        <v>211</v>
      </c>
      <c r="E33" s="293" t="s">
        <v>998</v>
      </c>
      <c r="G33" s="209" t="s">
        <v>991</v>
      </c>
    </row>
    <row r="34" spans="1:7">
      <c r="A34" s="209" t="s">
        <v>1004</v>
      </c>
      <c r="B34" s="174">
        <v>400</v>
      </c>
      <c r="C34" s="174">
        <f>565-B34</f>
        <v>165</v>
      </c>
      <c r="D34" s="209" t="s">
        <v>1005</v>
      </c>
      <c r="E34" s="293" t="s">
        <v>711</v>
      </c>
      <c r="G34" s="209" t="s">
        <v>991</v>
      </c>
    </row>
    <row r="35" spans="1:7">
      <c r="A35" s="209" t="s">
        <v>509</v>
      </c>
      <c r="B35" s="174">
        <v>400</v>
      </c>
      <c r="C35" s="174">
        <f>565-B35</f>
        <v>165</v>
      </c>
      <c r="D35" s="209" t="s">
        <v>211</v>
      </c>
      <c r="E35" s="293" t="s">
        <v>956</v>
      </c>
      <c r="G35" s="209" t="s">
        <v>991</v>
      </c>
    </row>
    <row r="36" spans="1:7">
      <c r="A36" s="209" t="s">
        <v>1008</v>
      </c>
      <c r="B36" s="174">
        <v>365</v>
      </c>
      <c r="C36" s="174">
        <v>400</v>
      </c>
      <c r="D36" s="209" t="s">
        <v>1006</v>
      </c>
      <c r="E36" s="293" t="s">
        <v>1007</v>
      </c>
      <c r="F36" s="264" t="s">
        <v>267</v>
      </c>
      <c r="G36" s="209" t="s">
        <v>902</v>
      </c>
    </row>
    <row r="37" spans="1:7">
      <c r="A37" s="209" t="s">
        <v>625</v>
      </c>
      <c r="B37" s="174">
        <v>750</v>
      </c>
      <c r="C37" s="174">
        <f>765-B37</f>
        <v>15</v>
      </c>
      <c r="D37" s="209" t="s">
        <v>1009</v>
      </c>
      <c r="E37" s="293" t="s">
        <v>711</v>
      </c>
      <c r="F37" s="264" t="s">
        <v>267</v>
      </c>
      <c r="G37" s="209" t="s">
        <v>902</v>
      </c>
    </row>
    <row r="38" spans="1:7">
      <c r="A38" s="299" t="s">
        <v>803</v>
      </c>
      <c r="B38" s="294">
        <v>265</v>
      </c>
      <c r="C38" s="294">
        <v>300</v>
      </c>
      <c r="D38" s="301" t="s">
        <v>802</v>
      </c>
      <c r="E38" s="293" t="s">
        <v>711</v>
      </c>
      <c r="G38" s="299" t="s">
        <v>799</v>
      </c>
    </row>
    <row r="39" spans="1:7">
      <c r="A39" s="299" t="s">
        <v>803</v>
      </c>
      <c r="B39" s="294">
        <v>265</v>
      </c>
      <c r="C39" s="294">
        <v>300</v>
      </c>
      <c r="D39" s="299" t="s">
        <v>211</v>
      </c>
      <c r="E39" s="293" t="s">
        <v>758</v>
      </c>
      <c r="G39" s="299" t="s">
        <v>799</v>
      </c>
    </row>
    <row r="40" spans="1:7">
      <c r="A40" s="209" t="s">
        <v>1016</v>
      </c>
      <c r="B40" s="174">
        <v>265</v>
      </c>
      <c r="C40" s="174">
        <v>300</v>
      </c>
      <c r="D40" s="209" t="s">
        <v>1014</v>
      </c>
      <c r="E40" s="293" t="s">
        <v>1007</v>
      </c>
      <c r="G40" s="209" t="s">
        <v>902</v>
      </c>
    </row>
    <row r="41" spans="1:7">
      <c r="A41" s="209" t="s">
        <v>1015</v>
      </c>
      <c r="B41" s="174">
        <v>265</v>
      </c>
      <c r="C41" s="174">
        <v>300</v>
      </c>
      <c r="D41" s="209" t="s">
        <v>822</v>
      </c>
      <c r="E41" s="293" t="s">
        <v>956</v>
      </c>
      <c r="G41" s="209" t="s">
        <v>902</v>
      </c>
    </row>
    <row r="42" spans="1:7">
      <c r="A42" s="209" t="s">
        <v>1017</v>
      </c>
      <c r="B42" s="174">
        <v>265</v>
      </c>
      <c r="C42" s="174">
        <v>300</v>
      </c>
      <c r="D42" s="209" t="s">
        <v>1018</v>
      </c>
      <c r="E42" s="293" t="s">
        <v>1019</v>
      </c>
      <c r="G42" s="209" t="s">
        <v>991</v>
      </c>
    </row>
    <row r="43" spans="1:7">
      <c r="A43" s="209" t="s">
        <v>764</v>
      </c>
      <c r="B43" s="174">
        <v>759</v>
      </c>
      <c r="C43" s="174">
        <v>0</v>
      </c>
      <c r="D43" s="209" t="s">
        <v>1020</v>
      </c>
      <c r="E43" s="293" t="s">
        <v>711</v>
      </c>
      <c r="F43" s="264" t="s">
        <v>267</v>
      </c>
      <c r="G43" s="209" t="s">
        <v>969</v>
      </c>
    </row>
    <row r="44" spans="1:7">
      <c r="A44" s="209" t="s">
        <v>1027</v>
      </c>
      <c r="B44" s="174">
        <v>265</v>
      </c>
      <c r="C44" s="174">
        <v>300</v>
      </c>
      <c r="D44" s="209" t="s">
        <v>1022</v>
      </c>
      <c r="E44" s="293" t="s">
        <v>755</v>
      </c>
      <c r="G44" s="209" t="s">
        <v>902</v>
      </c>
    </row>
    <row r="45" spans="1:7" s="264" customFormat="1">
      <c r="A45" s="209" t="s">
        <v>206</v>
      </c>
      <c r="B45" s="174">
        <v>500</v>
      </c>
      <c r="C45" s="174">
        <v>265</v>
      </c>
      <c r="D45" s="209" t="s">
        <v>451</v>
      </c>
      <c r="E45" s="293" t="s">
        <v>711</v>
      </c>
      <c r="F45" s="264" t="s">
        <v>267</v>
      </c>
      <c r="G45" s="209" t="s">
        <v>902</v>
      </c>
    </row>
    <row r="46" spans="1:7">
      <c r="A46" s="209" t="s">
        <v>10</v>
      </c>
      <c r="B46" s="174">
        <v>0</v>
      </c>
      <c r="C46" s="174">
        <v>0</v>
      </c>
      <c r="D46" s="209" t="s">
        <v>822</v>
      </c>
      <c r="E46" s="209" t="s">
        <v>1023</v>
      </c>
      <c r="G46" s="209" t="s">
        <v>211</v>
      </c>
    </row>
    <row r="47" spans="1:7">
      <c r="A47" s="209" t="s">
        <v>774</v>
      </c>
      <c r="B47" s="174">
        <v>0</v>
      </c>
      <c r="C47" s="174">
        <v>0</v>
      </c>
      <c r="D47" s="209" t="s">
        <v>211</v>
      </c>
      <c r="E47" s="209" t="s">
        <v>1003</v>
      </c>
      <c r="G47" s="209" t="s">
        <v>211</v>
      </c>
    </row>
    <row r="48" spans="1:7">
      <c r="A48" s="209" t="s">
        <v>1002</v>
      </c>
      <c r="B48" s="174">
        <v>0</v>
      </c>
      <c r="C48" s="174">
        <v>0</v>
      </c>
      <c r="D48" s="209" t="s">
        <v>211</v>
      </c>
      <c r="E48" s="293" t="s">
        <v>1003</v>
      </c>
      <c r="G48" s="209" t="s">
        <v>768</v>
      </c>
    </row>
    <row r="49" spans="1:7">
      <c r="B49" s="37">
        <f>SUM(B1:B48)</f>
        <v>16099</v>
      </c>
      <c r="C49" s="37">
        <f>SUM(C1:C48)</f>
        <v>11095</v>
      </c>
    </row>
    <row r="50" spans="1:7">
      <c r="B50" s="625">
        <f>B49+C49</f>
        <v>27194</v>
      </c>
      <c r="C50" s="625"/>
    </row>
    <row r="51" spans="1:7">
      <c r="A51" s="289" t="s">
        <v>262</v>
      </c>
      <c r="B51" s="288">
        <v>6700</v>
      </c>
      <c r="C51" s="287">
        <v>1</v>
      </c>
      <c r="D51" s="288">
        <f>(C51*B51)</f>
        <v>6700</v>
      </c>
    </row>
    <row r="52" spans="1:7">
      <c r="A52" s="289" t="s">
        <v>311</v>
      </c>
      <c r="B52" s="288">
        <v>0</v>
      </c>
      <c r="C52" s="287">
        <v>1</v>
      </c>
      <c r="D52" s="288">
        <f>B52</f>
        <v>0</v>
      </c>
    </row>
    <row r="53" spans="1:7">
      <c r="A53" s="289" t="s">
        <v>263</v>
      </c>
      <c r="B53" s="288">
        <f>300-(300*10%)</f>
        <v>270</v>
      </c>
      <c r="C53" s="287">
        <v>39</v>
      </c>
      <c r="D53" s="288">
        <f>C53*B53</f>
        <v>10530</v>
      </c>
    </row>
    <row r="54" spans="1:7">
      <c r="A54" s="289" t="s">
        <v>264</v>
      </c>
      <c r="B54" s="288">
        <f>500-(500*10%)</f>
        <v>450</v>
      </c>
      <c r="C54" s="287">
        <v>9</v>
      </c>
      <c r="D54" s="288">
        <f>C54*B54</f>
        <v>4050</v>
      </c>
      <c r="G54">
        <v>5489</v>
      </c>
    </row>
    <row r="55" spans="1:7">
      <c r="A55" s="289" t="s">
        <v>266</v>
      </c>
      <c r="B55" s="287"/>
      <c r="C55" s="287">
        <f>C54+C53</f>
        <v>48</v>
      </c>
      <c r="D55" s="288">
        <f>D54+D53</f>
        <v>14580</v>
      </c>
      <c r="G55">
        <v>17167</v>
      </c>
    </row>
    <row r="56" spans="1:7" ht="15.75" thickBot="1">
      <c r="A56" s="289" t="s">
        <v>265</v>
      </c>
      <c r="B56" s="287"/>
      <c r="C56" s="287"/>
      <c r="D56" s="308">
        <f>D55+D51</f>
        <v>21280</v>
      </c>
    </row>
    <row r="57" spans="1:7" ht="15.75" thickBot="1">
      <c r="A57" s="360" t="s">
        <v>7</v>
      </c>
      <c r="B57" s="361"/>
      <c r="C57" s="362"/>
      <c r="D57" s="309">
        <f>B50-D56</f>
        <v>5914</v>
      </c>
    </row>
  </sheetData>
  <mergeCells count="1">
    <mergeCell ref="B50:C5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16SepGen</vt:lpstr>
      <vt:lpstr>16Sep1</vt:lpstr>
      <vt:lpstr>16Sep2</vt:lpstr>
      <vt:lpstr>18Nov</vt:lpstr>
      <vt:lpstr>9Dic</vt:lpstr>
      <vt:lpstr>Veracruz </vt:lpstr>
      <vt:lpstr>Febrero</vt:lpstr>
      <vt:lpstr>Marzo</vt:lpstr>
      <vt:lpstr>Abril </vt:lpstr>
      <vt:lpstr>Mayo</vt:lpstr>
      <vt:lpstr>Jun</vt:lpstr>
      <vt:lpstr>21jul</vt:lpstr>
      <vt:lpstr>Vallarta Julio </vt:lpstr>
      <vt:lpstr>Ago</vt:lpstr>
      <vt:lpstr>Tolantngo</vt:lpstr>
      <vt:lpstr>Hoja12</vt:lpstr>
      <vt:lpstr>Acapulco Julio</vt:lpstr>
      <vt:lpstr>Hoja10</vt:lpstr>
      <vt:lpstr>aca julio habita</vt:lpstr>
      <vt:lpstr>AcaAbril2019</vt:lpstr>
      <vt:lpstr>SEp</vt:lpstr>
      <vt:lpstr>Acapulco Sep</vt:lpstr>
      <vt:lpstr>LISTAHOTEL</vt:lpstr>
      <vt:lpstr>Tola</vt:lpstr>
      <vt:lpstr>Nov</vt:lpstr>
      <vt:lpstr>ZIPOLITE</vt:lpstr>
      <vt:lpstr>Hoja5</vt:lpstr>
      <vt:lpstr>Diciembre</vt:lpstr>
      <vt:lpstr>Hoja6</vt:lpstr>
      <vt:lpstr>ClubHyJ</vt:lpstr>
      <vt:lpstr>Hoja8</vt:lpstr>
      <vt:lpstr>Hoja3</vt:lpstr>
      <vt:lpstr>Hoja7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Luis Angel Maciel</cp:lastModifiedBy>
  <cp:lastPrinted>2018-12-08T11:46:57Z</cp:lastPrinted>
  <dcterms:created xsi:type="dcterms:W3CDTF">2017-08-28T04:58:21Z</dcterms:created>
  <dcterms:modified xsi:type="dcterms:W3CDTF">2019-01-11T04:59:11Z</dcterms:modified>
</cp:coreProperties>
</file>