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martins.sharepoint.com/sites/JeronimoMartins-Kaizen/Documentos Partilhados/General/5- JIT/6 - Dimensionamento Equipa/1. Ficheiros de Dados/"/>
    </mc:Choice>
  </mc:AlternateContent>
  <xr:revisionPtr revIDLastSave="588" documentId="8_{7CEFF564-7EEA-4B28-A5B3-4BD41AFC049D}" xr6:coauthVersionLast="45" xr6:coauthVersionMax="45" xr10:uidLastSave="{5504ECE1-41EE-47EE-8A4E-215ADA710399}"/>
  <bookViews>
    <workbookView xWindow="-110" yWindow="-110" windowWidth="19420" windowHeight="10420" activeTab="2" xr2:uid="{41AB1EEF-1D51-48BE-A507-BF5E4F0C08B1}"/>
  </bookViews>
  <sheets>
    <sheet name="Pressupostos" sheetId="5" r:id="rId1"/>
    <sheet name="Template_Dia" sheetId="2" r:id="rId2"/>
    <sheet name="30" sheetId="6" r:id="rId3"/>
    <sheet name="Aux" sheetId="3" state="hidden" r:id="rId4"/>
  </sheets>
  <definedNames>
    <definedName name="_xlnm._FilterDatabase" localSheetId="0" hidden="1">Pressupostos!$K$4:$M$33</definedName>
    <definedName name="Meses" localSheetId="2">Table3[Mês]</definedName>
    <definedName name="Meses" localSheetId="0">Table3[Mês]</definedName>
    <definedName name="Meses">Table3[Mês]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6" l="1"/>
  <c r="K11" i="6"/>
  <c r="K10" i="6"/>
  <c r="K9" i="6"/>
  <c r="L9" i="6" s="1"/>
  <c r="K8" i="6"/>
  <c r="G8" i="6"/>
  <c r="L8" i="6" s="1"/>
  <c r="L7" i="6"/>
  <c r="K7" i="6"/>
  <c r="G7" i="6"/>
  <c r="L6" i="6"/>
  <c r="K6" i="6"/>
  <c r="Q5" i="6"/>
  <c r="Q6" i="6" s="1"/>
  <c r="Q7" i="6" s="1"/>
  <c r="Q8" i="6" s="1"/>
  <c r="Q10" i="6" s="1"/>
  <c r="Q11" i="6" s="1"/>
  <c r="Q12" i="6" s="1"/>
  <c r="Q13" i="6" s="1"/>
  <c r="Q14" i="6" s="1"/>
  <c r="Q15" i="6" s="1"/>
  <c r="Q16" i="6" s="1"/>
  <c r="Q17" i="6" s="1"/>
  <c r="Q19" i="6" s="1"/>
  <c r="Q20" i="6" s="1"/>
  <c r="Q21" i="6" s="1"/>
  <c r="Q22" i="6" s="1"/>
  <c r="Q23" i="6" s="1"/>
  <c r="Q24" i="6" s="1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B3" i="6"/>
  <c r="G9" i="6" s="1"/>
  <c r="F9" i="6" s="1"/>
  <c r="C21" i="2"/>
  <c r="G10" i="6" l="1"/>
  <c r="G11" i="6"/>
  <c r="H14" i="6"/>
  <c r="H15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Q5" i="2"/>
  <c r="Q6" i="2"/>
  <c r="Q7" i="2" s="1"/>
  <c r="Q8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O5" i="2"/>
  <c r="L7" i="2"/>
  <c r="L8" i="2"/>
  <c r="L9" i="2"/>
  <c r="L6" i="2"/>
  <c r="K6" i="2"/>
  <c r="K7" i="2"/>
  <c r="K11" i="2"/>
  <c r="K10" i="2"/>
  <c r="K8" i="2"/>
  <c r="K9" i="2"/>
  <c r="G8" i="2"/>
  <c r="G7" i="2"/>
  <c r="B3" i="2"/>
  <c r="G10" i="2" s="1"/>
  <c r="F10" i="2" s="1"/>
  <c r="F11" i="6" l="1"/>
  <c r="L11" i="6"/>
  <c r="L10" i="6"/>
  <c r="H13" i="6" s="1"/>
  <c r="F10" i="6"/>
  <c r="Q10" i="2"/>
  <c r="Q11" i="2" s="1"/>
  <c r="Q12" i="2" s="1"/>
  <c r="Q13" i="2" s="1"/>
  <c r="Q14" i="2" s="1"/>
  <c r="Q15" i="2" s="1"/>
  <c r="Q16" i="2" s="1"/>
  <c r="Q17" i="2" s="1"/>
  <c r="L10" i="2"/>
  <c r="G11" i="2"/>
  <c r="G9" i="2"/>
  <c r="F9" i="2" s="1"/>
  <c r="H14" i="2"/>
  <c r="H15" i="2" s="1"/>
  <c r="Q19" i="2" l="1"/>
  <c r="Q20" i="2" s="1"/>
  <c r="Q21" i="2" s="1"/>
  <c r="Q22" i="2" s="1"/>
  <c r="Q23" i="2" s="1"/>
  <c r="Q24" i="2" s="1"/>
  <c r="F11" i="2"/>
  <c r="L11" i="2"/>
  <c r="H13" i="2"/>
</calcChain>
</file>

<file path=xl/sharedStrings.xml><?xml version="1.0" encoding="utf-8"?>
<sst xmlns="http://schemas.openxmlformats.org/spreadsheetml/2006/main" count="109" uniqueCount="69">
  <si>
    <t>Dia</t>
  </si>
  <si>
    <t>Dia da Semana</t>
  </si>
  <si>
    <t>Descrição</t>
  </si>
  <si>
    <t>Sáb</t>
  </si>
  <si>
    <t>Dom</t>
  </si>
  <si>
    <t>Seg</t>
  </si>
  <si>
    <t>Ter</t>
  </si>
  <si>
    <t>Qua</t>
  </si>
  <si>
    <t>Qui</t>
  </si>
  <si>
    <t>Sex</t>
  </si>
  <si>
    <t>Mês</t>
  </si>
  <si>
    <t>Fevereiro</t>
  </si>
  <si>
    <t>N Mês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</si>
  <si>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</si>
  <si>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</si>
  <si>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</si>
  <si>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</si>
  <si>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</si>
  <si>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</si>
  <si>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</si>
  <si>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</si>
  <si>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</si>
  <si>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</si>
  <si>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</si>
  <si>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Zeros (Caixas)</t>
  </si>
  <si>
    <t>Reagendamentos (Caixas)</t>
  </si>
  <si>
    <t>Produtividade Execução Manual (Caixas / Hora)</t>
  </si>
  <si>
    <t>Produtividade Cheias (Paletes / Hora)</t>
  </si>
  <si>
    <t>Produtividade Vitafilme (Paletes / Hora)</t>
  </si>
  <si>
    <t>Taxa de Absentismo</t>
  </si>
  <si>
    <t>Pressupostos do Mês</t>
  </si>
  <si>
    <t>Nº Total Caixas Pedido</t>
  </si>
  <si>
    <t>Nº Total Caixas Pedido Execução Manual</t>
  </si>
  <si>
    <t>Manhã</t>
  </si>
  <si>
    <t>Tarde</t>
  </si>
  <si>
    <t>Noite</t>
  </si>
  <si>
    <t>Turno</t>
  </si>
  <si>
    <t>Gestão Operacional</t>
  </si>
  <si>
    <t>Supervisão</t>
  </si>
  <si>
    <t>Receção</t>
  </si>
  <si>
    <t>PRODUTIVIDADE ALL-IN PREVISTA</t>
  </si>
  <si>
    <t>Vitafilme</t>
  </si>
  <si>
    <t>Execução Manual</t>
  </si>
  <si>
    <t>Contentores Completos</t>
  </si>
  <si>
    <t>TOTAL HORAS NECESSÁRIAS NO DIA</t>
  </si>
  <si>
    <t>TOTAL PESSOAS</t>
  </si>
  <si>
    <t>horas</t>
  </si>
  <si>
    <t>Nº Horas por Pessoa por Dia</t>
  </si>
  <si>
    <t>Capacidade com Horas Pedidas</t>
  </si>
  <si>
    <t>Nº DE PESSOAS PEDIDAS</t>
  </si>
  <si>
    <t>Total Pessoas</t>
  </si>
  <si>
    <t>Total Horas</t>
  </si>
  <si>
    <t>Nº Paletes Execução Manual (Torre)</t>
  </si>
  <si>
    <t>Nº Contentores Completos (Torre)</t>
  </si>
  <si>
    <t>Nº Caixas Expedidas</t>
  </si>
  <si>
    <t>Nº Horas Empregues (Total Armazém)</t>
  </si>
  <si>
    <t>Desvio</t>
  </si>
  <si>
    <t>RESULTADO</t>
  </si>
  <si>
    <t>PREVISÃO</t>
  </si>
  <si>
    <t>Hora Arranque</t>
  </si>
  <si>
    <t>Hora Fim</t>
  </si>
  <si>
    <t>Hora Início</t>
  </si>
  <si>
    <t>Cxs Previstas</t>
  </si>
  <si>
    <t>Cxs Realizadas</t>
  </si>
  <si>
    <t># Horas Execução</t>
  </si>
  <si>
    <t>A preencher manualmente</t>
  </si>
  <si>
    <t>Produtividade Real All-In</t>
  </si>
  <si>
    <t>Cálculo automático</t>
  </si>
  <si>
    <t>Produtividade Real All-In (caixas / hora)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</si>
</sst>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9" formatCode="[$-F400]h:mm:ss\ AM/PM"/>
    <numFmt numFmtId="17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rgb="FF002060"/>
      <name val="Calibri"/>
      <family val="2"/>
      <scheme val="minor"/>
    </font>
    <font>
      <sz val="36"/>
      <color rgb="FF00206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rgb="FF002060"/>
      </bottom>
      <diagonal/>
    </border>
    <border>
      <left/>
      <right/>
      <top style="double">
        <color rgb="FF002060"/>
      </top>
      <bottom style="hair">
        <color rgb="FF002060"/>
      </bottom>
      <diagonal/>
    </border>
    <border>
      <left style="hair">
        <color theme="6"/>
      </left>
      <right style="hair">
        <color theme="6"/>
      </right>
      <top/>
      <bottom style="hair">
        <color theme="6"/>
      </bottom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hair">
        <color theme="6"/>
      </bottom>
      <diagonal/>
    </border>
    <border>
      <left style="medium">
        <color theme="6"/>
      </left>
      <right style="medium">
        <color theme="6"/>
      </right>
      <top style="hair">
        <color theme="6"/>
      </top>
      <bottom style="hair">
        <color theme="6"/>
      </bottom>
      <diagonal/>
    </border>
    <border>
      <left style="medium">
        <color theme="6"/>
      </left>
      <right style="medium">
        <color theme="6"/>
      </right>
      <top style="hair">
        <color theme="6"/>
      </top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 style="hair">
        <color theme="6"/>
      </bottom>
      <diagonal/>
    </border>
    <border>
      <left style="medium">
        <color theme="6"/>
      </left>
      <right/>
      <top style="hair">
        <color theme="6"/>
      </top>
      <bottom style="hair">
        <color theme="6"/>
      </bottom>
      <diagonal/>
    </border>
    <border>
      <left style="medium">
        <color theme="6"/>
      </left>
      <right/>
      <top style="hair">
        <color theme="6"/>
      </top>
      <bottom style="medium">
        <color theme="6"/>
      </bottom>
      <diagonal/>
    </border>
    <border>
      <left style="medium">
        <color theme="6"/>
      </left>
      <right style="hair">
        <color theme="6"/>
      </right>
      <top style="medium">
        <color theme="6"/>
      </top>
      <bottom style="hair">
        <color theme="6"/>
      </bottom>
      <diagonal/>
    </border>
    <border>
      <left style="hair">
        <color theme="6"/>
      </left>
      <right style="hair">
        <color theme="6"/>
      </right>
      <top style="medium">
        <color theme="6"/>
      </top>
      <bottom style="hair">
        <color theme="6"/>
      </bottom>
      <diagonal/>
    </border>
    <border>
      <left style="hair">
        <color theme="6"/>
      </left>
      <right style="medium">
        <color theme="6"/>
      </right>
      <top style="medium">
        <color theme="6"/>
      </top>
      <bottom style="hair">
        <color theme="6"/>
      </bottom>
      <diagonal/>
    </border>
    <border>
      <left style="medium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  <border>
      <left style="hair">
        <color theme="6"/>
      </left>
      <right style="medium">
        <color theme="6"/>
      </right>
      <top style="hair">
        <color theme="6"/>
      </top>
      <bottom style="hair">
        <color theme="6"/>
      </bottom>
      <diagonal/>
    </border>
    <border>
      <left style="medium">
        <color theme="6"/>
      </left>
      <right style="hair">
        <color theme="6"/>
      </right>
      <top style="hair">
        <color theme="6"/>
      </top>
      <bottom style="medium">
        <color theme="6"/>
      </bottom>
      <diagonal/>
    </border>
    <border>
      <left style="hair">
        <color theme="6"/>
      </left>
      <right style="hair">
        <color theme="6"/>
      </right>
      <top style="hair">
        <color theme="6"/>
      </top>
      <bottom style="medium">
        <color theme="6"/>
      </bottom>
      <diagonal/>
    </border>
    <border>
      <left style="hair">
        <color theme="6"/>
      </left>
      <right style="medium">
        <color theme="6"/>
      </right>
      <top style="hair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/>
      <right style="medium">
        <color theme="6"/>
      </right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 style="hair">
        <color theme="6"/>
      </left>
      <right/>
      <top style="medium">
        <color theme="6"/>
      </top>
      <bottom style="hair">
        <color theme="6"/>
      </bottom>
      <diagonal/>
    </border>
    <border>
      <left style="hair">
        <color theme="6"/>
      </left>
      <right/>
      <top style="hair">
        <color theme="6"/>
      </top>
      <bottom style="medium">
        <color theme="6"/>
      </bottom>
      <diagonal/>
    </border>
    <border>
      <left style="medium">
        <color theme="6"/>
      </left>
      <right style="hair">
        <color theme="6"/>
      </right>
      <top style="medium">
        <color theme="6"/>
      </top>
      <bottom/>
      <diagonal/>
    </border>
    <border>
      <left style="hair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 style="hair">
        <color theme="6"/>
      </right>
      <top/>
      <bottom style="medium">
        <color theme="6"/>
      </bottom>
      <diagonal/>
    </border>
    <border>
      <left style="hair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/>
      <right/>
      <top/>
      <bottom style="double">
        <color theme="6"/>
      </bottom>
      <diagonal/>
    </border>
    <border>
      <left style="medium">
        <color theme="6"/>
      </left>
      <right style="hair">
        <color theme="6"/>
      </right>
      <top/>
      <bottom style="hair">
        <color theme="6"/>
      </bottom>
      <diagonal/>
    </border>
    <border>
      <left style="hair">
        <color theme="6"/>
      </left>
      <right style="medium">
        <color theme="6"/>
      </right>
      <top/>
      <bottom style="hair">
        <color theme="6"/>
      </bottom>
      <diagonal/>
    </border>
    <border>
      <left style="medium">
        <color theme="6"/>
      </left>
      <right style="hair">
        <color theme="6"/>
      </right>
      <top style="medium">
        <color theme="6"/>
      </top>
      <bottom style="medium">
        <color theme="6"/>
      </bottom>
      <diagonal/>
    </border>
    <border>
      <left style="hair">
        <color theme="6"/>
      </left>
      <right style="hair">
        <color theme="6"/>
      </right>
      <top style="medium">
        <color theme="6"/>
      </top>
      <bottom style="medium">
        <color theme="6"/>
      </bottom>
      <diagonal/>
    </border>
    <border>
      <left style="hair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6" fontId="0" fillId="0" borderId="0" xfId="1" applyNumberFormat="1" applyFont="1" applyAlignment="1">
      <alignment horizontal="right" vertical="center"/>
    </xf>
    <xf numFmtId="166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right" vertical="center"/>
    </xf>
    <xf numFmtId="166" fontId="0" fillId="0" borderId="0" xfId="1" applyNumberFormat="1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1" applyNumberFormat="1" applyFont="1" applyAlignment="1">
      <alignment horizontal="right" vertical="center" wrapText="1"/>
    </xf>
    <xf numFmtId="166" fontId="2" fillId="0" borderId="0" xfId="1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166" fontId="12" fillId="0" borderId="7" xfId="1" applyNumberFormat="1" applyFont="1" applyBorder="1" applyAlignment="1">
      <alignment horizontal="right" vertical="center"/>
    </xf>
    <xf numFmtId="166" fontId="12" fillId="0" borderId="5" xfId="1" applyNumberFormat="1" applyFont="1" applyBorder="1" applyAlignment="1">
      <alignment horizontal="right" vertical="center"/>
    </xf>
    <xf numFmtId="166" fontId="12" fillId="0" borderId="6" xfId="1" applyNumberFormat="1" applyFont="1" applyBorder="1" applyAlignment="1">
      <alignment horizontal="right" vertical="center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6" fontId="13" fillId="0" borderId="11" xfId="1" applyNumberFormat="1" applyFont="1" applyFill="1" applyBorder="1" applyAlignment="1">
      <alignment horizontal="center" vertical="center"/>
    </xf>
    <xf numFmtId="166" fontId="13" fillId="6" borderId="12" xfId="1" applyNumberFormat="1" applyFont="1" applyFill="1" applyBorder="1" applyAlignment="1">
      <alignment horizontal="right" vertical="center" wrapText="1"/>
    </xf>
    <xf numFmtId="166" fontId="13" fillId="6" borderId="13" xfId="1" applyNumberFormat="1" applyFont="1" applyFill="1" applyBorder="1" applyAlignment="1">
      <alignment horizontal="right" vertical="center" wrapText="1"/>
    </xf>
    <xf numFmtId="166" fontId="13" fillId="0" borderId="14" xfId="1" applyNumberFormat="1" applyFont="1" applyFill="1" applyBorder="1" applyAlignment="1">
      <alignment horizontal="center" vertical="center"/>
    </xf>
    <xf numFmtId="166" fontId="13" fillId="6" borderId="4" xfId="1" applyNumberFormat="1" applyFont="1" applyFill="1" applyBorder="1" applyAlignment="1">
      <alignment horizontal="right" vertical="center" wrapText="1"/>
    </xf>
    <xf numFmtId="166" fontId="13" fillId="6" borderId="15" xfId="1" applyNumberFormat="1" applyFont="1" applyFill="1" applyBorder="1" applyAlignment="1">
      <alignment horizontal="right" vertical="center" wrapText="1"/>
    </xf>
    <xf numFmtId="165" fontId="13" fillId="4" borderId="14" xfId="1" applyNumberFormat="1" applyFont="1" applyFill="1" applyBorder="1" applyAlignment="1">
      <alignment horizontal="right" vertical="center"/>
    </xf>
    <xf numFmtId="166" fontId="13" fillId="4" borderId="15" xfId="1" applyNumberFormat="1" applyFont="1" applyFill="1" applyBorder="1" applyAlignment="1">
      <alignment horizontal="right" vertical="center"/>
    </xf>
    <xf numFmtId="165" fontId="13" fillId="6" borderId="4" xfId="1" applyNumberFormat="1" applyFont="1" applyFill="1" applyBorder="1" applyAlignment="1">
      <alignment horizontal="right" vertical="center" wrapText="1"/>
    </xf>
    <xf numFmtId="166" fontId="13" fillId="4" borderId="14" xfId="1" applyNumberFormat="1" applyFont="1" applyFill="1" applyBorder="1" applyAlignment="1">
      <alignment horizontal="right" vertical="center"/>
    </xf>
    <xf numFmtId="166" fontId="13" fillId="4" borderId="16" xfId="1" applyNumberFormat="1" applyFont="1" applyFill="1" applyBorder="1" applyAlignment="1">
      <alignment horizontal="right" vertical="center"/>
    </xf>
    <xf numFmtId="166" fontId="13" fillId="4" borderId="18" xfId="1" applyNumberFormat="1" applyFont="1" applyFill="1" applyBorder="1" applyAlignment="1">
      <alignment horizontal="right" vertical="center"/>
    </xf>
    <xf numFmtId="166" fontId="13" fillId="6" borderId="17" xfId="1" applyNumberFormat="1" applyFont="1" applyFill="1" applyBorder="1" applyAlignment="1">
      <alignment horizontal="right" vertical="center" wrapText="1"/>
    </xf>
    <xf numFmtId="166" fontId="13" fillId="6" borderId="18" xfId="1" applyNumberFormat="1" applyFont="1" applyFill="1" applyBorder="1" applyAlignment="1">
      <alignment horizontal="right" vertical="center" wrapText="1"/>
    </xf>
    <xf numFmtId="0" fontId="11" fillId="0" borderId="21" xfId="0" applyFont="1" applyBorder="1" applyAlignment="1">
      <alignment horizontal="center" vertical="center"/>
    </xf>
    <xf numFmtId="1" fontId="15" fillId="0" borderId="0" xfId="0" applyNumberFormat="1" applyFont="1" applyFill="1" applyAlignment="1">
      <alignment horizontal="center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8" borderId="10" xfId="0" applyFont="1" applyFill="1" applyBorder="1" applyAlignment="1">
      <alignment horizontal="left" vertical="center"/>
    </xf>
    <xf numFmtId="166" fontId="10" fillId="8" borderId="33" xfId="1" applyNumberFormat="1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166" fontId="14" fillId="6" borderId="9" xfId="1" applyNumberFormat="1" applyFont="1" applyFill="1" applyBorder="1" applyAlignment="1">
      <alignment horizontal="right" vertical="center"/>
    </xf>
    <xf numFmtId="166" fontId="14" fillId="6" borderId="10" xfId="1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169" fontId="13" fillId="0" borderId="0" xfId="0" applyNumberFormat="1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6" fontId="5" fillId="2" borderId="0" xfId="3" applyNumberFormat="1" applyFont="1" applyFill="1" applyAlignment="1">
      <alignment horizontal="center" vertical="center"/>
    </xf>
    <xf numFmtId="9" fontId="0" fillId="2" borderId="0" xfId="2" applyFont="1" applyFill="1"/>
    <xf numFmtId="0" fontId="2" fillId="0" borderId="0" xfId="0" applyFont="1" applyAlignment="1">
      <alignment horizontal="center" vertical="center"/>
    </xf>
    <xf numFmtId="166" fontId="8" fillId="0" borderId="3" xfId="1" applyNumberFormat="1" applyFont="1" applyBorder="1" applyAlignment="1">
      <alignment horizontal="center" vertical="center"/>
    </xf>
    <xf numFmtId="166" fontId="8" fillId="0" borderId="4" xfId="1" applyNumberFormat="1" applyFont="1" applyBorder="1" applyAlignment="1">
      <alignment horizontal="right" vertical="center"/>
    </xf>
    <xf numFmtId="166" fontId="8" fillId="0" borderId="15" xfId="1" applyNumberFormat="1" applyFont="1" applyBorder="1" applyAlignment="1">
      <alignment horizontal="right" vertical="center"/>
    </xf>
    <xf numFmtId="166" fontId="9" fillId="0" borderId="15" xfId="1" applyNumberFormat="1" applyFont="1" applyBorder="1" applyAlignment="1">
      <alignment horizontal="right" vertical="center"/>
    </xf>
    <xf numFmtId="166" fontId="8" fillId="0" borderId="17" xfId="1" applyNumberFormat="1" applyFont="1" applyBorder="1" applyAlignment="1">
      <alignment horizontal="right" vertical="center"/>
    </xf>
    <xf numFmtId="20" fontId="8" fillId="0" borderId="34" xfId="1" applyNumberFormat="1" applyFont="1" applyBorder="1" applyAlignment="1">
      <alignment horizontal="center" vertical="center"/>
    </xf>
    <xf numFmtId="20" fontId="8" fillId="0" borderId="3" xfId="1" applyNumberFormat="1" applyFont="1" applyBorder="1" applyAlignment="1">
      <alignment horizontal="center" vertical="center"/>
    </xf>
    <xf numFmtId="20" fontId="8" fillId="0" borderId="14" xfId="1" applyNumberFormat="1" applyFont="1" applyBorder="1" applyAlignment="1">
      <alignment horizontal="center" vertical="center"/>
    </xf>
    <xf numFmtId="20" fontId="8" fillId="0" borderId="4" xfId="1" applyNumberFormat="1" applyFont="1" applyBorder="1" applyAlignment="1">
      <alignment horizontal="center" vertical="center"/>
    </xf>
    <xf numFmtId="20" fontId="8" fillId="0" borderId="16" xfId="1" applyNumberFormat="1" applyFont="1" applyBorder="1" applyAlignment="1">
      <alignment horizontal="center" vertical="center"/>
    </xf>
    <xf numFmtId="20" fontId="8" fillId="0" borderId="17" xfId="1" applyNumberFormat="1" applyFont="1" applyBorder="1" applyAlignment="1">
      <alignment horizontal="center" vertical="center"/>
    </xf>
    <xf numFmtId="166" fontId="8" fillId="0" borderId="35" xfId="1" applyNumberFormat="1" applyFont="1" applyBorder="1" applyAlignment="1">
      <alignment horizontal="center" vertical="center"/>
    </xf>
    <xf numFmtId="166" fontId="8" fillId="0" borderId="15" xfId="1" applyNumberFormat="1" applyFont="1" applyBorder="1" applyAlignment="1">
      <alignment horizontal="center" vertical="center"/>
    </xf>
    <xf numFmtId="166" fontId="8" fillId="0" borderId="18" xfId="1" applyNumberFormat="1" applyFont="1" applyBorder="1" applyAlignment="1">
      <alignment horizontal="center" vertical="center"/>
    </xf>
    <xf numFmtId="166" fontId="14" fillId="2" borderId="14" xfId="1" applyNumberFormat="1" applyFont="1" applyFill="1" applyBorder="1" applyAlignment="1">
      <alignment horizontal="center" vertical="center"/>
    </xf>
    <xf numFmtId="166" fontId="14" fillId="2" borderId="4" xfId="1" applyNumberFormat="1" applyFont="1" applyFill="1" applyBorder="1" applyAlignment="1">
      <alignment horizontal="center" vertical="center"/>
    </xf>
    <xf numFmtId="166" fontId="14" fillId="2" borderId="16" xfId="1" applyNumberFormat="1" applyFont="1" applyFill="1" applyBorder="1" applyAlignment="1">
      <alignment horizontal="center" vertical="center"/>
    </xf>
    <xf numFmtId="166" fontId="14" fillId="2" borderId="17" xfId="1" applyNumberFormat="1" applyFont="1" applyFill="1" applyBorder="1" applyAlignment="1">
      <alignment horizontal="center" vertical="center"/>
    </xf>
    <xf numFmtId="166" fontId="10" fillId="9" borderId="30" xfId="1" applyNumberFormat="1" applyFont="1" applyFill="1" applyBorder="1" applyAlignment="1">
      <alignment horizontal="center" vertical="center"/>
    </xf>
    <xf numFmtId="166" fontId="10" fillId="9" borderId="31" xfId="1" applyNumberFormat="1" applyFont="1" applyFill="1" applyBorder="1" applyAlignment="1">
      <alignment horizontal="center" vertical="center"/>
    </xf>
    <xf numFmtId="166" fontId="10" fillId="9" borderId="32" xfId="1" applyNumberFormat="1" applyFont="1" applyFill="1" applyBorder="1" applyAlignment="1">
      <alignment horizontal="center" vertical="center"/>
    </xf>
    <xf numFmtId="166" fontId="10" fillId="9" borderId="22" xfId="1" applyNumberFormat="1" applyFont="1" applyFill="1" applyBorder="1" applyAlignment="1">
      <alignment horizontal="center" vertical="center"/>
    </xf>
    <xf numFmtId="166" fontId="10" fillId="9" borderId="0" xfId="1" applyNumberFormat="1" applyFont="1" applyFill="1" applyBorder="1" applyAlignment="1">
      <alignment horizontal="center" vertical="center"/>
    </xf>
    <xf numFmtId="166" fontId="10" fillId="9" borderId="19" xfId="1" applyNumberFormat="1" applyFont="1" applyFill="1" applyBorder="1" applyAlignment="1">
      <alignment horizontal="center" vertical="center"/>
    </xf>
    <xf numFmtId="166" fontId="10" fillId="9" borderId="23" xfId="1" applyNumberFormat="1" applyFont="1" applyFill="1" applyBorder="1" applyAlignment="1">
      <alignment horizontal="center" vertical="center"/>
    </xf>
    <xf numFmtId="166" fontId="10" fillId="9" borderId="21" xfId="1" applyNumberFormat="1" applyFont="1" applyFill="1" applyBorder="1" applyAlignment="1">
      <alignment horizontal="center" vertical="center"/>
    </xf>
    <xf numFmtId="166" fontId="10" fillId="9" borderId="20" xfId="1" applyNumberFormat="1" applyFont="1" applyFill="1" applyBorder="1" applyAlignment="1">
      <alignment horizontal="center" vertical="center"/>
    </xf>
    <xf numFmtId="166" fontId="14" fillId="9" borderId="11" xfId="1" applyNumberFormat="1" applyFont="1" applyFill="1" applyBorder="1" applyAlignment="1">
      <alignment horizontal="center" vertical="center"/>
    </xf>
    <xf numFmtId="166" fontId="14" fillId="9" borderId="12" xfId="1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  <xf numFmtId="166" fontId="14" fillId="2" borderId="8" xfId="1" applyNumberFormat="1" applyFont="1" applyFill="1" applyBorder="1" applyAlignment="1">
      <alignment horizontal="right" vertical="center"/>
    </xf>
    <xf numFmtId="166" fontId="14" fillId="2" borderId="9" xfId="1" applyNumberFormat="1" applyFont="1" applyFill="1" applyBorder="1" applyAlignment="1">
      <alignment horizontal="right" vertical="center"/>
    </xf>
    <xf numFmtId="166" fontId="13" fillId="2" borderId="13" xfId="1" applyNumberFormat="1" applyFont="1" applyFill="1" applyBorder="1" applyAlignment="1">
      <alignment horizontal="right" vertical="center"/>
    </xf>
    <xf numFmtId="166" fontId="13" fillId="2" borderId="15" xfId="1" applyNumberFormat="1" applyFont="1" applyFill="1" applyBorder="1" applyAlignment="1">
      <alignment horizontal="right" vertical="center"/>
    </xf>
    <xf numFmtId="166" fontId="13" fillId="2" borderId="11" xfId="1" applyNumberFormat="1" applyFont="1" applyFill="1" applyBorder="1" applyAlignment="1">
      <alignment horizontal="right" vertical="center"/>
    </xf>
    <xf numFmtId="166" fontId="13" fillId="2" borderId="12" xfId="1" applyNumberFormat="1" applyFont="1" applyFill="1" applyBorder="1" applyAlignment="1">
      <alignment horizontal="right" vertical="center"/>
    </xf>
    <xf numFmtId="166" fontId="13" fillId="2" borderId="14" xfId="1" applyNumberFormat="1" applyFont="1" applyFill="1" applyBorder="1" applyAlignment="1">
      <alignment horizontal="right" vertical="center"/>
    </xf>
    <xf numFmtId="166" fontId="13" fillId="2" borderId="4" xfId="1" applyNumberFormat="1" applyFont="1" applyFill="1" applyBorder="1" applyAlignment="1">
      <alignment horizontal="right" vertical="center"/>
    </xf>
    <xf numFmtId="166" fontId="13" fillId="2" borderId="16" xfId="1" applyNumberFormat="1" applyFont="1" applyFill="1" applyBorder="1" applyAlignment="1">
      <alignment horizontal="right" vertical="center"/>
    </xf>
    <xf numFmtId="166" fontId="13" fillId="2" borderId="17" xfId="1" applyNumberFormat="1" applyFont="1" applyFill="1" applyBorder="1" applyAlignment="1">
      <alignment horizontal="right" vertical="center"/>
    </xf>
    <xf numFmtId="14" fontId="16" fillId="2" borderId="0" xfId="0" applyNumberFormat="1" applyFont="1" applyFill="1" applyAlignment="1">
      <alignment horizontal="center" vertical="center"/>
    </xf>
    <xf numFmtId="166" fontId="7" fillId="2" borderId="5" xfId="1" applyNumberFormat="1" applyFont="1" applyFill="1" applyBorder="1" applyAlignment="1">
      <alignment horizontal="right" vertical="center"/>
    </xf>
    <xf numFmtId="166" fontId="7" fillId="2" borderId="6" xfId="1" applyNumberFormat="1" applyFont="1" applyFill="1" applyBorder="1" applyAlignment="1">
      <alignment horizontal="right" vertical="center"/>
    </xf>
    <xf numFmtId="166" fontId="12" fillId="0" borderId="17" xfId="1" applyNumberFormat="1" applyFont="1" applyBorder="1" applyAlignment="1">
      <alignment horizontal="right" vertical="center"/>
    </xf>
    <xf numFmtId="166" fontId="12" fillId="0" borderId="18" xfId="1" applyNumberFormat="1" applyFont="1" applyBorder="1" applyAlignment="1">
      <alignment horizontal="right" vertical="center"/>
    </xf>
    <xf numFmtId="166" fontId="10" fillId="0" borderId="12" xfId="1" applyNumberFormat="1" applyFont="1" applyBorder="1" applyAlignment="1">
      <alignment horizontal="center" vertical="center"/>
    </xf>
    <xf numFmtId="166" fontId="10" fillId="0" borderId="13" xfId="1" applyNumberFormat="1" applyFont="1" applyBorder="1" applyAlignment="1">
      <alignment horizontal="center" vertical="center"/>
    </xf>
    <xf numFmtId="166" fontId="10" fillId="0" borderId="4" xfId="1" applyNumberFormat="1" applyFont="1" applyBorder="1" applyAlignment="1">
      <alignment horizontal="center" vertical="center"/>
    </xf>
    <xf numFmtId="166" fontId="10" fillId="0" borderId="15" xfId="1" applyNumberFormat="1" applyFont="1" applyBorder="1" applyAlignment="1">
      <alignment horizontal="center" vertical="center"/>
    </xf>
    <xf numFmtId="166" fontId="17" fillId="2" borderId="0" xfId="1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20" fontId="9" fillId="0" borderId="14" xfId="1" applyNumberFormat="1" applyFont="1" applyBorder="1" applyAlignment="1">
      <alignment horizontal="center" vertical="center"/>
    </xf>
    <xf numFmtId="20" fontId="9" fillId="0" borderId="4" xfId="1" applyNumberFormat="1" applyFont="1" applyBorder="1" applyAlignment="1">
      <alignment horizontal="center" vertical="center"/>
    </xf>
    <xf numFmtId="166" fontId="9" fillId="0" borderId="4" xfId="1" applyNumberFormat="1" applyFont="1" applyBorder="1" applyAlignment="1">
      <alignment horizontal="right" vertical="center"/>
    </xf>
    <xf numFmtId="166" fontId="10" fillId="8" borderId="30" xfId="1" applyNumberFormat="1" applyFont="1" applyFill="1" applyBorder="1" applyAlignment="1">
      <alignment horizontal="center" vertical="center"/>
    </xf>
    <xf numFmtId="166" fontId="10" fillId="8" borderId="31" xfId="1" applyNumberFormat="1" applyFont="1" applyFill="1" applyBorder="1" applyAlignment="1">
      <alignment horizontal="center" vertical="center"/>
    </xf>
    <xf numFmtId="166" fontId="10" fillId="8" borderId="32" xfId="1" applyNumberFormat="1" applyFont="1" applyFill="1" applyBorder="1" applyAlignment="1">
      <alignment horizontal="center" vertical="center"/>
    </xf>
    <xf numFmtId="166" fontId="10" fillId="8" borderId="22" xfId="1" applyNumberFormat="1" applyFont="1" applyFill="1" applyBorder="1" applyAlignment="1">
      <alignment horizontal="center" vertical="center"/>
    </xf>
    <xf numFmtId="166" fontId="10" fillId="8" borderId="0" xfId="1" applyNumberFormat="1" applyFont="1" applyFill="1" applyBorder="1" applyAlignment="1">
      <alignment horizontal="center" vertical="center"/>
    </xf>
    <xf numFmtId="166" fontId="10" fillId="8" borderId="19" xfId="1" applyNumberFormat="1" applyFont="1" applyFill="1" applyBorder="1" applyAlignment="1">
      <alignment horizontal="center" vertical="center"/>
    </xf>
    <xf numFmtId="166" fontId="10" fillId="8" borderId="23" xfId="1" applyNumberFormat="1" applyFont="1" applyFill="1" applyBorder="1" applyAlignment="1">
      <alignment horizontal="center" vertical="center"/>
    </xf>
    <xf numFmtId="166" fontId="10" fillId="8" borderId="21" xfId="1" applyNumberFormat="1" applyFont="1" applyFill="1" applyBorder="1" applyAlignment="1">
      <alignment horizontal="center" vertical="center"/>
    </xf>
    <xf numFmtId="166" fontId="10" fillId="8" borderId="20" xfId="1" applyNumberFormat="1" applyFont="1" applyFill="1" applyBorder="1" applyAlignment="1">
      <alignment horizontal="center" vertical="center"/>
    </xf>
    <xf numFmtId="166" fontId="14" fillId="8" borderId="11" xfId="1" applyNumberFormat="1" applyFont="1" applyFill="1" applyBorder="1" applyAlignment="1">
      <alignment horizontal="center" vertical="center"/>
    </xf>
    <xf numFmtId="166" fontId="14" fillId="8" borderId="12" xfId="1" applyNumberFormat="1" applyFont="1" applyFill="1" applyBorder="1" applyAlignment="1">
      <alignment horizontal="center" vertical="center"/>
    </xf>
    <xf numFmtId="166" fontId="14" fillId="3" borderId="14" xfId="1" applyNumberFormat="1" applyFont="1" applyFill="1" applyBorder="1" applyAlignment="1">
      <alignment horizontal="center" vertical="center"/>
    </xf>
    <xf numFmtId="166" fontId="14" fillId="3" borderId="4" xfId="1" applyNumberFormat="1" applyFont="1" applyFill="1" applyBorder="1" applyAlignment="1">
      <alignment horizontal="center" vertical="center"/>
    </xf>
    <xf numFmtId="166" fontId="14" fillId="3" borderId="16" xfId="1" applyNumberFormat="1" applyFont="1" applyFill="1" applyBorder="1" applyAlignment="1">
      <alignment horizontal="center" vertical="center"/>
    </xf>
    <xf numFmtId="166" fontId="14" fillId="3" borderId="17" xfId="1" applyNumberFormat="1" applyFont="1" applyFill="1" applyBorder="1" applyAlignment="1">
      <alignment horizontal="center" vertical="center"/>
    </xf>
    <xf numFmtId="166" fontId="10" fillId="7" borderId="33" xfId="1" applyNumberFormat="1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left" vertical="center"/>
    </xf>
    <xf numFmtId="0" fontId="14" fillId="7" borderId="9" xfId="0" applyFont="1" applyFill="1" applyBorder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</cellXfs>
  <cellStyles count="4">
    <cellStyle name="Comma" xfId="1" builtinId="3"/>
    <cellStyle name="Comma 2" xfId="3" xr:uid="{BA9EFE45-0B54-4137-9843-3C6CF76A3F6C}"/>
    <cellStyle name="Normal" xfId="0" builtinId="0"/>
    <cellStyle name="Percent" xfId="2" builtinId="5"/>
  </cellStyles>
  <dxfs count="11"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EFF6EA"/>
      <color rgb="FFFFFAEB"/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63C3FB-B8BA-4055-BCB8-85DB17401802}" name="Table2" displayName="Table2" ref="B2:C9" totalsRowShown="0">
  <autoFilter ref="B2:C9" xr:uid="{D44461B4-0857-45B6-884F-DAB39D8C00C4}"/>
  <tableColumns count="2">
    <tableColumn id="1" xr3:uid="{1AE7AD4C-4D23-4EE4-B3EC-2B152CC3947C}" name="Dia da Semana"/>
    <tableColumn id="2" xr3:uid="{E500C593-9195-45CE-9A26-AD6C118A0B4D}" name="Descriçã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5D3EC2-EAEA-49C3-995A-D6F590DEA937}" name="Table3" displayName="Table3" ref="E2:F14" totalsRowShown="0">
  <autoFilter ref="E2:F14" xr:uid="{2C5A8C77-F5E6-46A4-9748-6BF5F173DF1F}"/>
  <tableColumns count="2">
    <tableColumn id="1" xr3:uid="{E95D7B97-080E-4294-BFAA-C00C95E3F044}" name="Mês"/>
    <tableColumn id="2" xr3:uid="{A07F14B9-FB9C-4B41-83B7-E53338177F1F}" name="N Mê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8CDA-F955-4F4F-A389-9A03898B52F3}">
  <dimension ref="A4:Z33"/>
  <sheetViews>
    <sheetView showGridLines="0" zoomScale="70" zoomScaleNormal="70" workbookViewId="0">
      <pane xSplit="12" ySplit="5" topLeftCell="M6" activePane="bottomRight" state="frozen"/>
      <selection activeCell="E13" sqref="E13"/>
      <selection pane="topRight" activeCell="E13" sqref="E13"/>
      <selection pane="bottomLeft" activeCell="E13" sqref="E13"/>
      <selection pane="bottomRight" activeCell="H8" sqref="H8"/>
    </sheetView>
  </sheetViews>
  <sheetFormatPr defaultColWidth="8.81640625" defaultRowHeight="14.5" outlineLevelCol="1" x14ac:dyDescent="0.35"/>
  <cols>
    <col min="1" max="1" width="8.81640625" style="5"/>
    <col min="2" max="2" width="48.1796875" style="5" customWidth="1" outlineLevel="1"/>
    <col min="3" max="3" width="10.6328125" style="5" customWidth="1" outlineLevel="1"/>
    <col min="4" max="9" width="10.6328125" style="1" customWidth="1" outlineLevel="1"/>
    <col min="10" max="10" width="5.1796875" style="1" customWidth="1"/>
    <col min="11" max="11" width="26.08984375" customWidth="1"/>
    <col min="12" max="12" width="60.08984375" customWidth="1"/>
    <col min="13" max="13" width="12.90625" customWidth="1"/>
    <col min="15" max="15" width="35.26953125" bestFit="1" customWidth="1"/>
    <col min="16" max="16" width="23.81640625" customWidth="1"/>
    <col min="18" max="19" width="25.36328125" customWidth="1"/>
    <col min="20" max="23" width="11.6328125" customWidth="1"/>
    <col min="24" max="24" width="5.54296875" customWidth="1"/>
    <col min="27" max="16384" width="8.81640625" style="1"/>
  </cols>
  <sheetData>
    <row r="4" spans="1:26" ht="15" thickBot="1" x14ac:dyDescent="0.4">
      <c r="B4" s="3" t="s">
        <v>30</v>
      </c>
      <c r="C4" s="3"/>
      <c r="D4" s="3"/>
      <c r="E4" s="3"/>
      <c r="F4" s="3"/>
      <c r="G4" s="3"/>
      <c r="H4" s="3"/>
      <c r="I4" s="3"/>
    </row>
    <row r="5" spans="1:26" ht="15" thickTop="1" x14ac:dyDescent="0.35">
      <c r="B5" s="2" t="s">
        <v>0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3</v>
      </c>
      <c r="I5" s="2" t="s">
        <v>4</v>
      </c>
    </row>
    <row r="6" spans="1:26" s="7" customFormat="1" ht="37" customHeight="1" x14ac:dyDescent="0.35">
      <c r="A6" s="5"/>
      <c r="B6" s="6" t="s">
        <v>24</v>
      </c>
      <c r="C6" s="66">
        <v>10000</v>
      </c>
      <c r="D6" s="66">
        <v>10000</v>
      </c>
      <c r="E6" s="66">
        <v>10000</v>
      </c>
      <c r="F6" s="66">
        <v>10000</v>
      </c>
      <c r="G6" s="66">
        <v>10000</v>
      </c>
      <c r="H6" s="66">
        <v>10000</v>
      </c>
      <c r="I6" s="66">
        <v>10000</v>
      </c>
      <c r="J6" s="1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7" customFormat="1" ht="37" customHeight="1" x14ac:dyDescent="0.35">
      <c r="A7" s="5"/>
      <c r="B7" s="6" t="s">
        <v>25</v>
      </c>
      <c r="C7" s="66">
        <v>5000</v>
      </c>
      <c r="D7" s="66">
        <v>5000</v>
      </c>
      <c r="E7" s="66">
        <v>5000</v>
      </c>
      <c r="F7" s="66">
        <v>5000</v>
      </c>
      <c r="G7" s="66">
        <v>5000</v>
      </c>
      <c r="H7" s="66">
        <v>5000</v>
      </c>
      <c r="I7" s="66">
        <v>5000</v>
      </c>
      <c r="J7" s="1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7" customFormat="1" ht="37" customHeight="1" x14ac:dyDescent="0.35">
      <c r="A8" s="5"/>
      <c r="B8" s="6" t="s">
        <v>26</v>
      </c>
      <c r="C8" s="66">
        <v>190</v>
      </c>
      <c r="D8" s="66">
        <v>190</v>
      </c>
      <c r="E8" s="66">
        <v>190</v>
      </c>
      <c r="F8" s="66">
        <v>190</v>
      </c>
      <c r="G8" s="66">
        <v>190</v>
      </c>
      <c r="H8" s="66">
        <v>190</v>
      </c>
      <c r="I8" s="66">
        <v>190</v>
      </c>
      <c r="J8" s="1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7" customFormat="1" ht="37" customHeight="1" x14ac:dyDescent="0.35">
      <c r="A9" s="5"/>
      <c r="B9" s="6" t="s">
        <v>27</v>
      </c>
      <c r="C9" s="66">
        <v>120</v>
      </c>
      <c r="D9" s="66">
        <v>120</v>
      </c>
      <c r="E9" s="66">
        <v>120</v>
      </c>
      <c r="F9" s="66">
        <v>120</v>
      </c>
      <c r="G9" s="66">
        <v>120</v>
      </c>
      <c r="H9" s="66">
        <v>120</v>
      </c>
      <c r="I9" s="66">
        <v>120</v>
      </c>
      <c r="J9" s="1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7" customFormat="1" ht="37" customHeight="1" x14ac:dyDescent="0.35">
      <c r="A10" s="5"/>
      <c r="B10" s="6" t="s">
        <v>28</v>
      </c>
      <c r="C10" s="66">
        <v>100</v>
      </c>
      <c r="D10" s="66">
        <v>100</v>
      </c>
      <c r="E10" s="66">
        <v>100</v>
      </c>
      <c r="F10" s="66">
        <v>100</v>
      </c>
      <c r="G10" s="66">
        <v>100</v>
      </c>
      <c r="H10" s="66">
        <v>100</v>
      </c>
      <c r="I10" s="66">
        <v>100</v>
      </c>
      <c r="J10" s="1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7" customFormat="1" ht="37" customHeight="1" x14ac:dyDescent="0.35">
      <c r="A11" s="5"/>
      <c r="B11" s="6" t="s">
        <v>29</v>
      </c>
      <c r="C11" s="67">
        <v>0.05</v>
      </c>
      <c r="D11" s="67">
        <v>0.05</v>
      </c>
      <c r="E11" s="67">
        <v>0.05</v>
      </c>
      <c r="F11" s="67">
        <v>0.05</v>
      </c>
      <c r="G11" s="67">
        <v>0.05</v>
      </c>
      <c r="H11" s="67">
        <v>0.05</v>
      </c>
      <c r="I11" s="67">
        <v>0.05</v>
      </c>
      <c r="J11" s="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7" customFormat="1" ht="37" customHeight="1" x14ac:dyDescent="0.35">
      <c r="A12" s="5"/>
      <c r="B12" s="1"/>
      <c r="C12" s="1"/>
      <c r="D12" s="1"/>
      <c r="E12" s="1"/>
      <c r="F12" s="1"/>
      <c r="G12" s="1"/>
      <c r="H12" s="1"/>
      <c r="I12" s="1"/>
      <c r="J12" s="1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7" customFormat="1" ht="37" customHeight="1" x14ac:dyDescent="0.35">
      <c r="A13" s="5"/>
      <c r="B13" s="5" t="s">
        <v>47</v>
      </c>
      <c r="C13" s="8">
        <v>8</v>
      </c>
      <c r="D13" s="1" t="s">
        <v>46</v>
      </c>
      <c r="E13" s="1"/>
      <c r="F13" s="1"/>
      <c r="G13" s="1"/>
      <c r="H13" s="1"/>
      <c r="I13" s="4"/>
      <c r="J13" s="1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s="7" customFormat="1" ht="37" customHeight="1" x14ac:dyDescent="0.35">
      <c r="A14" s="5"/>
      <c r="D14" s="1"/>
      <c r="E14" s="1"/>
      <c r="F14" s="1"/>
      <c r="G14" s="1"/>
      <c r="H14" s="1"/>
      <c r="I14" s="4"/>
      <c r="J14" s="1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7" customFormat="1" ht="37" customHeight="1" x14ac:dyDescent="0.35">
      <c r="A15" s="5"/>
      <c r="D15" s="1"/>
      <c r="E15" s="1"/>
      <c r="F15" s="1"/>
      <c r="G15" s="1"/>
      <c r="H15" s="1"/>
      <c r="I15" s="4"/>
      <c r="J15" s="1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s="7" customFormat="1" ht="37" customHeight="1" x14ac:dyDescent="0.35">
      <c r="A16" s="5"/>
      <c r="B16" s="5"/>
      <c r="C16" s="8"/>
      <c r="D16" s="1"/>
      <c r="E16" s="1"/>
      <c r="F16" s="1"/>
      <c r="G16" s="1"/>
      <c r="H16" s="1"/>
      <c r="I16" s="4"/>
      <c r="J16" s="1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s="7" customFormat="1" ht="37" customHeight="1" x14ac:dyDescent="0.35">
      <c r="A17" s="5"/>
      <c r="B17" s="5"/>
      <c r="C17" s="8"/>
      <c r="D17" s="1"/>
      <c r="E17" s="1"/>
      <c r="F17" s="1"/>
      <c r="G17" s="1"/>
      <c r="H17" s="1"/>
      <c r="I17" s="4"/>
      <c r="J17" s="1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s="7" customFormat="1" ht="37" customHeight="1" x14ac:dyDescent="0.35">
      <c r="A18" s="5"/>
      <c r="B18"/>
      <c r="C18" s="8"/>
      <c r="D18" s="1"/>
      <c r="E18" s="1"/>
      <c r="F18" s="1"/>
      <c r="G18" s="1"/>
      <c r="H18" s="1"/>
      <c r="I18" s="4"/>
      <c r="J18" s="1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7" customFormat="1" ht="37" customHeight="1" x14ac:dyDescent="0.35">
      <c r="A19" s="5"/>
      <c r="B19"/>
      <c r="C19" s="5"/>
      <c r="D19" s="1"/>
      <c r="E19" s="1"/>
      <c r="F19" s="1"/>
      <c r="G19" s="1"/>
      <c r="H19" s="1"/>
      <c r="I19" s="1"/>
      <c r="J19" s="1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7" customFormat="1" ht="37" customHeight="1" x14ac:dyDescent="0.35">
      <c r="A20" s="5"/>
      <c r="B20"/>
      <c r="C20"/>
      <c r="D20"/>
      <c r="E20"/>
      <c r="F20"/>
      <c r="G20"/>
      <c r="H20"/>
      <c r="I20"/>
      <c r="J20" s="1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s="7" customFormat="1" ht="37" customHeight="1" x14ac:dyDescent="0.35">
      <c r="A21" s="5"/>
      <c r="B21"/>
      <c r="C21"/>
      <c r="D21"/>
      <c r="E21"/>
      <c r="F21"/>
      <c r="G21"/>
      <c r="H21"/>
      <c r="I21"/>
      <c r="J21" s="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s="7" customFormat="1" ht="37" customHeight="1" x14ac:dyDescent="0.35">
      <c r="A22" s="5"/>
      <c r="B22"/>
      <c r="C22" s="8"/>
      <c r="D22" s="1"/>
      <c r="E22" s="1"/>
      <c r="F22" s="1"/>
      <c r="G22" s="1"/>
      <c r="H22" s="1"/>
      <c r="I22" s="1"/>
      <c r="J22" s="1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s="11" customFormat="1" ht="37" customHeight="1" x14ac:dyDescent="0.35">
      <c r="A23" s="9"/>
      <c r="B23"/>
      <c r="C23" s="9"/>
      <c r="D23" s="10"/>
      <c r="E23" s="10"/>
      <c r="F23" s="10"/>
      <c r="G23" s="10"/>
      <c r="H23" s="10"/>
      <c r="I23" s="10"/>
      <c r="J23" s="10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s="7" customFormat="1" ht="37" customHeight="1" x14ac:dyDescent="0.35">
      <c r="A24" s="5"/>
      <c r="B24" s="8"/>
      <c r="C24" s="5"/>
      <c r="D24" s="1"/>
      <c r="E24" s="1"/>
      <c r="F24" s="1"/>
      <c r="G24" s="1"/>
      <c r="H24" s="1"/>
      <c r="I24" s="1"/>
      <c r="J24" s="1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37" customHeight="1" x14ac:dyDescent="0.35"/>
    <row r="26" spans="1:26" ht="37" customHeight="1" x14ac:dyDescent="0.35"/>
    <row r="27" spans="1:26" ht="37" customHeight="1" x14ac:dyDescent="0.35"/>
    <row r="28" spans="1:26" ht="37" customHeight="1" x14ac:dyDescent="0.35"/>
    <row r="29" spans="1:26" ht="37" customHeight="1" x14ac:dyDescent="0.35"/>
    <row r="30" spans="1:26" s="10" customFormat="1" ht="37" customHeight="1" x14ac:dyDescent="0.35">
      <c r="A30" s="9"/>
      <c r="B30" s="9"/>
      <c r="C30" s="9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37" customHeight="1" x14ac:dyDescent="0.35"/>
    <row r="32" spans="1:26" ht="37" customHeight="1" x14ac:dyDescent="0.35"/>
    <row r="33" ht="37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07CD-A007-4AD2-9EC8-35D178A0DB9A}">
  <dimension ref="B2:R31"/>
  <sheetViews>
    <sheetView showGridLines="0" zoomScale="40" zoomScaleNormal="40" workbookViewId="0"/>
  </sheetViews>
  <sheetFormatPr defaultColWidth="8.81640625" defaultRowHeight="14.5" x14ac:dyDescent="0.35"/>
  <cols>
    <col min="1" max="1" width="8.81640625" style="1"/>
    <col min="2" max="2" width="66" style="1" customWidth="1"/>
    <col min="3" max="3" width="27" style="1" customWidth="1"/>
    <col min="4" max="4" width="8.81640625" style="1"/>
    <col min="5" max="5" width="35.6328125" style="1" customWidth="1"/>
    <col min="6" max="7" width="25.36328125" style="1" customWidth="1"/>
    <col min="8" max="10" width="11.6328125" style="1" customWidth="1"/>
    <col min="11" max="12" width="11.6328125" style="14" customWidth="1"/>
    <col min="13" max="13" width="11.6328125" style="1" customWidth="1"/>
    <col min="14" max="14" width="5.54296875" style="1" customWidth="1"/>
    <col min="15" max="18" width="29.6328125" style="1" customWidth="1"/>
    <col min="19" max="16384" width="8.81640625" style="1"/>
  </cols>
  <sheetData>
    <row r="2" spans="2:18" ht="46" x14ac:dyDescent="0.35">
      <c r="B2" s="111">
        <v>43832</v>
      </c>
      <c r="E2" s="120" t="s">
        <v>65</v>
      </c>
      <c r="F2" s="121"/>
      <c r="O2" s="60" t="s">
        <v>59</v>
      </c>
      <c r="P2" s="59">
        <v>0.29166666666666669</v>
      </c>
      <c r="Q2" s="60" t="s">
        <v>64</v>
      </c>
      <c r="R2" s="58">
        <v>16</v>
      </c>
    </row>
    <row r="3" spans="2:18" ht="29" thickBot="1" x14ac:dyDescent="0.4">
      <c r="B3" s="38" t="str">
        <f>+VLOOKUP(WEEKDAY(B2,1),Table2[#All],2,FALSE)</f>
        <v>Qui</v>
      </c>
      <c r="E3" s="122" t="s">
        <v>67</v>
      </c>
      <c r="F3" s="123"/>
      <c r="H3" s="37" t="s">
        <v>49</v>
      </c>
      <c r="I3" s="37"/>
      <c r="J3" s="37"/>
      <c r="K3" s="37"/>
      <c r="L3" s="37"/>
      <c r="M3" s="13"/>
    </row>
    <row r="4" spans="2:18" ht="21.5" thickBot="1" x14ac:dyDescent="0.4">
      <c r="E4" s="21"/>
      <c r="F4" s="43" t="s">
        <v>45</v>
      </c>
      <c r="G4" s="44" t="s">
        <v>44</v>
      </c>
      <c r="H4" s="47" t="s">
        <v>36</v>
      </c>
      <c r="I4" s="48"/>
      <c r="J4" s="49"/>
      <c r="K4" s="49"/>
      <c r="L4" s="50"/>
      <c r="M4"/>
      <c r="O4" s="61" t="s">
        <v>61</v>
      </c>
      <c r="P4" s="62" t="s">
        <v>60</v>
      </c>
      <c r="Q4" s="62" t="s">
        <v>62</v>
      </c>
      <c r="R4" s="63" t="s">
        <v>63</v>
      </c>
    </row>
    <row r="5" spans="2:18" ht="42.5" thickBot="1" x14ac:dyDescent="0.4">
      <c r="E5" s="22"/>
      <c r="F5" s="45"/>
      <c r="G5" s="46"/>
      <c r="H5" s="51" t="s">
        <v>33</v>
      </c>
      <c r="I5" s="52" t="s">
        <v>34</v>
      </c>
      <c r="J5" s="53" t="s">
        <v>35</v>
      </c>
      <c r="K5" s="54" t="s">
        <v>50</v>
      </c>
      <c r="L5" s="55" t="s">
        <v>51</v>
      </c>
      <c r="M5"/>
      <c r="O5" s="74">
        <f>P2</f>
        <v>0.29166666666666669</v>
      </c>
      <c r="P5" s="75">
        <f>TIME(HOUR(O5)+1,0,0)</f>
        <v>0.33333333333333331</v>
      </c>
      <c r="Q5" s="69">
        <f>+$C$7/$R$2</f>
        <v>5312.5</v>
      </c>
      <c r="R5" s="80"/>
    </row>
    <row r="6" spans="2:18" s="7" customFormat="1" ht="37" customHeight="1" x14ac:dyDescent="0.35">
      <c r="B6" s="98" t="s">
        <v>31</v>
      </c>
      <c r="C6" s="19">
        <v>90000</v>
      </c>
      <c r="E6" s="101" t="s">
        <v>37</v>
      </c>
      <c r="F6" s="23"/>
      <c r="G6" s="103">
        <v>8</v>
      </c>
      <c r="H6" s="105"/>
      <c r="I6" s="106"/>
      <c r="J6" s="106"/>
      <c r="K6" s="24">
        <f>+SUM(H6:J6)</f>
        <v>0</v>
      </c>
      <c r="L6" s="25">
        <f>IF(AND(H6="",I6="",J6=""),G6,K6*Pressupostos!$C$13)</f>
        <v>8</v>
      </c>
      <c r="M6"/>
      <c r="O6" s="76">
        <f>+TIME(HOUR(O5)+1,0,0)</f>
        <v>0.33333333333333331</v>
      </c>
      <c r="P6" s="77">
        <f>+TIME(HOUR(P5)+1,0,0)</f>
        <v>0.375</v>
      </c>
      <c r="Q6" s="70">
        <f>IF($C$7/$R$2+Q5&gt;=$C$7,$C$7,IF(Q5&gt;=$C$7,"",$C$7/$R$2+Q5))</f>
        <v>10625</v>
      </c>
      <c r="R6" s="71"/>
    </row>
    <row r="7" spans="2:18" s="7" customFormat="1" ht="37" customHeight="1" x14ac:dyDescent="0.35">
      <c r="B7" s="99" t="s">
        <v>32</v>
      </c>
      <c r="C7" s="20">
        <v>85000</v>
      </c>
      <c r="E7" s="102" t="s">
        <v>38</v>
      </c>
      <c r="F7" s="26"/>
      <c r="G7" s="104">
        <f>8*5</f>
        <v>40</v>
      </c>
      <c r="H7" s="107"/>
      <c r="I7" s="108"/>
      <c r="J7" s="108"/>
      <c r="K7" s="27">
        <f>+SUM(H7:J7)</f>
        <v>0</v>
      </c>
      <c r="L7" s="28">
        <f>IF(AND(H7="",I7="",J7=""),G7,K7*Pressupostos!$C$13)</f>
        <v>40</v>
      </c>
      <c r="M7"/>
      <c r="O7" s="76">
        <f t="shared" ref="O7:O17" si="0">+TIME(HOUR(O6)+1,0,0)</f>
        <v>0.375</v>
      </c>
      <c r="P7" s="77">
        <f t="shared" ref="P7:P17" si="1">+TIME(HOUR(P6)+1,0,0)</f>
        <v>0.41666666666666669</v>
      </c>
      <c r="Q7" s="70">
        <f t="shared" ref="Q7:Q24" si="2">IF($C$7/$R$2+Q6&gt;=$C$7,$C$7,IF(Q6&gt;=$C$7,"",$C$7/$R$2+Q6))</f>
        <v>15937.5</v>
      </c>
      <c r="R7" s="71"/>
    </row>
    <row r="8" spans="2:18" s="7" customFormat="1" ht="37" customHeight="1" x14ac:dyDescent="0.35">
      <c r="B8" s="99" t="s">
        <v>52</v>
      </c>
      <c r="C8" s="20">
        <v>2000</v>
      </c>
      <c r="E8" s="102" t="s">
        <v>39</v>
      </c>
      <c r="F8" s="26"/>
      <c r="G8" s="104">
        <f>4*3*8</f>
        <v>96</v>
      </c>
      <c r="H8" s="107"/>
      <c r="I8" s="108"/>
      <c r="J8" s="108"/>
      <c r="K8" s="27">
        <f t="shared" ref="K6:K8" si="3">+SUM(H8:J8)</f>
        <v>0</v>
      </c>
      <c r="L8" s="28">
        <f>IF(AND(H8="",I8="",J8=""),G8,K8*Pressupostos!$C$13)</f>
        <v>96</v>
      </c>
      <c r="M8"/>
      <c r="O8" s="76">
        <f t="shared" si="0"/>
        <v>0.41666666666666669</v>
      </c>
      <c r="P8" s="77">
        <f t="shared" si="1"/>
        <v>0.45833333333333331</v>
      </c>
      <c r="Q8" s="70">
        <f t="shared" si="2"/>
        <v>21250</v>
      </c>
      <c r="R8" s="71"/>
    </row>
    <row r="9" spans="2:18" s="7" customFormat="1" ht="37" customHeight="1" thickBot="1" x14ac:dyDescent="0.4">
      <c r="B9" s="100" t="s">
        <v>53</v>
      </c>
      <c r="C9" s="18">
        <v>800</v>
      </c>
      <c r="E9" s="56" t="s">
        <v>42</v>
      </c>
      <c r="F9" s="29">
        <f>+G9/Pressupostos!$C$13</f>
        <v>50.125313283208015</v>
      </c>
      <c r="G9" s="30">
        <f>+((C7-INDEX(Pressupostos!$B$6:$I$6,1,MATCH(B$3,Pressupostos!$B$5:$I$5,0))+INDEX(Pressupostos!$B$7:$I$7,MATCH(B$3,Pressupostos!$B$5:$I$5,0)))/INDEX(Pressupostos!$B$8:$I$8,MATCH(B$3,Pressupostos!$B$5:$I$5,0)))/(1+INDEX(Pressupostos!$B$11:$I$11,MATCH(B$3,Pressupostos!$B$5:$I$5,0)))</f>
        <v>401.00250626566412</v>
      </c>
      <c r="H9" s="107">
        <v>25</v>
      </c>
      <c r="I9" s="108">
        <v>28</v>
      </c>
      <c r="J9" s="108"/>
      <c r="K9" s="31">
        <f>+SUM(H9:J9)</f>
        <v>53</v>
      </c>
      <c r="L9" s="28">
        <f>IF(AND(H9="",I9="",J9=""),G9,K9*Pressupostos!$C$13)</f>
        <v>424</v>
      </c>
      <c r="M9"/>
      <c r="O9" s="76">
        <f t="shared" si="0"/>
        <v>0.45833333333333331</v>
      </c>
      <c r="P9" s="77">
        <f t="shared" si="1"/>
        <v>0.5</v>
      </c>
      <c r="Q9" s="70"/>
      <c r="R9" s="71"/>
    </row>
    <row r="10" spans="2:18" s="7" customFormat="1" ht="37" customHeight="1" x14ac:dyDescent="0.35">
      <c r="E10" s="56" t="s">
        <v>41</v>
      </c>
      <c r="F10" s="32">
        <f>+G10/Pressupostos!$C$13</f>
        <v>2.5</v>
      </c>
      <c r="G10" s="30">
        <f>+C8/INDEX(Pressupostos!$B$10:$I$10,1,MATCH(B$3,Pressupostos!$B$5:$I$5,0))</f>
        <v>20</v>
      </c>
      <c r="H10" s="107"/>
      <c r="I10" s="108"/>
      <c r="J10" s="108"/>
      <c r="K10" s="27">
        <f t="shared" ref="K10:K11" si="4">+SUM(H10:J10)</f>
        <v>0</v>
      </c>
      <c r="L10" s="28">
        <f>IF(AND(H10="",I10="",J10=""),G10,K10*Pressupostos!$C$13)</f>
        <v>20</v>
      </c>
      <c r="M10"/>
      <c r="O10" s="76">
        <f t="shared" si="0"/>
        <v>0.5</v>
      </c>
      <c r="P10" s="77">
        <f t="shared" si="1"/>
        <v>0.54166666666666663</v>
      </c>
      <c r="Q10" s="70">
        <f>IF($C$7/$R$2+Q8&gt;=$C$7,$C$7,IF(Q8&gt;=$C$7,"",$C$7/$R$2+Q8))</f>
        <v>26562.5</v>
      </c>
      <c r="R10" s="71"/>
    </row>
    <row r="11" spans="2:18" s="7" customFormat="1" ht="37" customHeight="1" thickBot="1" x14ac:dyDescent="0.4">
      <c r="D11" s="12"/>
      <c r="E11" s="57" t="s">
        <v>43</v>
      </c>
      <c r="F11" s="33">
        <f>+G11/Pressupostos!$C$13</f>
        <v>0.83333333333333337</v>
      </c>
      <c r="G11" s="34">
        <f>+C9/INDEX(Pressupostos!$B$9:$I$9,1,MATCH(B$3,Pressupostos!$B$5:$I$5,0))</f>
        <v>6.666666666666667</v>
      </c>
      <c r="H11" s="109"/>
      <c r="I11" s="110"/>
      <c r="J11" s="110"/>
      <c r="K11" s="35">
        <f t="shared" si="4"/>
        <v>0</v>
      </c>
      <c r="L11" s="36">
        <f>IF(AND(H11="",I11="",J11=""),G11,K11*Pressupostos!$C$13)</f>
        <v>6.666666666666667</v>
      </c>
      <c r="M11"/>
      <c r="O11" s="76">
        <f t="shared" si="0"/>
        <v>0.54166666666666663</v>
      </c>
      <c r="P11" s="77">
        <f t="shared" si="1"/>
        <v>0.58333333333333337</v>
      </c>
      <c r="Q11" s="70">
        <f t="shared" si="2"/>
        <v>31875</v>
      </c>
      <c r="R11" s="71"/>
    </row>
    <row r="12" spans="2:18" s="7" customFormat="1" ht="37" customHeight="1" thickBot="1" x14ac:dyDescent="0.4">
      <c r="K12" s="15"/>
      <c r="L12" s="15"/>
      <c r="O12" s="76">
        <f t="shared" si="0"/>
        <v>0.58333333333333337</v>
      </c>
      <c r="P12" s="77">
        <f t="shared" si="1"/>
        <v>0.625</v>
      </c>
      <c r="Q12" s="70">
        <f t="shared" si="2"/>
        <v>37187.5</v>
      </c>
      <c r="R12" s="71"/>
    </row>
    <row r="13" spans="2:18" s="7" customFormat="1" ht="37" customHeight="1" x14ac:dyDescent="0.35">
      <c r="B13" s="87" t="s">
        <v>58</v>
      </c>
      <c r="C13" s="88"/>
      <c r="D13" s="89"/>
      <c r="E13" s="96" t="s">
        <v>40</v>
      </c>
      <c r="F13" s="97"/>
      <c r="G13" s="97"/>
      <c r="H13" s="116">
        <f>IFERROR(C6/SUM(L6:L11),"")</f>
        <v>151.34529147982065</v>
      </c>
      <c r="I13" s="116"/>
      <c r="J13" s="116"/>
      <c r="K13" s="116"/>
      <c r="L13" s="117"/>
      <c r="O13" s="124">
        <f t="shared" si="0"/>
        <v>0.625</v>
      </c>
      <c r="P13" s="125">
        <f t="shared" si="1"/>
        <v>0.66666666666666663</v>
      </c>
      <c r="Q13" s="126">
        <f t="shared" si="2"/>
        <v>42500</v>
      </c>
      <c r="R13" s="72"/>
    </row>
    <row r="14" spans="2:18" s="7" customFormat="1" ht="37" customHeight="1" x14ac:dyDescent="0.35">
      <c r="B14" s="90"/>
      <c r="C14" s="91"/>
      <c r="D14" s="92"/>
      <c r="E14" s="83" t="s">
        <v>48</v>
      </c>
      <c r="F14" s="84"/>
      <c r="G14" s="84"/>
      <c r="H14" s="118">
        <f>+INDEX(Pressupostos!$B$8:$I$8,1,MATCH(Template_Dia!$B$3,Pressupostos!$B$5:$I$5,0))*($L$9*(1+INDEX(Pressupostos!$B$11:$I$11,1,MATCH(Template_Dia!$B$3,Pressupostos!$B$5:$I$5,0))))+INDEX(Pressupostos!$B$6:$I$6,MATCH(Template_Dia!$B$3,Pressupostos!$B$5:$I$5,0))-INDEX(Pressupostos!$B$7:$I$7,MATCH(Template_Dia!$B$3,Pressupostos!$B$5:$I$5,0))</f>
        <v>89588.000000000015</v>
      </c>
      <c r="I14" s="118"/>
      <c r="J14" s="118"/>
      <c r="K14" s="118"/>
      <c r="L14" s="119"/>
      <c r="O14" s="76">
        <f t="shared" si="0"/>
        <v>0.66666666666666663</v>
      </c>
      <c r="P14" s="77">
        <f t="shared" si="1"/>
        <v>0.70833333333333337</v>
      </c>
      <c r="Q14" s="70">
        <f t="shared" si="2"/>
        <v>47812.5</v>
      </c>
      <c r="R14" s="71"/>
    </row>
    <row r="15" spans="2:18" s="7" customFormat="1" ht="37" customHeight="1" thickBot="1" x14ac:dyDescent="0.4">
      <c r="B15" s="93"/>
      <c r="C15" s="94"/>
      <c r="D15" s="95"/>
      <c r="E15" s="85" t="s">
        <v>56</v>
      </c>
      <c r="F15" s="86"/>
      <c r="G15" s="86"/>
      <c r="H15" s="114" t="str">
        <f>+IF(H14&gt;=C7,ROUND(H14-C7,0)&amp;" cxs a mais",ROUND(C7-H14,0)&amp;" cxs a menos")</f>
        <v>4588 cxs a mais</v>
      </c>
      <c r="I15" s="114"/>
      <c r="J15" s="114"/>
      <c r="K15" s="114"/>
      <c r="L15" s="115"/>
      <c r="O15" s="76">
        <f t="shared" si="0"/>
        <v>0.70833333333333337</v>
      </c>
      <c r="P15" s="77">
        <f t="shared" si="1"/>
        <v>0.75</v>
      </c>
      <c r="Q15" s="70">
        <f t="shared" si="2"/>
        <v>53125</v>
      </c>
      <c r="R15" s="71"/>
    </row>
    <row r="16" spans="2:18" s="7" customFormat="1" ht="37" customHeight="1" x14ac:dyDescent="0.35">
      <c r="B16"/>
      <c r="K16" s="15"/>
      <c r="L16" s="15"/>
      <c r="O16" s="76">
        <f t="shared" si="0"/>
        <v>0.75</v>
      </c>
      <c r="P16" s="77">
        <f t="shared" si="1"/>
        <v>0.79166666666666663</v>
      </c>
      <c r="Q16" s="70">
        <f t="shared" si="2"/>
        <v>58437.5</v>
      </c>
      <c r="R16" s="71"/>
    </row>
    <row r="17" spans="2:18" s="7" customFormat="1" ht="37" customHeight="1" thickBot="1" x14ac:dyDescent="0.4">
      <c r="B17" s="42" t="s">
        <v>57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/>
      <c r="O17" s="76">
        <f t="shared" si="0"/>
        <v>0.79166666666666663</v>
      </c>
      <c r="P17" s="77">
        <f t="shared" si="1"/>
        <v>0.83333333333333337</v>
      </c>
      <c r="Q17" s="70">
        <f t="shared" si="2"/>
        <v>63750</v>
      </c>
      <c r="R17" s="71"/>
    </row>
    <row r="18" spans="2:18" s="7" customFormat="1" ht="37" customHeight="1" thickTop="1" thickBot="1" x14ac:dyDescent="0.4">
      <c r="D18"/>
      <c r="E18"/>
      <c r="F18"/>
      <c r="G18"/>
      <c r="H18"/>
      <c r="I18"/>
      <c r="J18"/>
      <c r="K18"/>
      <c r="L18"/>
      <c r="O18" s="76">
        <f>+TIME(HOUR(O17)+1,0,0)</f>
        <v>0.83333333333333337</v>
      </c>
      <c r="P18" s="77">
        <f>+TIME(HOUR(P17)+1,0,0)</f>
        <v>0.875</v>
      </c>
      <c r="Q18" s="70"/>
      <c r="R18" s="71"/>
    </row>
    <row r="19" spans="2:18" s="7" customFormat="1" ht="37" customHeight="1" x14ac:dyDescent="0.35">
      <c r="B19" s="39" t="s">
        <v>54</v>
      </c>
      <c r="C19" s="112"/>
      <c r="D19"/>
      <c r="E19"/>
      <c r="F19"/>
      <c r="G19"/>
      <c r="H19"/>
      <c r="I19"/>
      <c r="J19"/>
      <c r="K19"/>
      <c r="L19"/>
      <c r="O19" s="76">
        <f t="shared" ref="O19:O22" si="5">+TIME(HOUR(O18)+1,0,0)</f>
        <v>0.875</v>
      </c>
      <c r="P19" s="77">
        <f t="shared" ref="P19:P22" si="6">+TIME(HOUR(P18)+1,0,0)</f>
        <v>0.91666666666666663</v>
      </c>
      <c r="Q19" s="70">
        <f>IF($C$7/$R$2+Q17&gt;=$C$7,$C$7,IF(Q17&gt;=$C$7,"",$C$7/$R$2+Q17))</f>
        <v>69062.5</v>
      </c>
      <c r="R19" s="71"/>
    </row>
    <row r="20" spans="2:18" s="7" customFormat="1" ht="37" customHeight="1" x14ac:dyDescent="0.35">
      <c r="B20" s="40" t="s">
        <v>55</v>
      </c>
      <c r="C20" s="113"/>
      <c r="K20" s="15"/>
      <c r="L20" s="15"/>
      <c r="O20" s="76">
        <f t="shared" si="5"/>
        <v>0.91666666666666663</v>
      </c>
      <c r="P20" s="77">
        <f t="shared" si="6"/>
        <v>0.95833333333333337</v>
      </c>
      <c r="Q20" s="70">
        <f t="shared" si="2"/>
        <v>74375</v>
      </c>
      <c r="R20" s="71"/>
    </row>
    <row r="21" spans="2:18" s="11" customFormat="1" ht="37" customHeight="1" thickBot="1" x14ac:dyDescent="0.4">
      <c r="B21" s="41" t="s">
        <v>66</v>
      </c>
      <c r="C21" s="18" t="str">
        <f>IFERROR(C19/C20,"")</f>
        <v/>
      </c>
      <c r="K21" s="16"/>
      <c r="L21" s="16"/>
      <c r="O21" s="76">
        <f t="shared" si="5"/>
        <v>0.95833333333333337</v>
      </c>
      <c r="P21" s="77">
        <f t="shared" si="6"/>
        <v>0</v>
      </c>
      <c r="Q21" s="70">
        <f t="shared" si="2"/>
        <v>79687.5</v>
      </c>
      <c r="R21" s="72"/>
    </row>
    <row r="22" spans="2:18" s="7" customFormat="1" ht="37" customHeight="1" x14ac:dyDescent="0.35">
      <c r="K22" s="15"/>
      <c r="L22" s="15"/>
      <c r="O22" s="124">
        <f t="shared" si="5"/>
        <v>0</v>
      </c>
      <c r="P22" s="125">
        <f t="shared" si="6"/>
        <v>4.1666666666666664E-2</v>
      </c>
      <c r="Q22" s="126">
        <f t="shared" si="2"/>
        <v>85000</v>
      </c>
      <c r="R22" s="72"/>
    </row>
    <row r="23" spans="2:18" ht="37" customHeight="1" x14ac:dyDescent="0.35">
      <c r="O23" s="76">
        <f t="shared" ref="O23:O24" si="7">+TIME(HOUR(O22)+1,0,0)</f>
        <v>4.1666666666666664E-2</v>
      </c>
      <c r="P23" s="77">
        <f t="shared" ref="P23:P24" si="8">+TIME(HOUR(P22)+1,0,0)</f>
        <v>8.3333333333333329E-2</v>
      </c>
      <c r="Q23" s="70">
        <f t="shared" si="2"/>
        <v>85000</v>
      </c>
      <c r="R23" s="81"/>
    </row>
    <row r="24" spans="2:18" ht="37" customHeight="1" thickBot="1" x14ac:dyDescent="0.4">
      <c r="O24" s="78">
        <f t="shared" si="7"/>
        <v>8.3333333333333329E-2</v>
      </c>
      <c r="P24" s="79">
        <f t="shared" si="8"/>
        <v>0.125</v>
      </c>
      <c r="Q24" s="73">
        <f t="shared" si="2"/>
        <v>85000</v>
      </c>
      <c r="R24" s="82"/>
    </row>
    <row r="25" spans="2:18" ht="37" customHeight="1" x14ac:dyDescent="0.35"/>
    <row r="26" spans="2:18" ht="37" customHeight="1" x14ac:dyDescent="0.35"/>
    <row r="27" spans="2:18" ht="37" customHeight="1" x14ac:dyDescent="0.35"/>
    <row r="28" spans="2:18" s="10" customFormat="1" ht="37" customHeight="1" x14ac:dyDescent="0.35">
      <c r="K28" s="17"/>
      <c r="L28" s="17"/>
    </row>
    <row r="29" spans="2:18" ht="37" customHeight="1" x14ac:dyDescent="0.35"/>
    <row r="30" spans="2:18" ht="37" customHeight="1" x14ac:dyDescent="0.35"/>
    <row r="31" spans="2:18" ht="37" customHeight="1" x14ac:dyDescent="0.35"/>
  </sheetData>
  <sheetProtection sheet="1" objects="1" scenarios="1"/>
  <protectedRanges>
    <protectedRange sqref="B2" name="Data"/>
    <protectedRange sqref="C19:C20" name="Resultado"/>
    <protectedRange sqref="C6:C9" name="Inputs"/>
    <protectedRange sqref="R2 P2" name="Range2"/>
    <protectedRange sqref="R5:R24" name="Cxs Realizadas"/>
    <protectedRange sqref="G6:G8 H6:J11" name="Range5"/>
  </protectedRanges>
  <mergeCells count="14">
    <mergeCell ref="B17:L17"/>
    <mergeCell ref="B13:D15"/>
    <mergeCell ref="H15:L15"/>
    <mergeCell ref="E13:G13"/>
    <mergeCell ref="E15:G15"/>
    <mergeCell ref="E14:G14"/>
    <mergeCell ref="H14:L14"/>
    <mergeCell ref="H3:L3"/>
    <mergeCell ref="F4:F5"/>
    <mergeCell ref="F6:F8"/>
    <mergeCell ref="H13:L13"/>
    <mergeCell ref="H4:L4"/>
    <mergeCell ref="E4:E5"/>
    <mergeCell ref="G4:G5"/>
  </mergeCells>
  <phoneticPr fontId="3" type="noConversion"/>
  <conditionalFormatting sqref="B3">
    <cfRule type="expression" dxfId="7" priority="8">
      <formula>B$3="Dom"</formula>
    </cfRule>
  </conditionalFormatting>
  <conditionalFormatting sqref="R5:R24">
    <cfRule type="expression" dxfId="6" priority="2">
      <formula>$R5&gt;=$Q5</formula>
    </cfRule>
    <cfRule type="expression" dxfId="5" priority="3">
      <formula>$R5&lt;$Q5</formula>
    </cfRule>
    <cfRule type="expression" dxfId="4" priority="1">
      <formula>R5=""</formula>
    </cfRule>
  </conditionalFormatting>
  <pageMargins left="0.7" right="0.7" top="0.75" bottom="0.75" header="0.3" footer="0.3"/>
  <ignoredErrors>
    <ignoredError sqref="K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93-04C3-4CEB-92B1-B06B324EE006}">
  <dimension ref="B2:R31"/>
  <sheetViews>
    <sheetView showGridLines="0" tabSelected="1" zoomScale="40" zoomScaleNormal="40" workbookViewId="0">
      <selection activeCell="G7" sqref="G7"/>
    </sheetView>
  </sheetViews>
  <sheetFormatPr defaultColWidth="8.81640625" defaultRowHeight="14.5" x14ac:dyDescent="0.35"/>
  <cols>
    <col min="1" max="1" width="8.81640625" style="65"/>
    <col min="2" max="2" width="66" style="65" customWidth="1"/>
    <col min="3" max="3" width="27" style="65" customWidth="1"/>
    <col min="4" max="4" width="8.81640625" style="65"/>
    <col min="5" max="5" width="35.6328125" style="65" customWidth="1"/>
    <col min="6" max="7" width="25.36328125" style="65" customWidth="1"/>
    <col min="8" max="10" width="11.6328125" style="65" customWidth="1"/>
    <col min="11" max="12" width="11.6328125" style="14" customWidth="1"/>
    <col min="13" max="13" width="11.6328125" style="65" customWidth="1"/>
    <col min="14" max="14" width="5.54296875" style="65" customWidth="1"/>
    <col min="15" max="18" width="29.6328125" style="65" customWidth="1"/>
    <col min="19" max="16384" width="8.81640625" style="65"/>
  </cols>
  <sheetData>
    <row r="2" spans="2:18" ht="46" x14ac:dyDescent="0.35">
      <c r="B2" s="111">
        <v>43860</v>
      </c>
      <c r="E2" s="120" t="s">
        <v>65</v>
      </c>
      <c r="F2" s="121"/>
      <c r="O2" s="60" t="s">
        <v>59</v>
      </c>
      <c r="P2" s="59">
        <v>0.29166666666666669</v>
      </c>
      <c r="Q2" s="60" t="s">
        <v>64</v>
      </c>
      <c r="R2" s="58">
        <v>16</v>
      </c>
    </row>
    <row r="3" spans="2:18" ht="29" thickBot="1" x14ac:dyDescent="0.4">
      <c r="B3" s="38" t="str">
        <f>+VLOOKUP(WEEKDAY(B2,1),Table2[#All],2,FALSE)</f>
        <v>Qui</v>
      </c>
      <c r="E3"/>
      <c r="F3"/>
      <c r="H3" s="37" t="s">
        <v>49</v>
      </c>
      <c r="I3" s="37"/>
      <c r="J3" s="37"/>
      <c r="K3" s="37"/>
      <c r="L3" s="37"/>
      <c r="M3" s="13"/>
    </row>
    <row r="4" spans="2:18" ht="21.5" thickBot="1" x14ac:dyDescent="0.4">
      <c r="E4" s="21"/>
      <c r="F4" s="43" t="s">
        <v>45</v>
      </c>
      <c r="G4" s="44" t="s">
        <v>44</v>
      </c>
      <c r="H4" s="47" t="s">
        <v>36</v>
      </c>
      <c r="I4" s="48"/>
      <c r="J4" s="49"/>
      <c r="K4" s="49"/>
      <c r="L4" s="50"/>
      <c r="M4" s="64"/>
      <c r="O4" s="61" t="s">
        <v>61</v>
      </c>
      <c r="P4" s="62" t="s">
        <v>60</v>
      </c>
      <c r="Q4" s="62" t="s">
        <v>62</v>
      </c>
      <c r="R4" s="63" t="s">
        <v>63</v>
      </c>
    </row>
    <row r="5" spans="2:18" ht="42.5" thickBot="1" x14ac:dyDescent="0.4">
      <c r="E5" s="22"/>
      <c r="F5" s="45"/>
      <c r="G5" s="46"/>
      <c r="H5" s="51" t="s">
        <v>33</v>
      </c>
      <c r="I5" s="52" t="s">
        <v>34</v>
      </c>
      <c r="J5" s="53" t="s">
        <v>35</v>
      </c>
      <c r="K5" s="54" t="s">
        <v>50</v>
      </c>
      <c r="L5" s="55" t="s">
        <v>51</v>
      </c>
      <c r="M5" s="64"/>
      <c r="O5" s="74">
        <f>P2</f>
        <v>0.29166666666666669</v>
      </c>
      <c r="P5" s="75">
        <f>TIME(HOUR(O5)+1,0,0)</f>
        <v>0.33333333333333331</v>
      </c>
      <c r="Q5" s="69">
        <f>+$C$7/$R$2</f>
        <v>5312.5</v>
      </c>
      <c r="R5" s="80"/>
    </row>
    <row r="6" spans="2:18" s="7" customFormat="1" ht="37" customHeight="1" x14ac:dyDescent="0.35">
      <c r="B6" s="98" t="s">
        <v>31</v>
      </c>
      <c r="C6" s="19">
        <v>90000</v>
      </c>
      <c r="E6" s="101" t="s">
        <v>37</v>
      </c>
      <c r="F6" s="23"/>
      <c r="G6" s="103">
        <v>8</v>
      </c>
      <c r="H6" s="105"/>
      <c r="I6" s="106"/>
      <c r="J6" s="106"/>
      <c r="K6" s="24">
        <f>+SUM(H6:J6)</f>
        <v>0</v>
      </c>
      <c r="L6" s="25">
        <f>IF(AND(H6="",I6="",J6=""),G6,K6*Pressupostos!$C$13)</f>
        <v>8</v>
      </c>
      <c r="M6" s="64"/>
      <c r="O6" s="76">
        <f>+TIME(HOUR(O5)+1,0,0)</f>
        <v>0.33333333333333331</v>
      </c>
      <c r="P6" s="77">
        <f>+TIME(HOUR(P5)+1,0,0)</f>
        <v>0.375</v>
      </c>
      <c r="Q6" s="70">
        <f>IF($C$7/$R$2+Q5&gt;=$C$7,$C$7,IF(Q5&gt;=$C$7,"",$C$7/$R$2+Q5))</f>
        <v>10625</v>
      </c>
      <c r="R6" s="71"/>
    </row>
    <row r="7" spans="2:18" s="7" customFormat="1" ht="37" customHeight="1" x14ac:dyDescent="0.35">
      <c r="B7" s="99" t="s">
        <v>32</v>
      </c>
      <c r="C7" s="20">
        <v>85000</v>
      </c>
      <c r="E7" s="102" t="s">
        <v>38</v>
      </c>
      <c r="F7" s="26"/>
      <c r="G7" s="104">
        <f>8*5</f>
        <v>40</v>
      </c>
      <c r="H7" s="107"/>
      <c r="I7" s="108"/>
      <c r="J7" s="108"/>
      <c r="K7" s="27">
        <f>+SUM(H7:J7)</f>
        <v>0</v>
      </c>
      <c r="L7" s="28">
        <f>IF(AND(H7="",I7="",J7=""),G7,K7*Pressupostos!$C$13)</f>
        <v>40</v>
      </c>
      <c r="M7" s="64"/>
      <c r="O7" s="76">
        <f t="shared" ref="O7:P17" si="0">+TIME(HOUR(O6)+1,0,0)</f>
        <v>0.375</v>
      </c>
      <c r="P7" s="77">
        <f t="shared" si="0"/>
        <v>0.41666666666666669</v>
      </c>
      <c r="Q7" s="70">
        <f t="shared" ref="Q7:Q24" si="1">IF($C$7/$R$2+Q6&gt;=$C$7,$C$7,IF(Q6&gt;=$C$7,"",$C$7/$R$2+Q6))</f>
        <v>15937.5</v>
      </c>
      <c r="R7" s="71"/>
    </row>
    <row r="8" spans="2:18" s="7" customFormat="1" ht="37" customHeight="1" x14ac:dyDescent="0.35">
      <c r="B8" s="99" t="s">
        <v>52</v>
      </c>
      <c r="C8" s="20">
        <v>2000</v>
      </c>
      <c r="E8" s="102" t="s">
        <v>39</v>
      </c>
      <c r="F8" s="26"/>
      <c r="G8" s="104">
        <f>4*3*8</f>
        <v>96</v>
      </c>
      <c r="H8" s="107"/>
      <c r="I8" s="108"/>
      <c r="J8" s="108"/>
      <c r="K8" s="27">
        <f t="shared" ref="K8" si="2">+SUM(H8:J8)</f>
        <v>0</v>
      </c>
      <c r="L8" s="28">
        <f>IF(AND(H8="",I8="",J8=""),G8,K8*Pressupostos!$C$13)</f>
        <v>96</v>
      </c>
      <c r="M8" s="64"/>
      <c r="O8" s="76">
        <f t="shared" si="0"/>
        <v>0.41666666666666669</v>
      </c>
      <c r="P8" s="77">
        <f t="shared" si="0"/>
        <v>0.45833333333333331</v>
      </c>
      <c r="Q8" s="70">
        <f t="shared" si="1"/>
        <v>21250</v>
      </c>
      <c r="R8" s="71"/>
    </row>
    <row r="9" spans="2:18" s="7" customFormat="1" ht="37" customHeight="1" thickBot="1" x14ac:dyDescent="0.4">
      <c r="B9" s="100" t="s">
        <v>53</v>
      </c>
      <c r="C9" s="18">
        <v>800</v>
      </c>
      <c r="E9" s="56" t="s">
        <v>42</v>
      </c>
      <c r="F9" s="29">
        <f>+G9/Pressupostos!$C$13</f>
        <v>50.125313283208015</v>
      </c>
      <c r="G9" s="30">
        <f>+((C7-INDEX(Pressupostos!$B$6:$I$6,1,MATCH(B$3,Pressupostos!$B$5:$I$5,0))+INDEX(Pressupostos!$B$7:$I$7,MATCH(B$3,Pressupostos!$B$5:$I$5,0)))/INDEX(Pressupostos!$B$8:$I$8,MATCH(B$3,Pressupostos!$B$5:$I$5,0)))/(1+INDEX(Pressupostos!$B$11:$I$11,MATCH(B$3,Pressupostos!$B$5:$I$5,0)))</f>
        <v>401.00250626566412</v>
      </c>
      <c r="H9" s="107">
        <v>25</v>
      </c>
      <c r="I9" s="108">
        <v>28</v>
      </c>
      <c r="J9" s="108"/>
      <c r="K9" s="31">
        <f>+SUM(H9:J9)</f>
        <v>53</v>
      </c>
      <c r="L9" s="28">
        <f>IF(AND(H9="",I9="",J9=""),G9,K9*Pressupostos!$C$13)</f>
        <v>424</v>
      </c>
      <c r="M9" s="64"/>
      <c r="O9" s="76">
        <f t="shared" si="0"/>
        <v>0.45833333333333331</v>
      </c>
      <c r="P9" s="77">
        <f t="shared" si="0"/>
        <v>0.5</v>
      </c>
      <c r="Q9" s="70"/>
      <c r="R9" s="71"/>
    </row>
    <row r="10" spans="2:18" s="7" customFormat="1" ht="37" customHeight="1" x14ac:dyDescent="0.35">
      <c r="E10" s="56" t="s">
        <v>41</v>
      </c>
      <c r="F10" s="32">
        <f>+G10/Pressupostos!$C$13</f>
        <v>2.5</v>
      </c>
      <c r="G10" s="30">
        <f>+C8/INDEX(Pressupostos!$B$10:$I$10,1,MATCH(B$3,Pressupostos!$B$5:$I$5,0))</f>
        <v>20</v>
      </c>
      <c r="H10" s="107"/>
      <c r="I10" s="108"/>
      <c r="J10" s="108"/>
      <c r="K10" s="27">
        <f t="shared" ref="K10:K11" si="3">+SUM(H10:J10)</f>
        <v>0</v>
      </c>
      <c r="L10" s="28">
        <f>IF(AND(H10="",I10="",J10=""),G10,K10*Pressupostos!$C$13)</f>
        <v>20</v>
      </c>
      <c r="M10" s="64"/>
      <c r="O10" s="76">
        <f t="shared" si="0"/>
        <v>0.5</v>
      </c>
      <c r="P10" s="77">
        <f t="shared" si="0"/>
        <v>0.54166666666666663</v>
      </c>
      <c r="Q10" s="70">
        <f>IF($C$7/$R$2+Q8&gt;=$C$7,$C$7,IF(Q8&gt;=$C$7,"",$C$7/$R$2+Q8))</f>
        <v>26562.5</v>
      </c>
      <c r="R10" s="71"/>
    </row>
    <row r="11" spans="2:18" s="7" customFormat="1" ht="37" customHeight="1" thickBot="1" x14ac:dyDescent="0.4">
      <c r="D11" s="12"/>
      <c r="E11" s="57" t="s">
        <v>43</v>
      </c>
      <c r="F11" s="33">
        <f>+G11/Pressupostos!$C$13</f>
        <v>0.83333333333333337</v>
      </c>
      <c r="G11" s="34">
        <f>+C9/INDEX(Pressupostos!$B$9:$I$9,1,MATCH(B$3,Pressupostos!$B$5:$I$5,0))</f>
        <v>6.666666666666667</v>
      </c>
      <c r="H11" s="109"/>
      <c r="I11" s="110"/>
      <c r="J11" s="110"/>
      <c r="K11" s="35">
        <f t="shared" si="3"/>
        <v>0</v>
      </c>
      <c r="L11" s="36">
        <f>IF(AND(H11="",I11="",J11=""),G11,K11*Pressupostos!$C$13)</f>
        <v>6.666666666666667</v>
      </c>
      <c r="M11" s="64"/>
      <c r="O11" s="76">
        <f t="shared" si="0"/>
        <v>0.54166666666666663</v>
      </c>
      <c r="P11" s="77">
        <f t="shared" si="0"/>
        <v>0.58333333333333337</v>
      </c>
      <c r="Q11" s="70">
        <f t="shared" si="1"/>
        <v>31875</v>
      </c>
      <c r="R11" s="71"/>
    </row>
    <row r="12" spans="2:18" s="7" customFormat="1" ht="37" customHeight="1" thickBot="1" x14ac:dyDescent="0.4">
      <c r="K12" s="15"/>
      <c r="L12" s="15"/>
      <c r="O12" s="76">
        <f t="shared" si="0"/>
        <v>0.58333333333333337</v>
      </c>
      <c r="P12" s="77">
        <f t="shared" si="0"/>
        <v>0.625</v>
      </c>
      <c r="Q12" s="70">
        <f t="shared" si="1"/>
        <v>37187.5</v>
      </c>
      <c r="R12" s="71"/>
    </row>
    <row r="13" spans="2:18" s="7" customFormat="1" ht="37" customHeight="1" x14ac:dyDescent="0.35">
      <c r="B13" s="127" t="s">
        <v>58</v>
      </c>
      <c r="C13" s="128"/>
      <c r="D13" s="129"/>
      <c r="E13" s="136" t="s">
        <v>40</v>
      </c>
      <c r="F13" s="137"/>
      <c r="G13" s="137"/>
      <c r="H13" s="116">
        <f>IFERROR(C6/SUM(L6:L11),"")</f>
        <v>151.34529147982065</v>
      </c>
      <c r="I13" s="116"/>
      <c r="J13" s="116"/>
      <c r="K13" s="116"/>
      <c r="L13" s="117"/>
      <c r="O13" s="124">
        <f t="shared" si="0"/>
        <v>0.625</v>
      </c>
      <c r="P13" s="125">
        <f t="shared" si="0"/>
        <v>0.66666666666666663</v>
      </c>
      <c r="Q13" s="126">
        <f t="shared" si="1"/>
        <v>42500</v>
      </c>
      <c r="R13" s="72"/>
    </row>
    <row r="14" spans="2:18" s="7" customFormat="1" ht="37" customHeight="1" x14ac:dyDescent="0.35">
      <c r="B14" s="130"/>
      <c r="C14" s="131"/>
      <c r="D14" s="132"/>
      <c r="E14" s="138" t="s">
        <v>48</v>
      </c>
      <c r="F14" s="139"/>
      <c r="G14" s="139"/>
      <c r="H14" s="118">
        <f>+INDEX(Pressupostos!$B$8:$I$8,1,MATCH('30'!$B$3,Pressupostos!$B$5:$I$5,0))*($L$9*(1+INDEX(Pressupostos!$B$11:$I$11,1,MATCH('30'!$B$3,Pressupostos!$B$5:$I$5,0))))+INDEX(Pressupostos!$B$6:$I$6,MATCH('30'!$B$3,Pressupostos!$B$5:$I$5,0))-INDEX(Pressupostos!$B$7:$I$7,MATCH('30'!$B$3,Pressupostos!$B$5:$I$5,0))</f>
        <v>89588.000000000015</v>
      </c>
      <c r="I14" s="118"/>
      <c r="J14" s="118"/>
      <c r="K14" s="118"/>
      <c r="L14" s="119"/>
      <c r="O14" s="76">
        <f t="shared" si="0"/>
        <v>0.66666666666666663</v>
      </c>
      <c r="P14" s="77">
        <f t="shared" si="0"/>
        <v>0.70833333333333337</v>
      </c>
      <c r="Q14" s="70">
        <f t="shared" si="1"/>
        <v>47812.5</v>
      </c>
      <c r="R14" s="71"/>
    </row>
    <row r="15" spans="2:18" s="7" customFormat="1" ht="37" customHeight="1" thickBot="1" x14ac:dyDescent="0.4">
      <c r="B15" s="133"/>
      <c r="C15" s="134"/>
      <c r="D15" s="135"/>
      <c r="E15" s="140" t="s">
        <v>56</v>
      </c>
      <c r="F15" s="141"/>
      <c r="G15" s="141"/>
      <c r="H15" s="114" t="str">
        <f>+IF(H14&gt;=C7,ROUND(H14-C7,0)&amp;" cxs a mais",ROUND(C7-H14,0)&amp;" cxs a menos")</f>
        <v>4588 cxs a mais</v>
      </c>
      <c r="I15" s="114"/>
      <c r="J15" s="114"/>
      <c r="K15" s="114"/>
      <c r="L15" s="115"/>
      <c r="O15" s="76">
        <f t="shared" si="0"/>
        <v>0.70833333333333337</v>
      </c>
      <c r="P15" s="77">
        <f t="shared" si="0"/>
        <v>0.75</v>
      </c>
      <c r="Q15" s="70">
        <f t="shared" si="1"/>
        <v>53125</v>
      </c>
      <c r="R15" s="71"/>
    </row>
    <row r="16" spans="2:18" s="7" customFormat="1" ht="37" customHeight="1" x14ac:dyDescent="0.35">
      <c r="B16" s="64"/>
      <c r="K16" s="15"/>
      <c r="L16" s="15"/>
      <c r="O16" s="76">
        <f t="shared" si="0"/>
        <v>0.75</v>
      </c>
      <c r="P16" s="77">
        <f t="shared" si="0"/>
        <v>0.79166666666666663</v>
      </c>
      <c r="Q16" s="70">
        <f t="shared" si="1"/>
        <v>58437.5</v>
      </c>
      <c r="R16" s="71"/>
    </row>
    <row r="17" spans="2:18" s="7" customFormat="1" ht="37" customHeight="1" thickBot="1" x14ac:dyDescent="0.4">
      <c r="B17" s="142" t="s">
        <v>57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64"/>
      <c r="O17" s="76">
        <f t="shared" si="0"/>
        <v>0.79166666666666663</v>
      </c>
      <c r="P17" s="77">
        <f t="shared" si="0"/>
        <v>0.83333333333333337</v>
      </c>
      <c r="Q17" s="70">
        <f t="shared" si="1"/>
        <v>63750</v>
      </c>
      <c r="R17" s="71"/>
    </row>
    <row r="18" spans="2:18" s="7" customFormat="1" ht="37" customHeight="1" thickTop="1" thickBot="1" x14ac:dyDescent="0.4">
      <c r="D18" s="64"/>
      <c r="E18" s="64"/>
      <c r="F18" s="64"/>
      <c r="G18" s="64"/>
      <c r="H18" s="64"/>
      <c r="I18" s="64"/>
      <c r="J18" s="64"/>
      <c r="K18" s="64"/>
      <c r="L18" s="64"/>
      <c r="O18" s="76">
        <f>+TIME(HOUR(O17)+1,0,0)</f>
        <v>0.83333333333333337</v>
      </c>
      <c r="P18" s="77">
        <f>+TIME(HOUR(P17)+1,0,0)</f>
        <v>0.875</v>
      </c>
      <c r="Q18" s="70"/>
      <c r="R18" s="71"/>
    </row>
    <row r="19" spans="2:18" s="7" customFormat="1" ht="37" customHeight="1" x14ac:dyDescent="0.35">
      <c r="B19" s="143" t="s">
        <v>54</v>
      </c>
      <c r="C19" s="112"/>
      <c r="D19" s="64"/>
      <c r="E19" s="64"/>
      <c r="F19" s="64"/>
      <c r="G19" s="64"/>
      <c r="H19" s="64"/>
      <c r="I19" s="64"/>
      <c r="J19" s="64"/>
      <c r="K19" s="64"/>
      <c r="L19" s="64"/>
      <c r="O19" s="76">
        <f t="shared" ref="O19:P24" si="4">+TIME(HOUR(O18)+1,0,0)</f>
        <v>0.875</v>
      </c>
      <c r="P19" s="77">
        <f t="shared" si="4"/>
        <v>0.91666666666666663</v>
      </c>
      <c r="Q19" s="70">
        <f>IF($C$7/$R$2+Q17&gt;=$C$7,$C$7,IF(Q17&gt;=$C$7,"",$C$7/$R$2+Q17))</f>
        <v>69062.5</v>
      </c>
      <c r="R19" s="71"/>
    </row>
    <row r="20" spans="2:18" s="7" customFormat="1" ht="37" customHeight="1" x14ac:dyDescent="0.35">
      <c r="B20" s="144" t="s">
        <v>55</v>
      </c>
      <c r="C20" s="113"/>
      <c r="K20" s="15"/>
      <c r="L20" s="15"/>
      <c r="O20" s="76">
        <f t="shared" si="4"/>
        <v>0.91666666666666663</v>
      </c>
      <c r="P20" s="77">
        <f t="shared" si="4"/>
        <v>0.95833333333333337</v>
      </c>
      <c r="Q20" s="70">
        <f t="shared" si="1"/>
        <v>74375</v>
      </c>
      <c r="R20" s="71"/>
    </row>
    <row r="21" spans="2:18" s="11" customFormat="1" ht="37" customHeight="1" thickBot="1" x14ac:dyDescent="0.4">
      <c r="B21" s="145" t="s">
        <v>68</v>
      </c>
      <c r="C21" s="18" t="str">
        <f>IFERROR(C19/C20,"")</f>
        <v/>
      </c>
      <c r="K21" s="16"/>
      <c r="L21" s="16"/>
      <c r="O21" s="76">
        <f t="shared" si="4"/>
        <v>0.95833333333333337</v>
      </c>
      <c r="P21" s="77">
        <f t="shared" si="4"/>
        <v>0</v>
      </c>
      <c r="Q21" s="70">
        <f t="shared" si="1"/>
        <v>79687.5</v>
      </c>
      <c r="R21" s="72"/>
    </row>
    <row r="22" spans="2:18" s="7" customFormat="1" ht="37" customHeight="1" x14ac:dyDescent="0.35">
      <c r="K22" s="15"/>
      <c r="L22" s="15"/>
      <c r="O22" s="124">
        <f t="shared" si="4"/>
        <v>0</v>
      </c>
      <c r="P22" s="125">
        <f t="shared" si="4"/>
        <v>4.1666666666666664E-2</v>
      </c>
      <c r="Q22" s="126">
        <f t="shared" si="1"/>
        <v>85000</v>
      </c>
      <c r="R22" s="72"/>
    </row>
    <row r="23" spans="2:18" ht="37" customHeight="1" x14ac:dyDescent="0.35">
      <c r="O23" s="76">
        <f t="shared" si="4"/>
        <v>4.1666666666666664E-2</v>
      </c>
      <c r="P23" s="77">
        <f t="shared" si="4"/>
        <v>8.3333333333333329E-2</v>
      </c>
      <c r="Q23" s="70">
        <f t="shared" si="1"/>
        <v>85000</v>
      </c>
      <c r="R23" s="81"/>
    </row>
    <row r="24" spans="2:18" ht="37" customHeight="1" thickBot="1" x14ac:dyDescent="0.4">
      <c r="O24" s="78">
        <f t="shared" si="4"/>
        <v>8.3333333333333329E-2</v>
      </c>
      <c r="P24" s="79">
        <f t="shared" si="4"/>
        <v>0.125</v>
      </c>
      <c r="Q24" s="73">
        <f t="shared" si="1"/>
        <v>85000</v>
      </c>
      <c r="R24" s="82"/>
    </row>
    <row r="25" spans="2:18" ht="37" customHeight="1" x14ac:dyDescent="0.35"/>
    <row r="26" spans="2:18" ht="37" customHeight="1" x14ac:dyDescent="0.35"/>
    <row r="27" spans="2:18" ht="37" customHeight="1" x14ac:dyDescent="0.35"/>
    <row r="28" spans="2:18" s="68" customFormat="1" ht="37" customHeight="1" x14ac:dyDescent="0.35">
      <c r="K28" s="17"/>
      <c r="L28" s="17"/>
    </row>
    <row r="29" spans="2:18" ht="37" customHeight="1" x14ac:dyDescent="0.35"/>
    <row r="30" spans="2:18" ht="37" customHeight="1" x14ac:dyDescent="0.35"/>
    <row r="31" spans="2:18" ht="37" customHeight="1" x14ac:dyDescent="0.35"/>
  </sheetData>
  <sheetProtection sheet="1" objects="1" scenarios="1"/>
  <protectedRanges>
    <protectedRange sqref="B2" name="Data"/>
    <protectedRange sqref="C19:C20" name="Resultado"/>
    <protectedRange sqref="C6:C9" name="Inputs"/>
    <protectedRange sqref="R2 P2" name="Range2"/>
    <protectedRange sqref="R5:R24" name="Cxs Realizadas"/>
    <protectedRange sqref="G6:G8 H6:J11" name="Range5"/>
  </protectedRanges>
  <mergeCells count="14">
    <mergeCell ref="B17:L17"/>
    <mergeCell ref="B13:D15"/>
    <mergeCell ref="E13:G13"/>
    <mergeCell ref="H13:L13"/>
    <mergeCell ref="E14:G14"/>
    <mergeCell ref="H14:L14"/>
    <mergeCell ref="E15:G15"/>
    <mergeCell ref="H15:L15"/>
    <mergeCell ref="H3:L3"/>
    <mergeCell ref="E4:E5"/>
    <mergeCell ref="F4:F5"/>
    <mergeCell ref="G4:G5"/>
    <mergeCell ref="H4:L4"/>
    <mergeCell ref="F6:F8"/>
  </mergeCells>
  <conditionalFormatting sqref="B3">
    <cfRule type="expression" dxfId="3" priority="4">
      <formula>B$3="Dom"</formula>
    </cfRule>
  </conditionalFormatting>
  <conditionalFormatting sqref="R5:R24">
    <cfRule type="expression" dxfId="0" priority="1">
      <formula>R5=""</formula>
    </cfRule>
    <cfRule type="expression" dxfId="2" priority="2">
      <formula>$R5&gt;=$Q5</formula>
    </cfRule>
    <cfRule type="expression" dxfId="1" priority="3">
      <formula>$R5&lt;$Q5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BC3E-DFA2-489E-8591-4BCA5CA65472}">
  <dimension ref="B2:F14"/>
  <sheetViews>
    <sheetView showGridLines="0" workbookViewId="0">
      <selection activeCell="E3" sqref="E3"/>
    </sheetView>
  </sheetViews>
  <sheetFormatPr defaultRowHeight="14.5" x14ac:dyDescent="0.35"/>
  <cols>
    <col min="2" max="2" width="15.1796875" customWidth="1"/>
    <col min="3" max="3" width="10.81640625" customWidth="1"/>
    <col min="4" max="4" width="2.1796875" customWidth="1"/>
    <col min="5" max="5" width="14" customWidth="1"/>
  </cols>
  <sheetData>
    <row r="2" spans="2:6" x14ac:dyDescent="0.35">
      <c r="B2" t="s">
        <v>1</v>
      </c>
      <c r="C2" t="s">
        <v>2</v>
      </c>
      <c r="E2" t="s">
        <v>10</v>
      </c>
      <c r="F2" t="s">
        <v>12</v>
      </c>
    </row>
    <row r="3" spans="2:6" x14ac:dyDescent="0.35">
      <c r="B3">
        <v>1</v>
      </c>
      <c r="C3" t="s">
        <v>4</v>
      </c>
      <c r="E3" t="s">
        <v>13</v>
      </c>
      <c r="F3">
        <v>1</v>
      </c>
    </row>
    <row r="4" spans="2:6" x14ac:dyDescent="0.35">
      <c r="B4">
        <v>2</v>
      </c>
      <c r="C4" t="s">
        <v>5</v>
      </c>
      <c r="E4" t="s">
        <v>11</v>
      </c>
      <c r="F4">
        <v>2</v>
      </c>
    </row>
    <row r="5" spans="2:6" x14ac:dyDescent="0.35">
      <c r="B5">
        <v>3</v>
      </c>
      <c r="C5" t="s">
        <v>6</v>
      </c>
      <c r="E5" t="s">
        <v>14</v>
      </c>
      <c r="F5">
        <v>3</v>
      </c>
    </row>
    <row r="6" spans="2:6" x14ac:dyDescent="0.35">
      <c r="B6">
        <v>4</v>
      </c>
      <c r="C6" t="s">
        <v>7</v>
      </c>
      <c r="E6" t="s">
        <v>15</v>
      </c>
      <c r="F6">
        <v>4</v>
      </c>
    </row>
    <row r="7" spans="2:6" x14ac:dyDescent="0.35">
      <c r="B7">
        <v>5</v>
      </c>
      <c r="C7" t="s">
        <v>8</v>
      </c>
      <c r="E7" t="s">
        <v>16</v>
      </c>
      <c r="F7">
        <v>5</v>
      </c>
    </row>
    <row r="8" spans="2:6" x14ac:dyDescent="0.35">
      <c r="B8">
        <v>6</v>
      </c>
      <c r="C8" t="s">
        <v>9</v>
      </c>
      <c r="E8" t="s">
        <v>17</v>
      </c>
      <c r="F8">
        <v>6</v>
      </c>
    </row>
    <row r="9" spans="2:6" x14ac:dyDescent="0.35">
      <c r="B9">
        <v>7</v>
      </c>
      <c r="C9" t="s">
        <v>3</v>
      </c>
      <c r="E9" t="s">
        <v>18</v>
      </c>
      <c r="F9">
        <v>7</v>
      </c>
    </row>
    <row r="10" spans="2:6" x14ac:dyDescent="0.35">
      <c r="E10" t="s">
        <v>19</v>
      </c>
      <c r="F10">
        <v>8</v>
      </c>
    </row>
    <row r="11" spans="2:6" x14ac:dyDescent="0.35">
      <c r="E11" t="s">
        <v>20</v>
      </c>
      <c r="F11">
        <v>9</v>
      </c>
    </row>
    <row r="12" spans="2:6" x14ac:dyDescent="0.35">
      <c r="E12" t="s">
        <v>21</v>
      </c>
      <c r="F12">
        <v>10</v>
      </c>
    </row>
    <row r="13" spans="2:6" x14ac:dyDescent="0.35">
      <c r="E13" t="s">
        <v>22</v>
      </c>
      <c r="F13">
        <v>11</v>
      </c>
    </row>
    <row r="14" spans="2:6" x14ac:dyDescent="0.35">
      <c r="E14" t="s">
        <v>23</v>
      </c>
      <c r="F14">
        <v>12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1EF690189DC745A0B1632E58783E9D" ma:contentTypeVersion="16" ma:contentTypeDescription="Create a new document." ma:contentTypeScope="" ma:versionID="59e53a874d7fa67a3d247994ce803748">
  <xsd:schema xmlns:xsd="http://www.w3.org/2001/XMLSchema" xmlns:xs="http://www.w3.org/2001/XMLSchema" xmlns:p="http://schemas.microsoft.com/office/2006/metadata/properties" xmlns:ns2="8171c9be-50be-4fe3-b648-5eb3a2ad1a1d" xmlns:ns3="a7b1743e-24e6-4ed1-8a63-cfc1359917a5" targetNamespace="http://schemas.microsoft.com/office/2006/metadata/properties" ma:root="true" ma:fieldsID="c66f911060a7f0bc7ca303a5afb312c5" ns2:_="" ns3:_="">
    <xsd:import namespace="8171c9be-50be-4fe3-b648-5eb3a2ad1a1d"/>
    <xsd:import namespace="a7b1743e-24e6-4ed1-8a63-cfc1359917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1c9be-50be-4fe3-b648-5eb3a2ad1a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d9fc560-982e-4af8-9937-989d27489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1743e-24e6-4ed1-8a63-cfc1359917a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1618878-1e3d-44a6-ac63-ffbf070fae23}" ma:internalName="TaxCatchAll" ma:showField="CatchAllData" ma:web="a7b1743e-24e6-4ed1-8a63-cfc1359917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71c9be-50be-4fe3-b648-5eb3a2ad1a1d">
      <Terms xmlns="http://schemas.microsoft.com/office/infopath/2007/PartnerControls"/>
    </lcf76f155ced4ddcb4097134ff3c332f>
    <TaxCatchAll xmlns="a7b1743e-24e6-4ed1-8a63-cfc1359917a5" xsi:nil="true"/>
  </documentManagement>
</p:properties>
</file>

<file path=customXml/itemProps1.xml><?xml version="1.0" encoding="utf-8"?>
<ds:datastoreItem xmlns:ds="http://schemas.openxmlformats.org/officeDocument/2006/customXml" ds:itemID="{ACABF784-39FD-4994-B3F9-D2B2673D57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74A4D2-4551-4C05-8584-A608D44E9C22}"/>
</file>

<file path=customXml/itemProps3.xml><?xml version="1.0" encoding="utf-8"?>
<ds:datastoreItem xmlns:ds="http://schemas.openxmlformats.org/officeDocument/2006/customXml" ds:itemID="{2E9EA334-71B2-4380-BC7F-A77DB2AD94D6}">
  <ds:schemaRefs>
    <ds:schemaRef ds:uri="http://purl.org/dc/terms/"/>
    <ds:schemaRef ds:uri="4470e037-71c9-4341-92c7-dbf487ebc82b"/>
    <ds:schemaRef ds:uri="http://schemas.microsoft.com/office/2006/documentManagement/types"/>
    <ds:schemaRef ds:uri="http://schemas.microsoft.com/office/infopath/2007/PartnerControls"/>
    <ds:schemaRef ds:uri="e4658622-3fa3-410e-b478-e64d2f4701f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Pressupostos</vt:lpstr>
      <vt:lpstr>Template_Dia</vt:lpstr>
      <vt:lpstr>30</vt:lpstr>
      <vt:lpstr>Aux</vt:lpstr>
      <vt:lpstr>'30'!Meses</vt:lpstr>
      <vt:lpstr>Pressupostos!Meses</vt:lpstr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Tavares</dc:creator>
  <cp:lastModifiedBy>Sofia Poças</cp:lastModifiedBy>
  <dcterms:created xsi:type="dcterms:W3CDTF">2019-11-21T10:49:46Z</dcterms:created>
  <dcterms:modified xsi:type="dcterms:W3CDTF">2020-01-29T17:13:39Z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0x010100941EF690189DC745A0B1632E58783E9D</vt:lpwstr>
  </property>
  <property fmtid="{D5CDD505-2E9C-101B-9397-08002B2CF9AE}" pid="3" name="Order">
    <vt:r8>46400</vt:r8>
  </property>
  <property fmtid="{D5CDD505-2E9C-101B-9397-08002B2CF9AE}" pid="4" name="MediaServiceImageTags">
    <vt:lpwstr/>
  </property>
</Properties>
</file>